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3815" windowHeight="7875" activeTab="3"/>
  </bookViews>
  <sheets>
    <sheet name="Degrémont Entrée" sheetId="3" r:id="rId1"/>
    <sheet name="Degrémont sortie" sheetId="4" r:id="rId2"/>
    <sheet name="Bilan Station Degrémont" sheetId="8" r:id="rId3"/>
    <sheet name="Synthèse KPI mgL" sheetId="15" r:id="rId4"/>
    <sheet name="Parametres" sheetId="17" r:id="rId5"/>
  </sheets>
  <definedNames>
    <definedName name="ColD1">#REF!</definedName>
    <definedName name="ColD2">#REF!</definedName>
    <definedName name="ColS">#REF!</definedName>
    <definedName name="ColSH">#REF!</definedName>
    <definedName name="ColUF1">#REF!</definedName>
    <definedName name="ColUF2">#REF!</definedName>
    <definedName name="DatesD" localSheetId="1">'Degrémont sortie'!$A$14:$A$379</definedName>
    <definedName name="DatesD">'Degrémont Entrée'!$A$14:$A$379</definedName>
    <definedName name="DatesS">#REF!</definedName>
    <definedName name="DatesSH">#REF!</definedName>
    <definedName name="DatesUF">#REF!</definedName>
    <definedName name="Intitules">Parametres!$B$5:$B$52</definedName>
    <definedName name="Seuil2D1">Parametres!$M$5:$M$52</definedName>
    <definedName name="Seuil2D2">Parametres!$U$5:$U$52</definedName>
    <definedName name="Seuil2SH">Parametres!$AN$5:$AN$52</definedName>
    <definedName name="Seuil2UF1">Parametres!$AC$5:$AC$52</definedName>
    <definedName name="Seuil2UF2">Parametres!$AI$5:$AI$52</definedName>
    <definedName name="SeuilD1">Parametres!$L$5:$L$52</definedName>
    <definedName name="SeuilD2">Parametres!$T$5:$T$52</definedName>
    <definedName name="SeuilS">Parametres!$D$5:$D$52</definedName>
    <definedName name="SeuilS2">Parametres!$E$5:$E$52</definedName>
    <definedName name="SeuilSH">Parametres!$AM$5:$AM$52</definedName>
    <definedName name="SeuilUF1">Parametres!$AB$5:$AB$52</definedName>
    <definedName name="SeuilUF2">Parametres!$AH$5:$AH$52</definedName>
    <definedName name="UF1Flux">Parametres!$AD$5:$AD$52</definedName>
  </definedNames>
  <calcPr calcId="145621"/>
  <fileRecoveryPr repairLoad="1"/>
</workbook>
</file>

<file path=xl/calcChain.xml><?xml version="1.0" encoding="utf-8"?>
<calcChain xmlns="http://schemas.openxmlformats.org/spreadsheetml/2006/main">
  <c r="AL52" i="17" l="1"/>
  <c r="AG52" i="17"/>
  <c r="AA52" i="17"/>
  <c r="U52" i="17"/>
  <c r="S52" i="17"/>
  <c r="M52" i="17"/>
  <c r="K52" i="17"/>
  <c r="J52" i="17"/>
  <c r="E52" i="17"/>
  <c r="AL51" i="17"/>
  <c r="AG51" i="17"/>
  <c r="AA51" i="17"/>
  <c r="U51" i="17"/>
  <c r="S51" i="17"/>
  <c r="K51" i="17"/>
  <c r="E51" i="17"/>
  <c r="AL50" i="17"/>
  <c r="AG50" i="17"/>
  <c r="AA50" i="17"/>
  <c r="U50" i="17"/>
  <c r="S50" i="17"/>
  <c r="K50" i="17"/>
  <c r="E50" i="17"/>
  <c r="U49" i="17"/>
  <c r="E49" i="17"/>
  <c r="AL48" i="17"/>
  <c r="AK48" i="17"/>
  <c r="AG48" i="17"/>
  <c r="AF48" i="17"/>
  <c r="AA48" i="17"/>
  <c r="Z48" i="17"/>
  <c r="U48" i="17"/>
  <c r="S48" i="17"/>
  <c r="R48" i="17"/>
  <c r="M48" i="17"/>
  <c r="K48" i="17"/>
  <c r="J48" i="17"/>
  <c r="E48" i="17"/>
  <c r="AL47" i="17"/>
  <c r="AK47" i="17"/>
  <c r="AG47" i="17"/>
  <c r="AF47" i="17"/>
  <c r="AA47" i="17"/>
  <c r="Z47" i="17"/>
  <c r="U47" i="17"/>
  <c r="S47" i="17"/>
  <c r="R47" i="17"/>
  <c r="M47" i="17"/>
  <c r="K47" i="17"/>
  <c r="J47" i="17"/>
  <c r="E47" i="17"/>
  <c r="AL46" i="17"/>
  <c r="AK46" i="17"/>
  <c r="AG46" i="17"/>
  <c r="AF46" i="17"/>
  <c r="AA46" i="17"/>
  <c r="Z46" i="17"/>
  <c r="U46" i="17"/>
  <c r="S46" i="17"/>
  <c r="R46" i="17"/>
  <c r="M46" i="17"/>
  <c r="K46" i="17"/>
  <c r="J46" i="17"/>
  <c r="AL45" i="17"/>
  <c r="AK45" i="17"/>
  <c r="AG45" i="17"/>
  <c r="AF45" i="17"/>
  <c r="AA45" i="17"/>
  <c r="Z45" i="17"/>
  <c r="U45" i="17"/>
  <c r="S45" i="17"/>
  <c r="R45" i="17"/>
  <c r="K45" i="17"/>
  <c r="J45" i="17"/>
  <c r="AL44" i="17"/>
  <c r="AK44" i="17"/>
  <c r="AG44" i="17"/>
  <c r="AF44" i="17"/>
  <c r="AA44" i="17"/>
  <c r="Z44" i="17"/>
  <c r="U44" i="17"/>
  <c r="S44" i="17"/>
  <c r="R44" i="17"/>
  <c r="K44" i="17"/>
  <c r="J44" i="17"/>
  <c r="AL43" i="17"/>
  <c r="AK43" i="17"/>
  <c r="AG43" i="17"/>
  <c r="AF43" i="17"/>
  <c r="AA43" i="17"/>
  <c r="Z43" i="17"/>
  <c r="U43" i="17"/>
  <c r="S43" i="17"/>
  <c r="R43" i="17"/>
  <c r="M43" i="17"/>
  <c r="K43" i="17"/>
  <c r="J43" i="17"/>
  <c r="E43" i="17"/>
  <c r="AL42" i="17"/>
  <c r="AK42" i="17"/>
  <c r="AG42" i="17"/>
  <c r="AF42" i="17"/>
  <c r="AA42" i="17"/>
  <c r="Z42" i="17"/>
  <c r="U42" i="17"/>
  <c r="S42" i="17"/>
  <c r="R42" i="17"/>
  <c r="M42" i="17"/>
  <c r="K42" i="17"/>
  <c r="J42" i="17"/>
  <c r="E42" i="17"/>
  <c r="AL41" i="17"/>
  <c r="AK41" i="17"/>
  <c r="AG41" i="17"/>
  <c r="AF41" i="17"/>
  <c r="AA41" i="17"/>
  <c r="Z41" i="17"/>
  <c r="U41" i="17"/>
  <c r="S41" i="17"/>
  <c r="R41" i="17"/>
  <c r="M41" i="17"/>
  <c r="K41" i="17"/>
  <c r="J41" i="17"/>
  <c r="AL40" i="17"/>
  <c r="AG40" i="17"/>
  <c r="AA40" i="17"/>
  <c r="U40" i="17"/>
  <c r="S40" i="17"/>
  <c r="K40" i="17"/>
  <c r="E40" i="17"/>
  <c r="AL39" i="17"/>
  <c r="AK39" i="17"/>
  <c r="AG39" i="17"/>
  <c r="AF39" i="17"/>
  <c r="AA39" i="17"/>
  <c r="Z39" i="17"/>
  <c r="U39" i="17"/>
  <c r="S39" i="17"/>
  <c r="R39" i="17"/>
  <c r="M39" i="17"/>
  <c r="K39" i="17"/>
  <c r="J39" i="17"/>
  <c r="E39" i="17"/>
  <c r="AL38" i="17"/>
  <c r="AG38" i="17"/>
  <c r="AA38" i="17"/>
  <c r="U38" i="17"/>
  <c r="S38" i="17"/>
  <c r="K38" i="17"/>
  <c r="E38" i="17"/>
  <c r="AL37" i="17"/>
  <c r="AK37" i="17"/>
  <c r="AG37" i="17"/>
  <c r="AF37" i="17"/>
  <c r="AA37" i="17"/>
  <c r="Z37" i="17"/>
  <c r="U37" i="17"/>
  <c r="S37" i="17"/>
  <c r="R37" i="17"/>
  <c r="M37" i="17"/>
  <c r="K37" i="17"/>
  <c r="J37" i="17"/>
  <c r="E37" i="17"/>
  <c r="AL36" i="17"/>
  <c r="AK36" i="17"/>
  <c r="AG36" i="17"/>
  <c r="AF36" i="17"/>
  <c r="AA36" i="17"/>
  <c r="Z36" i="17"/>
  <c r="U36" i="17"/>
  <c r="S36" i="17"/>
  <c r="R36" i="17"/>
  <c r="M36" i="17"/>
  <c r="K36" i="17"/>
  <c r="J36" i="17"/>
  <c r="E36" i="17"/>
  <c r="AL35" i="17"/>
  <c r="AK35" i="17"/>
  <c r="AG35" i="17"/>
  <c r="AF35" i="17"/>
  <c r="AA35" i="17"/>
  <c r="Z35" i="17"/>
  <c r="U35" i="17"/>
  <c r="S35" i="17"/>
  <c r="R35" i="17"/>
  <c r="M35" i="17"/>
  <c r="K35" i="17"/>
  <c r="J35" i="17"/>
  <c r="E35" i="17"/>
  <c r="AL34" i="17"/>
  <c r="AK34" i="17"/>
  <c r="AG34" i="17"/>
  <c r="AF34" i="17"/>
  <c r="AA34" i="17"/>
  <c r="Z34" i="17"/>
  <c r="U34" i="17"/>
  <c r="S34" i="17"/>
  <c r="R34" i="17"/>
  <c r="M34" i="17"/>
  <c r="K34" i="17"/>
  <c r="J34" i="17"/>
  <c r="E34" i="17"/>
  <c r="AL33" i="17"/>
  <c r="AK33" i="17"/>
  <c r="AG33" i="17"/>
  <c r="AF33" i="17"/>
  <c r="AA33" i="17"/>
  <c r="Z33" i="17"/>
  <c r="U33" i="17"/>
  <c r="S33" i="17"/>
  <c r="R33" i="17"/>
  <c r="M33" i="17"/>
  <c r="K33" i="17"/>
  <c r="J33" i="17"/>
  <c r="E33" i="17"/>
  <c r="AL32" i="17"/>
  <c r="AK32" i="17"/>
  <c r="AG32" i="17"/>
  <c r="AF32" i="17"/>
  <c r="AA32" i="17"/>
  <c r="Z32" i="17"/>
  <c r="U32" i="17"/>
  <c r="S32" i="17"/>
  <c r="R32" i="17"/>
  <c r="M32" i="17"/>
  <c r="K32" i="17"/>
  <c r="J32" i="17"/>
  <c r="E32" i="17"/>
  <c r="AL31" i="17"/>
  <c r="AG31" i="17"/>
  <c r="AA31" i="17"/>
  <c r="U31" i="17"/>
  <c r="S31" i="17"/>
  <c r="K31" i="17"/>
  <c r="E31" i="17"/>
  <c r="AL30" i="17"/>
  <c r="AK30" i="17"/>
  <c r="AG30" i="17"/>
  <c r="AF30" i="17"/>
  <c r="AA30" i="17"/>
  <c r="Z30" i="17"/>
  <c r="U30" i="17"/>
  <c r="S30" i="17"/>
  <c r="R30" i="17"/>
  <c r="M30" i="17"/>
  <c r="K30" i="17"/>
  <c r="J30" i="17"/>
  <c r="E30" i="17"/>
  <c r="AL29" i="17"/>
  <c r="AG29" i="17"/>
  <c r="AA29" i="17"/>
  <c r="U29" i="17"/>
  <c r="S29" i="17"/>
  <c r="K29" i="17"/>
  <c r="E29" i="17"/>
  <c r="AL28" i="17"/>
  <c r="AG28" i="17"/>
  <c r="AA28" i="17"/>
  <c r="U28" i="17"/>
  <c r="S28" i="17"/>
  <c r="K28" i="17"/>
  <c r="J28" i="17"/>
  <c r="E28" i="17"/>
  <c r="AL27" i="17"/>
  <c r="AG27" i="17"/>
  <c r="AA27" i="17"/>
  <c r="U27" i="17"/>
  <c r="S27" i="17"/>
  <c r="K27" i="17"/>
  <c r="E27" i="17"/>
  <c r="AL26" i="17"/>
  <c r="AG26" i="17"/>
  <c r="AA26" i="17"/>
  <c r="U26" i="17"/>
  <c r="S26" i="17"/>
  <c r="K26" i="17"/>
  <c r="J26" i="17"/>
  <c r="E26" i="17"/>
  <c r="AL25" i="17"/>
  <c r="AG25" i="17"/>
  <c r="AA25" i="17"/>
  <c r="U25" i="17"/>
  <c r="S25" i="17"/>
  <c r="K25" i="17"/>
  <c r="E25" i="17"/>
  <c r="AL24" i="17"/>
  <c r="AK24" i="17"/>
  <c r="AG24" i="17"/>
  <c r="AA24" i="17"/>
  <c r="Z24" i="17"/>
  <c r="U24" i="17"/>
  <c r="S24" i="17"/>
  <c r="M24" i="17"/>
  <c r="K24" i="17"/>
  <c r="J24" i="17"/>
  <c r="AF24" i="17" s="1"/>
  <c r="E24" i="17"/>
  <c r="AL23" i="17"/>
  <c r="AG23" i="17"/>
  <c r="AA23" i="17"/>
  <c r="U23" i="17"/>
  <c r="S23" i="17"/>
  <c r="K23" i="17"/>
  <c r="E23" i="17"/>
  <c r="AL22" i="17"/>
  <c r="AG22" i="17"/>
  <c r="AA22" i="17"/>
  <c r="U22" i="17"/>
  <c r="S22" i="17"/>
  <c r="K22" i="17"/>
  <c r="E22" i="17"/>
  <c r="AL21" i="17"/>
  <c r="AG21" i="17"/>
  <c r="AA21" i="17"/>
  <c r="U21" i="17"/>
  <c r="S21" i="17"/>
  <c r="E21" i="17"/>
  <c r="AL20" i="17"/>
  <c r="AK20" i="17"/>
  <c r="AG20" i="17"/>
  <c r="AF20" i="17"/>
  <c r="AA20" i="17"/>
  <c r="Z20" i="17"/>
  <c r="U20" i="17"/>
  <c r="S20" i="17"/>
  <c r="R20" i="17"/>
  <c r="M20" i="17"/>
  <c r="K20" i="17"/>
  <c r="J20" i="17"/>
  <c r="E20" i="17"/>
  <c r="AL19" i="17"/>
  <c r="AK19" i="17"/>
  <c r="AG19" i="17"/>
  <c r="AF19" i="17"/>
  <c r="AA19" i="17"/>
  <c r="Z19" i="17"/>
  <c r="U19" i="17"/>
  <c r="S19" i="17"/>
  <c r="R19" i="17"/>
  <c r="M19" i="17"/>
  <c r="K19" i="17"/>
  <c r="J19" i="17"/>
  <c r="E19" i="17"/>
  <c r="AL18" i="17"/>
  <c r="AK18" i="17"/>
  <c r="AG18" i="17"/>
  <c r="AF18" i="17"/>
  <c r="AA18" i="17"/>
  <c r="Z18" i="17"/>
  <c r="U18" i="17"/>
  <c r="S18" i="17"/>
  <c r="R18" i="17"/>
  <c r="M18" i="17"/>
  <c r="K18" i="17"/>
  <c r="J18" i="17"/>
  <c r="E18" i="17"/>
  <c r="AL17" i="17"/>
  <c r="AK17" i="17"/>
  <c r="AG17" i="17"/>
  <c r="AF17" i="17"/>
  <c r="AA17" i="17"/>
  <c r="Z17" i="17"/>
  <c r="U17" i="17"/>
  <c r="S17" i="17"/>
  <c r="R17" i="17"/>
  <c r="M17" i="17"/>
  <c r="K17" i="17"/>
  <c r="J17" i="17"/>
  <c r="E17" i="17"/>
  <c r="AL16" i="17"/>
  <c r="AG16" i="17"/>
  <c r="AA16" i="17"/>
  <c r="U16" i="17"/>
  <c r="S16" i="17"/>
  <c r="K16" i="17"/>
  <c r="E16" i="17"/>
  <c r="AL15" i="17"/>
  <c r="AG15" i="17"/>
  <c r="AA15" i="17"/>
  <c r="U15" i="17"/>
  <c r="S15" i="17"/>
  <c r="K15" i="17"/>
  <c r="E15" i="17"/>
  <c r="AL14" i="17"/>
  <c r="AK14" i="17"/>
  <c r="AG14" i="17"/>
  <c r="AF14" i="17"/>
  <c r="AA14" i="17"/>
  <c r="Z14" i="17"/>
  <c r="U14" i="17"/>
  <c r="S14" i="17"/>
  <c r="R14" i="17"/>
  <c r="M14" i="17"/>
  <c r="K14" i="17"/>
  <c r="J14" i="17"/>
  <c r="E14" i="17"/>
  <c r="AL13" i="17"/>
  <c r="AK13" i="17"/>
  <c r="AG13" i="17"/>
  <c r="AF13" i="17"/>
  <c r="AA13" i="17"/>
  <c r="Z13" i="17"/>
  <c r="U13" i="17"/>
  <c r="S13" i="17"/>
  <c r="R13" i="17"/>
  <c r="M13" i="17"/>
  <c r="K13" i="17"/>
  <c r="J13" i="17"/>
  <c r="E13" i="17"/>
  <c r="AL12" i="17"/>
  <c r="AK12" i="17"/>
  <c r="AG12" i="17"/>
  <c r="AF12" i="17"/>
  <c r="AA12" i="17"/>
  <c r="Z12" i="17"/>
  <c r="U12" i="17"/>
  <c r="S12" i="17"/>
  <c r="R12" i="17"/>
  <c r="M12" i="17"/>
  <c r="K12" i="17"/>
  <c r="J12" i="17"/>
  <c r="E12" i="17"/>
  <c r="AL11" i="17"/>
  <c r="AG11" i="17"/>
  <c r="AA11" i="17"/>
  <c r="U11" i="17"/>
  <c r="S11" i="17"/>
  <c r="K11" i="17"/>
  <c r="E11" i="17"/>
  <c r="AL10" i="17"/>
  <c r="AG10" i="17"/>
  <c r="AA10" i="17"/>
  <c r="U10" i="17"/>
  <c r="S10" i="17"/>
  <c r="K10" i="17"/>
  <c r="E10" i="17"/>
  <c r="AL9" i="17"/>
  <c r="AG9" i="17"/>
  <c r="AA9" i="17"/>
  <c r="U9" i="17"/>
  <c r="S9" i="17"/>
  <c r="K9" i="17"/>
  <c r="E9" i="17"/>
  <c r="AL8" i="17"/>
  <c r="AG8" i="17"/>
  <c r="AA8" i="17"/>
  <c r="U8" i="17"/>
  <c r="S8" i="17"/>
  <c r="K8" i="17"/>
  <c r="E8" i="17"/>
  <c r="AL7" i="17"/>
  <c r="AG7" i="17"/>
  <c r="AA7" i="17"/>
  <c r="U7" i="17"/>
  <c r="S7" i="17"/>
  <c r="K7" i="17"/>
  <c r="E7" i="17"/>
  <c r="AL6" i="17"/>
  <c r="AG6" i="17"/>
  <c r="AA6" i="17"/>
  <c r="U6" i="17"/>
  <c r="S6" i="17"/>
  <c r="K6" i="17"/>
  <c r="E6" i="17"/>
  <c r="AL5" i="17"/>
  <c r="AK5" i="17"/>
  <c r="AG5" i="17"/>
  <c r="AF5" i="17"/>
  <c r="AA5" i="17"/>
  <c r="Z5" i="17"/>
  <c r="U5" i="17"/>
  <c r="S5" i="17"/>
  <c r="R5" i="17"/>
  <c r="M5" i="17"/>
  <c r="K5" i="17"/>
  <c r="J5" i="17"/>
  <c r="E5" i="17"/>
  <c r="W591" i="15"/>
  <c r="N591" i="15"/>
  <c r="D591" i="15"/>
  <c r="D590" i="15"/>
  <c r="J590" i="15" s="1"/>
  <c r="F589" i="15"/>
  <c r="E589" i="15"/>
  <c r="G589" i="15" s="1"/>
  <c r="D589" i="15"/>
  <c r="J589" i="15" s="1"/>
  <c r="K589" i="15" s="1"/>
  <c r="D588" i="15"/>
  <c r="J588" i="15" s="1"/>
  <c r="D587" i="15"/>
  <c r="J587" i="15" s="1"/>
  <c r="AZ586" i="15"/>
  <c r="W585" i="15"/>
  <c r="W584" i="15"/>
  <c r="W583" i="15"/>
  <c r="W582" i="15"/>
  <c r="N582" i="15"/>
  <c r="G582" i="15"/>
  <c r="D582" i="15"/>
  <c r="J582" i="15" s="1"/>
  <c r="K582" i="15" s="1"/>
  <c r="W581" i="15"/>
  <c r="N581" i="15"/>
  <c r="D581" i="15"/>
  <c r="J581" i="15" s="1"/>
  <c r="W580" i="15"/>
  <c r="N580" i="15"/>
  <c r="D580" i="15"/>
  <c r="J580" i="15" s="1"/>
  <c r="W579" i="15"/>
  <c r="O579" i="15"/>
  <c r="N579" i="15"/>
  <c r="D579" i="15"/>
  <c r="D578" i="15"/>
  <c r="J578" i="15" s="1"/>
  <c r="D577" i="15"/>
  <c r="J577" i="15" s="1"/>
  <c r="W576" i="15"/>
  <c r="D576" i="15"/>
  <c r="W575" i="15"/>
  <c r="D575" i="15"/>
  <c r="W574" i="15"/>
  <c r="N574" i="15"/>
  <c r="D574" i="15"/>
  <c r="J574" i="15" s="1"/>
  <c r="D573" i="15"/>
  <c r="W572" i="15"/>
  <c r="D572" i="15"/>
  <c r="AR571" i="15"/>
  <c r="W571" i="15"/>
  <c r="N571" i="15"/>
  <c r="D571" i="15"/>
  <c r="W570" i="15"/>
  <c r="AC570" i="15" s="1"/>
  <c r="N570" i="15"/>
  <c r="D570" i="15"/>
  <c r="D569" i="15"/>
  <c r="AR568" i="15"/>
  <c r="AX568" i="15" s="1"/>
  <c r="D568" i="15"/>
  <c r="D567" i="15"/>
  <c r="J567" i="15" s="1"/>
  <c r="D566" i="15"/>
  <c r="J566" i="15" s="1"/>
  <c r="D565" i="15"/>
  <c r="W564" i="15"/>
  <c r="N564" i="15"/>
  <c r="D564" i="15"/>
  <c r="D563" i="15"/>
  <c r="D562" i="15"/>
  <c r="J562" i="15" s="1"/>
  <c r="AR561" i="15"/>
  <c r="W561" i="15"/>
  <c r="N561" i="15"/>
  <c r="D561" i="15"/>
  <c r="J561" i="15" s="1"/>
  <c r="N560" i="15"/>
  <c r="D560" i="15"/>
  <c r="AR559" i="15"/>
  <c r="W559" i="15"/>
  <c r="N559" i="15"/>
  <c r="D559" i="15"/>
  <c r="D558" i="15"/>
  <c r="D557" i="15"/>
  <c r="J557" i="15" s="1"/>
  <c r="D556" i="15"/>
  <c r="J556" i="15" s="1"/>
  <c r="W555" i="15"/>
  <c r="N555" i="15"/>
  <c r="D555" i="15"/>
  <c r="J555" i="15" s="1"/>
  <c r="W554" i="15"/>
  <c r="AC554" i="15" s="1"/>
  <c r="D554" i="15"/>
  <c r="J554" i="15" s="1"/>
  <c r="W553" i="15"/>
  <c r="N553" i="15"/>
  <c r="D553" i="15"/>
  <c r="D552" i="15"/>
  <c r="J552" i="15" s="1"/>
  <c r="D551" i="15"/>
  <c r="J551" i="15" s="1"/>
  <c r="D550" i="15"/>
  <c r="J550" i="15" s="1"/>
  <c r="D549" i="15"/>
  <c r="J549" i="15" s="1"/>
  <c r="D548" i="15"/>
  <c r="J548" i="15" s="1"/>
  <c r="D547" i="15"/>
  <c r="J547" i="15" s="1"/>
  <c r="W546" i="15"/>
  <c r="N546" i="15"/>
  <c r="D546" i="15"/>
  <c r="W542" i="15"/>
  <c r="N542" i="15"/>
  <c r="D542" i="15"/>
  <c r="D541" i="15"/>
  <c r="J541" i="15" s="1"/>
  <c r="F540" i="15"/>
  <c r="E540" i="15"/>
  <c r="G540" i="15" s="1"/>
  <c r="D540" i="15"/>
  <c r="J540" i="15" s="1"/>
  <c r="D539" i="15"/>
  <c r="J539" i="15" s="1"/>
  <c r="D538" i="15"/>
  <c r="J538" i="15" s="1"/>
  <c r="AZ537" i="15"/>
  <c r="W536" i="15"/>
  <c r="W535" i="15"/>
  <c r="W534" i="15"/>
  <c r="W533" i="15"/>
  <c r="N533" i="15"/>
  <c r="G533" i="15"/>
  <c r="D533" i="15"/>
  <c r="J533" i="15" s="1"/>
  <c r="K533" i="15" s="1"/>
  <c r="W532" i="15"/>
  <c r="N532" i="15"/>
  <c r="D532" i="15"/>
  <c r="J532" i="15" s="1"/>
  <c r="W531" i="15"/>
  <c r="N531" i="15"/>
  <c r="D531" i="15"/>
  <c r="J531" i="15" s="1"/>
  <c r="W530" i="15"/>
  <c r="O530" i="15"/>
  <c r="N530" i="15"/>
  <c r="D530" i="15"/>
  <c r="D529" i="15"/>
  <c r="J529" i="15" s="1"/>
  <c r="D528" i="15"/>
  <c r="J528" i="15" s="1"/>
  <c r="W527" i="15"/>
  <c r="D527" i="15"/>
  <c r="W526" i="15"/>
  <c r="D526" i="15"/>
  <c r="W525" i="15"/>
  <c r="N525" i="15"/>
  <c r="D525" i="15"/>
  <c r="J525" i="15" s="1"/>
  <c r="D524" i="15"/>
  <c r="W523" i="15"/>
  <c r="D523" i="15"/>
  <c r="AR522" i="15"/>
  <c r="W522" i="15"/>
  <c r="N522" i="15"/>
  <c r="D522" i="15"/>
  <c r="W521" i="15"/>
  <c r="AC521" i="15" s="1"/>
  <c r="N521" i="15"/>
  <c r="D521" i="15"/>
  <c r="D520" i="15"/>
  <c r="AR519" i="15"/>
  <c r="AX519" i="15" s="1"/>
  <c r="D519" i="15"/>
  <c r="D518" i="15"/>
  <c r="J518" i="15" s="1"/>
  <c r="D517" i="15"/>
  <c r="J517" i="15" s="1"/>
  <c r="D516" i="15"/>
  <c r="W515" i="15"/>
  <c r="N515" i="15"/>
  <c r="D515" i="15"/>
  <c r="D514" i="15"/>
  <c r="D513" i="15"/>
  <c r="J513" i="15" s="1"/>
  <c r="AR512" i="15"/>
  <c r="W512" i="15"/>
  <c r="N512" i="15"/>
  <c r="D512" i="15"/>
  <c r="J512" i="15" s="1"/>
  <c r="N511" i="15"/>
  <c r="D511" i="15"/>
  <c r="AR510" i="15"/>
  <c r="W510" i="15"/>
  <c r="N510" i="15"/>
  <c r="D510" i="15"/>
  <c r="D509" i="15"/>
  <c r="D508" i="15"/>
  <c r="J508" i="15" s="1"/>
  <c r="D507" i="15"/>
  <c r="J507" i="15" s="1"/>
  <c r="W506" i="15"/>
  <c r="N506" i="15"/>
  <c r="D506" i="15"/>
  <c r="J506" i="15" s="1"/>
  <c r="W505" i="15"/>
  <c r="AC505" i="15" s="1"/>
  <c r="D505" i="15"/>
  <c r="J505" i="15" s="1"/>
  <c r="W504" i="15"/>
  <c r="N504" i="15"/>
  <c r="D504" i="15"/>
  <c r="D503" i="15"/>
  <c r="J503" i="15" s="1"/>
  <c r="D502" i="15"/>
  <c r="J502" i="15" s="1"/>
  <c r="D501" i="15"/>
  <c r="J501" i="15" s="1"/>
  <c r="D500" i="15"/>
  <c r="J500" i="15" s="1"/>
  <c r="D499" i="15"/>
  <c r="J499" i="15" s="1"/>
  <c r="D498" i="15"/>
  <c r="J498" i="15" s="1"/>
  <c r="W497" i="15"/>
  <c r="N497" i="15"/>
  <c r="D497" i="15"/>
  <c r="W493" i="15"/>
  <c r="N493" i="15"/>
  <c r="D493" i="15"/>
  <c r="D492" i="15"/>
  <c r="J492" i="15" s="1"/>
  <c r="F491" i="15"/>
  <c r="E491" i="15"/>
  <c r="G491" i="15" s="1"/>
  <c r="D491" i="15"/>
  <c r="J491" i="15" s="1"/>
  <c r="D490" i="15"/>
  <c r="J490" i="15" s="1"/>
  <c r="D489" i="15"/>
  <c r="J489" i="15" s="1"/>
  <c r="AZ488" i="15"/>
  <c r="W487" i="15"/>
  <c r="W486" i="15"/>
  <c r="W485" i="15"/>
  <c r="W484" i="15"/>
  <c r="N484" i="15"/>
  <c r="G484" i="15"/>
  <c r="D484" i="15"/>
  <c r="J484" i="15" s="1"/>
  <c r="K484" i="15" s="1"/>
  <c r="W483" i="15"/>
  <c r="N483" i="15"/>
  <c r="D483" i="15"/>
  <c r="J483" i="15" s="1"/>
  <c r="W482" i="15"/>
  <c r="N482" i="15"/>
  <c r="D482" i="15"/>
  <c r="J482" i="15" s="1"/>
  <c r="W481" i="15"/>
  <c r="O481" i="15"/>
  <c r="N481" i="15"/>
  <c r="D481" i="15"/>
  <c r="D480" i="15"/>
  <c r="J480" i="15" s="1"/>
  <c r="D479" i="15"/>
  <c r="J479" i="15" s="1"/>
  <c r="W478" i="15"/>
  <c r="D478" i="15"/>
  <c r="W477" i="15"/>
  <c r="D477" i="15"/>
  <c r="W476" i="15"/>
  <c r="N476" i="15"/>
  <c r="D476" i="15"/>
  <c r="J476" i="15" s="1"/>
  <c r="D475" i="15"/>
  <c r="W474" i="15"/>
  <c r="D474" i="15"/>
  <c r="AR473" i="15"/>
  <c r="W473" i="15"/>
  <c r="N473" i="15"/>
  <c r="D473" i="15"/>
  <c r="W472" i="15"/>
  <c r="AC472" i="15" s="1"/>
  <c r="N472" i="15"/>
  <c r="D472" i="15"/>
  <c r="D471" i="15"/>
  <c r="AR470" i="15"/>
  <c r="AX470" i="15" s="1"/>
  <c r="D470" i="15"/>
  <c r="D469" i="15"/>
  <c r="J469" i="15" s="1"/>
  <c r="D468" i="15"/>
  <c r="J468" i="15" s="1"/>
  <c r="D467" i="15"/>
  <c r="W466" i="15"/>
  <c r="N466" i="15"/>
  <c r="D466" i="15"/>
  <c r="D465" i="15"/>
  <c r="D464" i="15"/>
  <c r="J464" i="15" s="1"/>
  <c r="AR463" i="15"/>
  <c r="W463" i="15"/>
  <c r="N463" i="15"/>
  <c r="D463" i="15"/>
  <c r="J463" i="15" s="1"/>
  <c r="N462" i="15"/>
  <c r="D462" i="15"/>
  <c r="AR461" i="15"/>
  <c r="W461" i="15"/>
  <c r="N461" i="15"/>
  <c r="D461" i="15"/>
  <c r="D460" i="15"/>
  <c r="D459" i="15"/>
  <c r="J459" i="15" s="1"/>
  <c r="D458" i="15"/>
  <c r="J458" i="15" s="1"/>
  <c r="W457" i="15"/>
  <c r="N457" i="15"/>
  <c r="D457" i="15"/>
  <c r="J457" i="15" s="1"/>
  <c r="W456" i="15"/>
  <c r="AC456" i="15" s="1"/>
  <c r="D456" i="15"/>
  <c r="J456" i="15" s="1"/>
  <c r="W455" i="15"/>
  <c r="N455" i="15"/>
  <c r="D455" i="15"/>
  <c r="D454" i="15"/>
  <c r="J454" i="15" s="1"/>
  <c r="D453" i="15"/>
  <c r="J453" i="15" s="1"/>
  <c r="D452" i="15"/>
  <c r="J452" i="15" s="1"/>
  <c r="D451" i="15"/>
  <c r="J451" i="15" s="1"/>
  <c r="D450" i="15"/>
  <c r="J450" i="15" s="1"/>
  <c r="D449" i="15"/>
  <c r="J449" i="15" s="1"/>
  <c r="W448" i="15"/>
  <c r="N448" i="15"/>
  <c r="D448" i="15"/>
  <c r="W444" i="15"/>
  <c r="N444" i="15"/>
  <c r="D444" i="15"/>
  <c r="D443" i="15"/>
  <c r="J443" i="15" s="1"/>
  <c r="F442" i="15"/>
  <c r="E442" i="15"/>
  <c r="G442" i="15" s="1"/>
  <c r="D442" i="15"/>
  <c r="J442" i="15" s="1"/>
  <c r="D441" i="15"/>
  <c r="J441" i="15" s="1"/>
  <c r="D440" i="15"/>
  <c r="J440" i="15" s="1"/>
  <c r="AZ439" i="15"/>
  <c r="W438" i="15"/>
  <c r="W437" i="15"/>
  <c r="W436" i="15"/>
  <c r="W435" i="15"/>
  <c r="N435" i="15"/>
  <c r="G435" i="15"/>
  <c r="D435" i="15"/>
  <c r="J435" i="15" s="1"/>
  <c r="K435" i="15" s="1"/>
  <c r="W434" i="15"/>
  <c r="N434" i="15"/>
  <c r="D434" i="15"/>
  <c r="J434" i="15" s="1"/>
  <c r="W433" i="15"/>
  <c r="N433" i="15"/>
  <c r="D433" i="15"/>
  <c r="J433" i="15" s="1"/>
  <c r="W432" i="15"/>
  <c r="O432" i="15"/>
  <c r="N432" i="15"/>
  <c r="D432" i="15"/>
  <c r="D431" i="15"/>
  <c r="J431" i="15" s="1"/>
  <c r="D430" i="15"/>
  <c r="J430" i="15" s="1"/>
  <c r="W429" i="15"/>
  <c r="D429" i="15"/>
  <c r="W428" i="15"/>
  <c r="D428" i="15"/>
  <c r="W427" i="15"/>
  <c r="N427" i="15"/>
  <c r="D427" i="15"/>
  <c r="J427" i="15" s="1"/>
  <c r="D426" i="15"/>
  <c r="W425" i="15"/>
  <c r="D425" i="15"/>
  <c r="AR424" i="15"/>
  <c r="W424" i="15"/>
  <c r="N424" i="15"/>
  <c r="D424" i="15"/>
  <c r="W423" i="15"/>
  <c r="AC423" i="15" s="1"/>
  <c r="N423" i="15"/>
  <c r="D423" i="15"/>
  <c r="D422" i="15"/>
  <c r="AR421" i="15"/>
  <c r="AX421" i="15" s="1"/>
  <c r="D421" i="15"/>
  <c r="D420" i="15"/>
  <c r="J420" i="15" s="1"/>
  <c r="D419" i="15"/>
  <c r="J419" i="15" s="1"/>
  <c r="D418" i="15"/>
  <c r="W417" i="15"/>
  <c r="N417" i="15"/>
  <c r="D417" i="15"/>
  <c r="D416" i="15"/>
  <c r="D415" i="15"/>
  <c r="J415" i="15" s="1"/>
  <c r="AR414" i="15"/>
  <c r="W414" i="15"/>
  <c r="N414" i="15"/>
  <c r="D414" i="15"/>
  <c r="J414" i="15" s="1"/>
  <c r="N413" i="15"/>
  <c r="D413" i="15"/>
  <c r="AR412" i="15"/>
  <c r="W412" i="15"/>
  <c r="N412" i="15"/>
  <c r="D412" i="15"/>
  <c r="D411" i="15"/>
  <c r="D410" i="15"/>
  <c r="J410" i="15" s="1"/>
  <c r="D409" i="15"/>
  <c r="J409" i="15" s="1"/>
  <c r="W408" i="15"/>
  <c r="N408" i="15"/>
  <c r="D408" i="15"/>
  <c r="J408" i="15" s="1"/>
  <c r="W407" i="15"/>
  <c r="AC407" i="15" s="1"/>
  <c r="D407" i="15"/>
  <c r="J407" i="15" s="1"/>
  <c r="W406" i="15"/>
  <c r="N406" i="15"/>
  <c r="D406" i="15"/>
  <c r="D405" i="15"/>
  <c r="J405" i="15" s="1"/>
  <c r="D404" i="15"/>
  <c r="J404" i="15" s="1"/>
  <c r="D403" i="15"/>
  <c r="J403" i="15" s="1"/>
  <c r="D402" i="15"/>
  <c r="J402" i="15" s="1"/>
  <c r="D401" i="15"/>
  <c r="J401" i="15" s="1"/>
  <c r="D400" i="15"/>
  <c r="J400" i="15" s="1"/>
  <c r="W399" i="15"/>
  <c r="N399" i="15"/>
  <c r="D399" i="15"/>
  <c r="W395" i="15"/>
  <c r="N395" i="15"/>
  <c r="D395" i="15"/>
  <c r="D394" i="15"/>
  <c r="J394" i="15" s="1"/>
  <c r="F393" i="15"/>
  <c r="E393" i="15"/>
  <c r="G393" i="15" s="1"/>
  <c r="D393" i="15"/>
  <c r="J393" i="15" s="1"/>
  <c r="D392" i="15"/>
  <c r="J392" i="15" s="1"/>
  <c r="D391" i="15"/>
  <c r="J391" i="15" s="1"/>
  <c r="AZ390" i="15"/>
  <c r="W389" i="15"/>
  <c r="W388" i="15"/>
  <c r="W387" i="15"/>
  <c r="W386" i="15"/>
  <c r="N386" i="15"/>
  <c r="G386" i="15"/>
  <c r="D386" i="15"/>
  <c r="J386" i="15" s="1"/>
  <c r="K386" i="15" s="1"/>
  <c r="W385" i="15"/>
  <c r="N385" i="15"/>
  <c r="D385" i="15"/>
  <c r="J385" i="15" s="1"/>
  <c r="W384" i="15"/>
  <c r="N384" i="15"/>
  <c r="D384" i="15"/>
  <c r="J384" i="15" s="1"/>
  <c r="W383" i="15"/>
  <c r="O383" i="15"/>
  <c r="N383" i="15"/>
  <c r="D383" i="15"/>
  <c r="D382" i="15"/>
  <c r="J382" i="15" s="1"/>
  <c r="D381" i="15"/>
  <c r="J381" i="15" s="1"/>
  <c r="W380" i="15"/>
  <c r="D380" i="15"/>
  <c r="W379" i="15"/>
  <c r="D379" i="15"/>
  <c r="W378" i="15"/>
  <c r="N378" i="15"/>
  <c r="D378" i="15"/>
  <c r="J378" i="15" s="1"/>
  <c r="D377" i="15"/>
  <c r="W376" i="15"/>
  <c r="D376" i="15"/>
  <c r="AR375" i="15"/>
  <c r="W375" i="15"/>
  <c r="N375" i="15"/>
  <c r="D375" i="15"/>
  <c r="W374" i="15"/>
  <c r="AC374" i="15" s="1"/>
  <c r="N374" i="15"/>
  <c r="D374" i="15"/>
  <c r="D373" i="15"/>
  <c r="AR372" i="15"/>
  <c r="AX372" i="15" s="1"/>
  <c r="D372" i="15"/>
  <c r="D371" i="15"/>
  <c r="J371" i="15" s="1"/>
  <c r="D370" i="15"/>
  <c r="J370" i="15" s="1"/>
  <c r="D369" i="15"/>
  <c r="W368" i="15"/>
  <c r="N368" i="15"/>
  <c r="D368" i="15"/>
  <c r="D367" i="15"/>
  <c r="D366" i="15"/>
  <c r="J366" i="15" s="1"/>
  <c r="AR365" i="15"/>
  <c r="W365" i="15"/>
  <c r="N365" i="15"/>
  <c r="D365" i="15"/>
  <c r="J365" i="15" s="1"/>
  <c r="N364" i="15"/>
  <c r="D364" i="15"/>
  <c r="AR363" i="15"/>
  <c r="W363" i="15"/>
  <c r="N363" i="15"/>
  <c r="D363" i="15"/>
  <c r="D362" i="15"/>
  <c r="D361" i="15"/>
  <c r="J361" i="15" s="1"/>
  <c r="D360" i="15"/>
  <c r="J360" i="15" s="1"/>
  <c r="W359" i="15"/>
  <c r="N359" i="15"/>
  <c r="D359" i="15"/>
  <c r="J359" i="15" s="1"/>
  <c r="W358" i="15"/>
  <c r="AC358" i="15" s="1"/>
  <c r="D358" i="15"/>
  <c r="J358" i="15" s="1"/>
  <c r="W357" i="15"/>
  <c r="N357" i="15"/>
  <c r="D357" i="15"/>
  <c r="D356" i="15"/>
  <c r="J356" i="15" s="1"/>
  <c r="D355" i="15"/>
  <c r="J355" i="15" s="1"/>
  <c r="D354" i="15"/>
  <c r="J354" i="15" s="1"/>
  <c r="D353" i="15"/>
  <c r="J353" i="15" s="1"/>
  <c r="D352" i="15"/>
  <c r="J352" i="15" s="1"/>
  <c r="D351" i="15"/>
  <c r="J351" i="15" s="1"/>
  <c r="W350" i="15"/>
  <c r="N350" i="15"/>
  <c r="D350" i="15"/>
  <c r="W346" i="15"/>
  <c r="N346" i="15"/>
  <c r="D346" i="15"/>
  <c r="D345" i="15"/>
  <c r="J345" i="15" s="1"/>
  <c r="F344" i="15"/>
  <c r="E344" i="15"/>
  <c r="G344" i="15" s="1"/>
  <c r="D344" i="15"/>
  <c r="J344" i="15" s="1"/>
  <c r="D343" i="15"/>
  <c r="J343" i="15" s="1"/>
  <c r="D342" i="15"/>
  <c r="J342" i="15" s="1"/>
  <c r="AZ341" i="15"/>
  <c r="W340" i="15"/>
  <c r="W339" i="15"/>
  <c r="W338" i="15"/>
  <c r="W337" i="15"/>
  <c r="N337" i="15"/>
  <c r="G337" i="15"/>
  <c r="D337" i="15"/>
  <c r="J337" i="15" s="1"/>
  <c r="K337" i="15" s="1"/>
  <c r="W336" i="15"/>
  <c r="N336" i="15"/>
  <c r="D336" i="15"/>
  <c r="J336" i="15" s="1"/>
  <c r="W335" i="15"/>
  <c r="N335" i="15"/>
  <c r="D335" i="15"/>
  <c r="J335" i="15" s="1"/>
  <c r="W334" i="15"/>
  <c r="O334" i="15"/>
  <c r="N334" i="15"/>
  <c r="D334" i="15"/>
  <c r="D333" i="15"/>
  <c r="J333" i="15" s="1"/>
  <c r="D332" i="15"/>
  <c r="J332" i="15" s="1"/>
  <c r="W331" i="15"/>
  <c r="D331" i="15"/>
  <c r="W330" i="15"/>
  <c r="D330" i="15"/>
  <c r="W329" i="15"/>
  <c r="N329" i="15"/>
  <c r="D329" i="15"/>
  <c r="J329" i="15" s="1"/>
  <c r="D328" i="15"/>
  <c r="W327" i="15"/>
  <c r="D327" i="15"/>
  <c r="AR326" i="15"/>
  <c r="W326" i="15"/>
  <c r="N326" i="15"/>
  <c r="D326" i="15"/>
  <c r="W325" i="15"/>
  <c r="AC325" i="15" s="1"/>
  <c r="N325" i="15"/>
  <c r="D325" i="15"/>
  <c r="D324" i="15"/>
  <c r="AR323" i="15"/>
  <c r="AX323" i="15" s="1"/>
  <c r="D323" i="15"/>
  <c r="D322" i="15"/>
  <c r="J322" i="15" s="1"/>
  <c r="D321" i="15"/>
  <c r="J321" i="15" s="1"/>
  <c r="D320" i="15"/>
  <c r="W319" i="15"/>
  <c r="N319" i="15"/>
  <c r="D319" i="15"/>
  <c r="D318" i="15"/>
  <c r="D317" i="15"/>
  <c r="J317" i="15" s="1"/>
  <c r="AR316" i="15"/>
  <c r="W316" i="15"/>
  <c r="N316" i="15"/>
  <c r="D316" i="15"/>
  <c r="J316" i="15" s="1"/>
  <c r="N315" i="15"/>
  <c r="D315" i="15"/>
  <c r="AR314" i="15"/>
  <c r="W314" i="15"/>
  <c r="N314" i="15"/>
  <c r="D314" i="15"/>
  <c r="D313" i="15"/>
  <c r="D312" i="15"/>
  <c r="J312" i="15" s="1"/>
  <c r="D311" i="15"/>
  <c r="J311" i="15" s="1"/>
  <c r="W310" i="15"/>
  <c r="N310" i="15"/>
  <c r="D310" i="15"/>
  <c r="J310" i="15" s="1"/>
  <c r="W309" i="15"/>
  <c r="AC309" i="15" s="1"/>
  <c r="D309" i="15"/>
  <c r="J309" i="15" s="1"/>
  <c r="W308" i="15"/>
  <c r="N308" i="15"/>
  <c r="D308" i="15"/>
  <c r="D307" i="15"/>
  <c r="J307" i="15" s="1"/>
  <c r="D306" i="15"/>
  <c r="J306" i="15" s="1"/>
  <c r="D305" i="15"/>
  <c r="J305" i="15" s="1"/>
  <c r="D304" i="15"/>
  <c r="J304" i="15" s="1"/>
  <c r="D303" i="15"/>
  <c r="J303" i="15" s="1"/>
  <c r="D302" i="15"/>
  <c r="J302" i="15" s="1"/>
  <c r="W301" i="15"/>
  <c r="N301" i="15"/>
  <c r="D301" i="15"/>
  <c r="W297" i="15"/>
  <c r="N297" i="15"/>
  <c r="D297" i="15"/>
  <c r="D296" i="15"/>
  <c r="J296" i="15" s="1"/>
  <c r="F295" i="15"/>
  <c r="E295" i="15"/>
  <c r="G295" i="15" s="1"/>
  <c r="D295" i="15"/>
  <c r="J295" i="15" s="1"/>
  <c r="D294" i="15"/>
  <c r="J294" i="15" s="1"/>
  <c r="D293" i="15"/>
  <c r="J293" i="15" s="1"/>
  <c r="AZ292" i="15"/>
  <c r="W291" i="15"/>
  <c r="W290" i="15"/>
  <c r="W289" i="15"/>
  <c r="W288" i="15"/>
  <c r="N288" i="15"/>
  <c r="G288" i="15"/>
  <c r="D288" i="15"/>
  <c r="J288" i="15" s="1"/>
  <c r="K288" i="15" s="1"/>
  <c r="W287" i="15"/>
  <c r="N287" i="15"/>
  <c r="D287" i="15"/>
  <c r="J287" i="15" s="1"/>
  <c r="W286" i="15"/>
  <c r="N286" i="15"/>
  <c r="D286" i="15"/>
  <c r="J286" i="15" s="1"/>
  <c r="W285" i="15"/>
  <c r="O285" i="15"/>
  <c r="N285" i="15"/>
  <c r="D285" i="15"/>
  <c r="D284" i="15"/>
  <c r="J284" i="15" s="1"/>
  <c r="D283" i="15"/>
  <c r="J283" i="15" s="1"/>
  <c r="W282" i="15"/>
  <c r="D282" i="15"/>
  <c r="W281" i="15"/>
  <c r="D281" i="15"/>
  <c r="W280" i="15"/>
  <c r="N280" i="15"/>
  <c r="D280" i="15"/>
  <c r="J280" i="15" s="1"/>
  <c r="D279" i="15"/>
  <c r="W278" i="15"/>
  <c r="D278" i="15"/>
  <c r="AR277" i="15"/>
  <c r="W277" i="15"/>
  <c r="N277" i="15"/>
  <c r="D277" i="15"/>
  <c r="W276" i="15"/>
  <c r="AC276" i="15" s="1"/>
  <c r="N276" i="15"/>
  <c r="D276" i="15"/>
  <c r="D275" i="15"/>
  <c r="AR274" i="15"/>
  <c r="AX274" i="15" s="1"/>
  <c r="D274" i="15"/>
  <c r="D273" i="15"/>
  <c r="J273" i="15" s="1"/>
  <c r="D272" i="15"/>
  <c r="J272" i="15" s="1"/>
  <c r="D271" i="15"/>
  <c r="W270" i="15"/>
  <c r="N270" i="15"/>
  <c r="D270" i="15"/>
  <c r="D269" i="15"/>
  <c r="D268" i="15"/>
  <c r="J268" i="15" s="1"/>
  <c r="AR267" i="15"/>
  <c r="W267" i="15"/>
  <c r="N267" i="15"/>
  <c r="D267" i="15"/>
  <c r="J267" i="15" s="1"/>
  <c r="N266" i="15"/>
  <c r="D266" i="15"/>
  <c r="AR265" i="15"/>
  <c r="W265" i="15"/>
  <c r="N265" i="15"/>
  <c r="D265" i="15"/>
  <c r="D264" i="15"/>
  <c r="D263" i="15"/>
  <c r="J263" i="15" s="1"/>
  <c r="D262" i="15"/>
  <c r="J262" i="15" s="1"/>
  <c r="W261" i="15"/>
  <c r="N261" i="15"/>
  <c r="D261" i="15"/>
  <c r="J261" i="15" s="1"/>
  <c r="W260" i="15"/>
  <c r="AC260" i="15" s="1"/>
  <c r="D260" i="15"/>
  <c r="J260" i="15" s="1"/>
  <c r="W259" i="15"/>
  <c r="N259" i="15"/>
  <c r="D259" i="15"/>
  <c r="D258" i="15"/>
  <c r="J258" i="15" s="1"/>
  <c r="D257" i="15"/>
  <c r="J257" i="15" s="1"/>
  <c r="D256" i="15"/>
  <c r="J256" i="15" s="1"/>
  <c r="D255" i="15"/>
  <c r="J255" i="15" s="1"/>
  <c r="D254" i="15"/>
  <c r="J254" i="15" s="1"/>
  <c r="D253" i="15"/>
  <c r="J253" i="15" s="1"/>
  <c r="W252" i="15"/>
  <c r="N252" i="15"/>
  <c r="D252" i="15"/>
  <c r="W248" i="15"/>
  <c r="N248" i="15"/>
  <c r="D248" i="15"/>
  <c r="D247" i="15"/>
  <c r="J247" i="15" s="1"/>
  <c r="F246" i="15"/>
  <c r="E246" i="15"/>
  <c r="G246" i="15" s="1"/>
  <c r="D246" i="15"/>
  <c r="J246" i="15" s="1"/>
  <c r="D245" i="15"/>
  <c r="J245" i="15" s="1"/>
  <c r="D244" i="15"/>
  <c r="J244" i="15" s="1"/>
  <c r="AZ243" i="15"/>
  <c r="W242" i="15"/>
  <c r="W241" i="15"/>
  <c r="W240" i="15"/>
  <c r="W239" i="15"/>
  <c r="N239" i="15"/>
  <c r="G239" i="15"/>
  <c r="D239" i="15"/>
  <c r="J239" i="15" s="1"/>
  <c r="K239" i="15" s="1"/>
  <c r="W238" i="15"/>
  <c r="N238" i="15"/>
  <c r="D238" i="15"/>
  <c r="J238" i="15" s="1"/>
  <c r="W237" i="15"/>
  <c r="N237" i="15"/>
  <c r="D237" i="15"/>
  <c r="J237" i="15" s="1"/>
  <c r="W236" i="15"/>
  <c r="O236" i="15"/>
  <c r="N236" i="15"/>
  <c r="D236" i="15"/>
  <c r="D235" i="15"/>
  <c r="J235" i="15" s="1"/>
  <c r="D234" i="15"/>
  <c r="J234" i="15" s="1"/>
  <c r="W233" i="15"/>
  <c r="D233" i="15"/>
  <c r="W232" i="15"/>
  <c r="D232" i="15"/>
  <c r="W231" i="15"/>
  <c r="N231" i="15"/>
  <c r="D231" i="15"/>
  <c r="J231" i="15" s="1"/>
  <c r="D230" i="15"/>
  <c r="W229" i="15"/>
  <c r="D229" i="15"/>
  <c r="AR228" i="15"/>
  <c r="W228" i="15"/>
  <c r="N228" i="15"/>
  <c r="D228" i="15"/>
  <c r="W227" i="15"/>
  <c r="AC227" i="15" s="1"/>
  <c r="N227" i="15"/>
  <c r="D227" i="15"/>
  <c r="D226" i="15"/>
  <c r="AR225" i="15"/>
  <c r="AX225" i="15" s="1"/>
  <c r="D225" i="15"/>
  <c r="D224" i="15"/>
  <c r="J224" i="15" s="1"/>
  <c r="D223" i="15"/>
  <c r="J223" i="15" s="1"/>
  <c r="D222" i="15"/>
  <c r="W221" i="15"/>
  <c r="N221" i="15"/>
  <c r="D221" i="15"/>
  <c r="D220" i="15"/>
  <c r="D219" i="15"/>
  <c r="J219" i="15" s="1"/>
  <c r="AR218" i="15"/>
  <c r="W218" i="15"/>
  <c r="N218" i="15"/>
  <c r="D218" i="15"/>
  <c r="J218" i="15" s="1"/>
  <c r="N217" i="15"/>
  <c r="D217" i="15"/>
  <c r="AR216" i="15"/>
  <c r="W216" i="15"/>
  <c r="N216" i="15"/>
  <c r="D216" i="15"/>
  <c r="D215" i="15"/>
  <c r="D214" i="15"/>
  <c r="J214" i="15" s="1"/>
  <c r="D213" i="15"/>
  <c r="J213" i="15" s="1"/>
  <c r="W212" i="15"/>
  <c r="N212" i="15"/>
  <c r="D212" i="15"/>
  <c r="J212" i="15" s="1"/>
  <c r="W211" i="15"/>
  <c r="AC211" i="15" s="1"/>
  <c r="D211" i="15"/>
  <c r="J211" i="15" s="1"/>
  <c r="W210" i="15"/>
  <c r="N210" i="15"/>
  <c r="D210" i="15"/>
  <c r="D209" i="15"/>
  <c r="J209" i="15" s="1"/>
  <c r="D208" i="15"/>
  <c r="J208" i="15" s="1"/>
  <c r="D207" i="15"/>
  <c r="J207" i="15" s="1"/>
  <c r="D206" i="15"/>
  <c r="J206" i="15" s="1"/>
  <c r="D205" i="15"/>
  <c r="J205" i="15" s="1"/>
  <c r="D204" i="15"/>
  <c r="J204" i="15" s="1"/>
  <c r="W203" i="15"/>
  <c r="N203" i="15"/>
  <c r="D203" i="15"/>
  <c r="D199" i="15"/>
  <c r="J199" i="15" s="1"/>
  <c r="F198" i="15"/>
  <c r="E198" i="15"/>
  <c r="AZ198" i="15" s="1"/>
  <c r="D198" i="15"/>
  <c r="J198" i="15" s="1"/>
  <c r="D197" i="15"/>
  <c r="J197" i="15" s="1"/>
  <c r="D196" i="15"/>
  <c r="J196" i="15" s="1"/>
  <c r="AZ195" i="15"/>
  <c r="W194" i="15"/>
  <c r="W193" i="15"/>
  <c r="W192" i="15"/>
  <c r="W191" i="15"/>
  <c r="N191" i="15"/>
  <c r="G191" i="15"/>
  <c r="D191" i="15"/>
  <c r="J191" i="15" s="1"/>
  <c r="K191" i="15" s="1"/>
  <c r="W190" i="15"/>
  <c r="N190" i="15"/>
  <c r="D190" i="15"/>
  <c r="J190" i="15" s="1"/>
  <c r="W189" i="15"/>
  <c r="N189" i="15"/>
  <c r="D189" i="15"/>
  <c r="J189" i="15" s="1"/>
  <c r="W188" i="15"/>
  <c r="O188" i="15"/>
  <c r="N188" i="15"/>
  <c r="D188" i="15"/>
  <c r="D187" i="15"/>
  <c r="J187" i="15" s="1"/>
  <c r="D186" i="15"/>
  <c r="J186" i="15" s="1"/>
  <c r="W185" i="15"/>
  <c r="D185" i="15"/>
  <c r="W184" i="15"/>
  <c r="D184" i="15"/>
  <c r="W183" i="15"/>
  <c r="N183" i="15"/>
  <c r="D183" i="15"/>
  <c r="J183" i="15" s="1"/>
  <c r="D182" i="15"/>
  <c r="W181" i="15"/>
  <c r="D181" i="15"/>
  <c r="AR180" i="15"/>
  <c r="W180" i="15"/>
  <c r="N180" i="15"/>
  <c r="D180" i="15"/>
  <c r="AC179" i="15"/>
  <c r="W179" i="15"/>
  <c r="N179" i="15"/>
  <c r="D179" i="15"/>
  <c r="D178" i="15"/>
  <c r="AX177" i="15"/>
  <c r="AR177" i="15"/>
  <c r="D177" i="15"/>
  <c r="J176" i="15"/>
  <c r="D176" i="15"/>
  <c r="D175" i="15"/>
  <c r="J175" i="15" s="1"/>
  <c r="D174" i="15"/>
  <c r="W173" i="15"/>
  <c r="N173" i="15"/>
  <c r="D173" i="15"/>
  <c r="D172" i="15"/>
  <c r="D171" i="15"/>
  <c r="J171" i="15" s="1"/>
  <c r="AR170" i="15"/>
  <c r="W170" i="15"/>
  <c r="N170" i="15"/>
  <c r="J170" i="15"/>
  <c r="D170" i="15"/>
  <c r="N169" i="15"/>
  <c r="D169" i="15"/>
  <c r="AR168" i="15"/>
  <c r="W168" i="15"/>
  <c r="N168" i="15"/>
  <c r="D168" i="15"/>
  <c r="D167" i="15"/>
  <c r="D166" i="15"/>
  <c r="J166" i="15" s="1"/>
  <c r="D165" i="15"/>
  <c r="J165" i="15" s="1"/>
  <c r="W164" i="15"/>
  <c r="N164" i="15"/>
  <c r="D164" i="15"/>
  <c r="J164" i="15" s="1"/>
  <c r="W163" i="15"/>
  <c r="AC163" i="15" s="1"/>
  <c r="D163" i="15"/>
  <c r="J163" i="15" s="1"/>
  <c r="W162" i="15"/>
  <c r="N162" i="15"/>
  <c r="D162" i="15"/>
  <c r="D161" i="15"/>
  <c r="J161" i="15" s="1"/>
  <c r="D160" i="15"/>
  <c r="J160" i="15" s="1"/>
  <c r="D159" i="15"/>
  <c r="J159" i="15" s="1"/>
  <c r="D158" i="15"/>
  <c r="J158" i="15" s="1"/>
  <c r="D157" i="15"/>
  <c r="J157" i="15" s="1"/>
  <c r="D156" i="15"/>
  <c r="J156" i="15" s="1"/>
  <c r="W155" i="15"/>
  <c r="N155" i="15"/>
  <c r="D155" i="15"/>
  <c r="W151" i="15"/>
  <c r="N151" i="15"/>
  <c r="D151" i="15"/>
  <c r="D150" i="15"/>
  <c r="J150" i="15" s="1"/>
  <c r="F149" i="15"/>
  <c r="E149" i="15"/>
  <c r="G149" i="15" s="1"/>
  <c r="D149" i="15"/>
  <c r="J149" i="15" s="1"/>
  <c r="D148" i="15"/>
  <c r="J148" i="15" s="1"/>
  <c r="D147" i="15"/>
  <c r="J147" i="15" s="1"/>
  <c r="AZ146" i="15"/>
  <c r="W145" i="15"/>
  <c r="W144" i="15"/>
  <c r="W143" i="15"/>
  <c r="W142" i="15"/>
  <c r="N142" i="15"/>
  <c r="G142" i="15"/>
  <c r="D142" i="15"/>
  <c r="J142" i="15" s="1"/>
  <c r="K142" i="15" s="1"/>
  <c r="W141" i="15"/>
  <c r="N141" i="15"/>
  <c r="D141" i="15"/>
  <c r="J141" i="15" s="1"/>
  <c r="W140" i="15"/>
  <c r="N140" i="15"/>
  <c r="D140" i="15"/>
  <c r="J140" i="15" s="1"/>
  <c r="W139" i="15"/>
  <c r="O139" i="15"/>
  <c r="N139" i="15"/>
  <c r="D139" i="15"/>
  <c r="D138" i="15"/>
  <c r="J138" i="15" s="1"/>
  <c r="D137" i="15"/>
  <c r="J137" i="15" s="1"/>
  <c r="W136" i="15"/>
  <c r="D136" i="15"/>
  <c r="W135" i="15"/>
  <c r="D135" i="15"/>
  <c r="W134" i="15"/>
  <c r="N134" i="15"/>
  <c r="D134" i="15"/>
  <c r="J134" i="15" s="1"/>
  <c r="D133" i="15"/>
  <c r="W132" i="15"/>
  <c r="D132" i="15"/>
  <c r="AR131" i="15"/>
  <c r="W131" i="15"/>
  <c r="N131" i="15"/>
  <c r="D131" i="15"/>
  <c r="W130" i="15"/>
  <c r="AC130" i="15" s="1"/>
  <c r="N130" i="15"/>
  <c r="D130" i="15"/>
  <c r="D129" i="15"/>
  <c r="AR128" i="15"/>
  <c r="AX128" i="15" s="1"/>
  <c r="D128" i="15"/>
  <c r="D127" i="15"/>
  <c r="J127" i="15" s="1"/>
  <c r="D126" i="15"/>
  <c r="J126" i="15" s="1"/>
  <c r="D125" i="15"/>
  <c r="W124" i="15"/>
  <c r="N124" i="15"/>
  <c r="D124" i="15"/>
  <c r="D123" i="15"/>
  <c r="D122" i="15"/>
  <c r="J122" i="15" s="1"/>
  <c r="AR121" i="15"/>
  <c r="W121" i="15"/>
  <c r="N121" i="15"/>
  <c r="D121" i="15"/>
  <c r="J121" i="15" s="1"/>
  <c r="N120" i="15"/>
  <c r="D120" i="15"/>
  <c r="AR119" i="15"/>
  <c r="W119" i="15"/>
  <c r="N119" i="15"/>
  <c r="D119" i="15"/>
  <c r="D118" i="15"/>
  <c r="D117" i="15"/>
  <c r="J117" i="15" s="1"/>
  <c r="D116" i="15"/>
  <c r="J116" i="15" s="1"/>
  <c r="W115" i="15"/>
  <c r="N115" i="15"/>
  <c r="D115" i="15"/>
  <c r="J115" i="15" s="1"/>
  <c r="W114" i="15"/>
  <c r="AC114" i="15" s="1"/>
  <c r="D114" i="15"/>
  <c r="J114" i="15" s="1"/>
  <c r="W113" i="15"/>
  <c r="N113" i="15"/>
  <c r="D113" i="15"/>
  <c r="D112" i="15"/>
  <c r="J112" i="15" s="1"/>
  <c r="D111" i="15"/>
  <c r="J111" i="15" s="1"/>
  <c r="D110" i="15"/>
  <c r="J110" i="15" s="1"/>
  <c r="J109" i="15"/>
  <c r="D109" i="15"/>
  <c r="D108" i="15"/>
  <c r="J108" i="15" s="1"/>
  <c r="J107" i="15"/>
  <c r="D107" i="15"/>
  <c r="W106" i="15"/>
  <c r="N106" i="15"/>
  <c r="D106" i="15"/>
  <c r="W102" i="15"/>
  <c r="N102" i="15"/>
  <c r="D102" i="15"/>
  <c r="D101" i="15"/>
  <c r="J101" i="15" s="1"/>
  <c r="F100" i="15"/>
  <c r="E100" i="15"/>
  <c r="G100" i="15" s="1"/>
  <c r="D100" i="15"/>
  <c r="J100" i="15" s="1"/>
  <c r="D99" i="15"/>
  <c r="J99" i="15" s="1"/>
  <c r="D98" i="15"/>
  <c r="J98" i="15" s="1"/>
  <c r="AZ97" i="15"/>
  <c r="W96" i="15"/>
  <c r="W95" i="15"/>
  <c r="W94" i="15"/>
  <c r="W93" i="15"/>
  <c r="N93" i="15"/>
  <c r="G93" i="15"/>
  <c r="D93" i="15"/>
  <c r="J93" i="15" s="1"/>
  <c r="K93" i="15" s="1"/>
  <c r="W92" i="15"/>
  <c r="N92" i="15"/>
  <c r="D92" i="15"/>
  <c r="J92" i="15" s="1"/>
  <c r="W91" i="15"/>
  <c r="N91" i="15"/>
  <c r="D91" i="15"/>
  <c r="J91" i="15" s="1"/>
  <c r="W90" i="15"/>
  <c r="O90" i="15"/>
  <c r="N90" i="15"/>
  <c r="D90" i="15"/>
  <c r="J89" i="15"/>
  <c r="D89" i="15"/>
  <c r="D88" i="15"/>
  <c r="J88" i="15" s="1"/>
  <c r="W87" i="15"/>
  <c r="D87" i="15"/>
  <c r="W86" i="15"/>
  <c r="D86" i="15"/>
  <c r="W85" i="15"/>
  <c r="N85" i="15"/>
  <c r="D85" i="15"/>
  <c r="J85" i="15" s="1"/>
  <c r="D84" i="15"/>
  <c r="W83" i="15"/>
  <c r="D83" i="15"/>
  <c r="AR82" i="15"/>
  <c r="W82" i="15"/>
  <c r="N82" i="15"/>
  <c r="D82" i="15"/>
  <c r="W81" i="15"/>
  <c r="AC81" i="15" s="1"/>
  <c r="N81" i="15"/>
  <c r="D81" i="15"/>
  <c r="D80" i="15"/>
  <c r="AR79" i="15"/>
  <c r="AX79" i="15" s="1"/>
  <c r="D79" i="15"/>
  <c r="D78" i="15"/>
  <c r="J78" i="15" s="1"/>
  <c r="D77" i="15"/>
  <c r="J77" i="15" s="1"/>
  <c r="D76" i="15"/>
  <c r="W75" i="15"/>
  <c r="N75" i="15"/>
  <c r="D75" i="15"/>
  <c r="D74" i="15"/>
  <c r="D73" i="15"/>
  <c r="J73" i="15" s="1"/>
  <c r="AR72" i="15"/>
  <c r="W72" i="15"/>
  <c r="N72" i="15"/>
  <c r="D72" i="15"/>
  <c r="J72" i="15" s="1"/>
  <c r="N71" i="15"/>
  <c r="D71" i="15"/>
  <c r="AR70" i="15"/>
  <c r="W70" i="15"/>
  <c r="N70" i="15"/>
  <c r="D70" i="15"/>
  <c r="D69" i="15"/>
  <c r="D68" i="15"/>
  <c r="J68" i="15" s="1"/>
  <c r="D67" i="15"/>
  <c r="J67" i="15" s="1"/>
  <c r="W66" i="15"/>
  <c r="N66" i="15"/>
  <c r="D66" i="15"/>
  <c r="J66" i="15" s="1"/>
  <c r="W65" i="15"/>
  <c r="AC65" i="15" s="1"/>
  <c r="D65" i="15"/>
  <c r="J65" i="15" s="1"/>
  <c r="W64" i="15"/>
  <c r="N64" i="15"/>
  <c r="D64" i="15"/>
  <c r="D63" i="15"/>
  <c r="J63" i="15" s="1"/>
  <c r="D62" i="15"/>
  <c r="J62" i="15" s="1"/>
  <c r="D61" i="15"/>
  <c r="J61" i="15" s="1"/>
  <c r="D60" i="15"/>
  <c r="J60" i="15" s="1"/>
  <c r="D59" i="15"/>
  <c r="J59" i="15" s="1"/>
  <c r="D58" i="15"/>
  <c r="J58" i="15" s="1"/>
  <c r="W57" i="15"/>
  <c r="N57" i="15"/>
  <c r="D57" i="15"/>
  <c r="W53" i="15"/>
  <c r="N53" i="15"/>
  <c r="D53" i="15"/>
  <c r="D52" i="15"/>
  <c r="J52" i="15" s="1"/>
  <c r="F51" i="15"/>
  <c r="E51" i="15"/>
  <c r="K51" i="15" s="1"/>
  <c r="D51" i="15"/>
  <c r="J51" i="15" s="1"/>
  <c r="D50" i="15"/>
  <c r="J50" i="15" s="1"/>
  <c r="J49" i="15"/>
  <c r="D49" i="15"/>
  <c r="AZ48" i="15"/>
  <c r="W47" i="15"/>
  <c r="W46" i="15"/>
  <c r="W45" i="15"/>
  <c r="W44" i="15"/>
  <c r="N44" i="15"/>
  <c r="J44" i="15"/>
  <c r="D44" i="15"/>
  <c r="W43" i="15"/>
  <c r="N43" i="15"/>
  <c r="D43" i="15"/>
  <c r="J43" i="15" s="1"/>
  <c r="W42" i="15"/>
  <c r="N42" i="15"/>
  <c r="J42" i="15"/>
  <c r="D42" i="15"/>
  <c r="W41" i="15"/>
  <c r="O41" i="15"/>
  <c r="N41" i="15"/>
  <c r="D41" i="15"/>
  <c r="D40" i="15"/>
  <c r="J40" i="15" s="1"/>
  <c r="D39" i="15"/>
  <c r="J39" i="15" s="1"/>
  <c r="W38" i="15"/>
  <c r="D38" i="15"/>
  <c r="W37" i="15"/>
  <c r="D37" i="15"/>
  <c r="W36" i="15"/>
  <c r="N36" i="15"/>
  <c r="D36" i="15"/>
  <c r="J36" i="15" s="1"/>
  <c r="D35" i="15"/>
  <c r="W34" i="15"/>
  <c r="D34" i="15"/>
  <c r="AR33" i="15"/>
  <c r="W33" i="15"/>
  <c r="N33" i="15"/>
  <c r="D33" i="15"/>
  <c r="W32" i="15"/>
  <c r="AC32" i="15" s="1"/>
  <c r="N32" i="15"/>
  <c r="D32" i="15"/>
  <c r="D31" i="15"/>
  <c r="AR30" i="15"/>
  <c r="AX30" i="15" s="1"/>
  <c r="D30" i="15"/>
  <c r="D29" i="15"/>
  <c r="J29" i="15" s="1"/>
  <c r="J28" i="15"/>
  <c r="D28" i="15"/>
  <c r="D27" i="15"/>
  <c r="W26" i="15"/>
  <c r="N26" i="15"/>
  <c r="D26" i="15"/>
  <c r="D25" i="15"/>
  <c r="D24" i="15"/>
  <c r="J24" i="15" s="1"/>
  <c r="AR23" i="15"/>
  <c r="W23" i="15"/>
  <c r="N23" i="15"/>
  <c r="D23" i="15"/>
  <c r="J23" i="15" s="1"/>
  <c r="N22" i="15"/>
  <c r="D22" i="15"/>
  <c r="AR21" i="15"/>
  <c r="W21" i="15"/>
  <c r="N21" i="15"/>
  <c r="D21" i="15"/>
  <c r="D20" i="15"/>
  <c r="J19" i="15"/>
  <c r="D19" i="15"/>
  <c r="D18" i="15"/>
  <c r="J18" i="15" s="1"/>
  <c r="W17" i="15"/>
  <c r="N17" i="15"/>
  <c r="J17" i="15"/>
  <c r="D17" i="15"/>
  <c r="W16" i="15"/>
  <c r="AC16" i="15" s="1"/>
  <c r="D16" i="15"/>
  <c r="J16" i="15" s="1"/>
  <c r="W15" i="15"/>
  <c r="N15" i="15"/>
  <c r="D15" i="15"/>
  <c r="J14" i="15"/>
  <c r="D14" i="15"/>
  <c r="D13" i="15"/>
  <c r="J13" i="15" s="1"/>
  <c r="J12" i="15"/>
  <c r="D12" i="15"/>
  <c r="J11" i="15"/>
  <c r="D11" i="15"/>
  <c r="F10" i="15"/>
  <c r="D10" i="15"/>
  <c r="J10" i="15" s="1"/>
  <c r="A10" i="15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F9" i="15"/>
  <c r="D9" i="15"/>
  <c r="J9" i="15" s="1"/>
  <c r="A9" i="15"/>
  <c r="W8" i="15"/>
  <c r="N8" i="15"/>
  <c r="F8" i="15"/>
  <c r="D8" i="15"/>
  <c r="Q197" i="8"/>
  <c r="P197" i="8"/>
  <c r="Q134" i="8"/>
  <c r="P134" i="8"/>
  <c r="M129" i="8"/>
  <c r="M128" i="8"/>
  <c r="M127" i="8"/>
  <c r="M126" i="8"/>
  <c r="M125" i="8"/>
  <c r="M124" i="8"/>
  <c r="M123" i="8"/>
  <c r="M122" i="8"/>
  <c r="M121" i="8"/>
  <c r="M120" i="8"/>
  <c r="M119" i="8"/>
  <c r="Q110" i="8"/>
  <c r="G109" i="8"/>
  <c r="G108" i="8"/>
  <c r="G107" i="8"/>
  <c r="G106" i="8"/>
  <c r="G105" i="8"/>
  <c r="G104" i="8"/>
  <c r="G103" i="8"/>
  <c r="G102" i="8"/>
  <c r="G101" i="8"/>
  <c r="G100" i="8"/>
  <c r="G99" i="8"/>
  <c r="G90" i="8"/>
  <c r="R88" i="8"/>
  <c r="Q88" i="8"/>
  <c r="B55" i="8"/>
  <c r="B56" i="8" s="1"/>
  <c r="B57" i="8" s="1"/>
  <c r="B58" i="8" s="1"/>
  <c r="B59" i="8" s="1"/>
  <c r="B60" i="8" s="1"/>
  <c r="B61" i="8" s="1"/>
  <c r="B62" i="8" s="1"/>
  <c r="B63" i="8" s="1"/>
  <c r="B64" i="8" s="1"/>
  <c r="B65" i="8" s="1"/>
  <c r="G46" i="8"/>
  <c r="Q45" i="8"/>
  <c r="P45" i="8"/>
  <c r="A12" i="8"/>
  <c r="L402" i="4"/>
  <c r="K402" i="4"/>
  <c r="J402" i="4"/>
  <c r="H402" i="4"/>
  <c r="C400" i="4"/>
  <c r="AY398" i="4"/>
  <c r="AY402" i="4" s="1"/>
  <c r="AV398" i="4"/>
  <c r="AV402" i="4" s="1"/>
  <c r="AS398" i="4"/>
  <c r="AS402" i="4" s="1"/>
  <c r="AP398" i="4"/>
  <c r="AP402" i="4" s="1"/>
  <c r="AM398" i="4"/>
  <c r="AM402" i="4" s="1"/>
  <c r="AJ398" i="4"/>
  <c r="AJ402" i="4" s="1"/>
  <c r="AG398" i="4"/>
  <c r="AG402" i="4" s="1"/>
  <c r="AD398" i="4"/>
  <c r="AD402" i="4" s="1"/>
  <c r="AA398" i="4"/>
  <c r="AA402" i="4" s="1"/>
  <c r="I398" i="4"/>
  <c r="C398" i="4"/>
  <c r="C402" i="4" s="1"/>
  <c r="AY397" i="4"/>
  <c r="AY401" i="4" s="1"/>
  <c r="AV397" i="4"/>
  <c r="AV401" i="4" s="1"/>
  <c r="AS397" i="4"/>
  <c r="AS401" i="4" s="1"/>
  <c r="AP397" i="4"/>
  <c r="AP401" i="4" s="1"/>
  <c r="AM397" i="4"/>
  <c r="AM401" i="4" s="1"/>
  <c r="AJ397" i="4"/>
  <c r="AJ401" i="4" s="1"/>
  <c r="AG397" i="4"/>
  <c r="AG401" i="4" s="1"/>
  <c r="AD397" i="4"/>
  <c r="AD401" i="4" s="1"/>
  <c r="AA397" i="4"/>
  <c r="AA401" i="4" s="1"/>
  <c r="I397" i="4"/>
  <c r="I401" i="4" s="1"/>
  <c r="C397" i="4"/>
  <c r="C401" i="4" s="1"/>
  <c r="AY395" i="4"/>
  <c r="AV395" i="4"/>
  <c r="AS395" i="4"/>
  <c r="AP395" i="4"/>
  <c r="AM395" i="4"/>
  <c r="AJ395" i="4"/>
  <c r="AG395" i="4"/>
  <c r="AD395" i="4"/>
  <c r="AA395" i="4"/>
  <c r="U395" i="4"/>
  <c r="R395" i="4"/>
  <c r="O395" i="4"/>
  <c r="L395" i="4"/>
  <c r="K395" i="4"/>
  <c r="I395" i="4"/>
  <c r="I402" i="4" s="1"/>
  <c r="H395" i="4"/>
  <c r="C395" i="4"/>
  <c r="AY394" i="4"/>
  <c r="AY396" i="4" s="1"/>
  <c r="AV394" i="4"/>
  <c r="AV396" i="4" s="1"/>
  <c r="AS394" i="4"/>
  <c r="AS396" i="4" s="1"/>
  <c r="AP394" i="4"/>
  <c r="AP396" i="4" s="1"/>
  <c r="AM394" i="4"/>
  <c r="AM396" i="4" s="1"/>
  <c r="AJ394" i="4"/>
  <c r="AJ396" i="4" s="1"/>
  <c r="AG394" i="4"/>
  <c r="AG396" i="4" s="1"/>
  <c r="AD394" i="4"/>
  <c r="AD396" i="4" s="1"/>
  <c r="AA394" i="4"/>
  <c r="AA396" i="4" s="1"/>
  <c r="U394" i="4"/>
  <c r="U396" i="4" s="1"/>
  <c r="R394" i="4"/>
  <c r="R396" i="4" s="1"/>
  <c r="O394" i="4"/>
  <c r="O396" i="4" s="1"/>
  <c r="L394" i="4"/>
  <c r="L401" i="4" s="1"/>
  <c r="K394" i="4"/>
  <c r="K401" i="4" s="1"/>
  <c r="I394" i="4"/>
  <c r="I396" i="4" s="1"/>
  <c r="C394" i="4"/>
  <c r="C396" i="4" s="1"/>
  <c r="AL393" i="4"/>
  <c r="AL392" i="4"/>
  <c r="AY391" i="4"/>
  <c r="AV391" i="4"/>
  <c r="AS391" i="4"/>
  <c r="AP391" i="4"/>
  <c r="AM391" i="4"/>
  <c r="AJ391" i="4"/>
  <c r="AG391" i="4"/>
  <c r="AD391" i="4"/>
  <c r="AA391" i="4"/>
  <c r="U391" i="4"/>
  <c r="R391" i="4"/>
  <c r="O391" i="4"/>
  <c r="L391" i="4"/>
  <c r="K391" i="4"/>
  <c r="I391" i="4"/>
  <c r="C391" i="4"/>
  <c r="AY390" i="4"/>
  <c r="AX390" i="4"/>
  <c r="AV390" i="4"/>
  <c r="AU390" i="4"/>
  <c r="AS390" i="4"/>
  <c r="AP390" i="4"/>
  <c r="AO390" i="4"/>
  <c r="AM390" i="4"/>
  <c r="AL390" i="4"/>
  <c r="AJ390" i="4"/>
  <c r="AI390" i="4"/>
  <c r="AG390" i="4"/>
  <c r="AF390" i="4"/>
  <c r="AD390" i="4"/>
  <c r="AA390" i="4"/>
  <c r="Z390" i="4"/>
  <c r="U390" i="4"/>
  <c r="R390" i="4"/>
  <c r="O390" i="4"/>
  <c r="L390" i="4"/>
  <c r="K390" i="4"/>
  <c r="I390" i="4"/>
  <c r="F390" i="4"/>
  <c r="E390" i="4"/>
  <c r="D390" i="4"/>
  <c r="C390" i="4"/>
  <c r="I388" i="4"/>
  <c r="I389" i="4" s="1"/>
  <c r="G388" i="4"/>
  <c r="G389" i="4" s="1"/>
  <c r="C387" i="4"/>
  <c r="BG385" i="4"/>
  <c r="O385" i="4"/>
  <c r="L385" i="4"/>
  <c r="K385" i="4"/>
  <c r="BG384" i="4"/>
  <c r="AY384" i="4"/>
  <c r="P112" i="8" s="1"/>
  <c r="AV384" i="4"/>
  <c r="L112" i="8" s="1"/>
  <c r="AS384" i="4"/>
  <c r="K112" i="8" s="1"/>
  <c r="AP384" i="4"/>
  <c r="M112" i="8" s="1"/>
  <c r="AM384" i="4"/>
  <c r="AJ384" i="4"/>
  <c r="AG384" i="4"/>
  <c r="J112" i="8" s="1"/>
  <c r="AD384" i="4"/>
  <c r="N112" i="8" s="1"/>
  <c r="AA384" i="4"/>
  <c r="Q112" i="8" s="1"/>
  <c r="U384" i="4"/>
  <c r="R384" i="4"/>
  <c r="R387" i="4" s="1"/>
  <c r="O384" i="4"/>
  <c r="O387" i="4" s="1"/>
  <c r="L384" i="4"/>
  <c r="K384" i="4"/>
  <c r="I384" i="4"/>
  <c r="C384" i="4"/>
  <c r="BG383" i="4"/>
  <c r="AY383" i="4"/>
  <c r="AV383" i="4"/>
  <c r="AS383" i="4"/>
  <c r="AP383" i="4"/>
  <c r="AM383" i="4"/>
  <c r="AJ383" i="4"/>
  <c r="AG383" i="4"/>
  <c r="AD383" i="4"/>
  <c r="AA383" i="4"/>
  <c r="U383" i="4"/>
  <c r="R383" i="4"/>
  <c r="O383" i="4"/>
  <c r="L383" i="4"/>
  <c r="K383" i="4"/>
  <c r="I383" i="4"/>
  <c r="C383" i="4"/>
  <c r="BG382" i="4"/>
  <c r="AY382" i="4"/>
  <c r="AV382" i="4"/>
  <c r="AS382" i="4"/>
  <c r="AP382" i="4"/>
  <c r="AM382" i="4"/>
  <c r="AJ382" i="4"/>
  <c r="AG382" i="4"/>
  <c r="AD382" i="4"/>
  <c r="AA382" i="4"/>
  <c r="U382" i="4"/>
  <c r="R382" i="4"/>
  <c r="O382" i="4"/>
  <c r="L382" i="4"/>
  <c r="K382" i="4"/>
  <c r="I382" i="4"/>
  <c r="C382" i="4"/>
  <c r="BG381" i="4"/>
  <c r="AY381" i="4"/>
  <c r="AV381" i="4"/>
  <c r="AS381" i="4"/>
  <c r="AP381" i="4"/>
  <c r="AM381" i="4"/>
  <c r="AJ381" i="4"/>
  <c r="AG381" i="4"/>
  <c r="AD381" i="4"/>
  <c r="AA381" i="4"/>
  <c r="U381" i="4"/>
  <c r="R381" i="4"/>
  <c r="O381" i="4"/>
  <c r="L381" i="4"/>
  <c r="K381" i="4"/>
  <c r="I381" i="4"/>
  <c r="C381" i="4"/>
  <c r="C393" i="4" s="1"/>
  <c r="BG380" i="4"/>
  <c r="AY380" i="4"/>
  <c r="AV380" i="4"/>
  <c r="AS380" i="4"/>
  <c r="AP380" i="4"/>
  <c r="AM380" i="4"/>
  <c r="AJ380" i="4"/>
  <c r="AG380" i="4"/>
  <c r="AD380" i="4"/>
  <c r="AA380" i="4"/>
  <c r="U380" i="4"/>
  <c r="R380" i="4"/>
  <c r="O380" i="4"/>
  <c r="L380" i="4"/>
  <c r="L393" i="4" s="1"/>
  <c r="K380" i="4"/>
  <c r="AH379" i="4"/>
  <c r="AE379" i="4"/>
  <c r="X379" i="4"/>
  <c r="M379" i="4"/>
  <c r="G379" i="4"/>
  <c r="B379" i="4"/>
  <c r="BJ379" i="4" s="1"/>
  <c r="BL378" i="4"/>
  <c r="BK378" i="4"/>
  <c r="BH378" i="4"/>
  <c r="AW378" i="4"/>
  <c r="AQ378" i="4"/>
  <c r="AK378" i="4"/>
  <c r="AH378" i="4"/>
  <c r="AE378" i="4"/>
  <c r="Y378" i="4"/>
  <c r="X378" i="4"/>
  <c r="V378" i="4"/>
  <c r="P378" i="4"/>
  <c r="M378" i="4"/>
  <c r="G378" i="4"/>
  <c r="B378" i="4"/>
  <c r="AZ378" i="4" s="1"/>
  <c r="BL377" i="4"/>
  <c r="BK377" i="4"/>
  <c r="BH377" i="4"/>
  <c r="AZ377" i="4"/>
  <c r="AW377" i="4"/>
  <c r="AT377" i="4"/>
  <c r="AQ377" i="4"/>
  <c r="AN377" i="4"/>
  <c r="AK377" i="4"/>
  <c r="AH377" i="4"/>
  <c r="AE377" i="4"/>
  <c r="AB377" i="4"/>
  <c r="X377" i="4"/>
  <c r="Y377" i="4" s="1"/>
  <c r="V377" i="4"/>
  <c r="S377" i="4"/>
  <c r="P377" i="4"/>
  <c r="N377" i="4"/>
  <c r="M377" i="4"/>
  <c r="J377" i="4"/>
  <c r="G377" i="4"/>
  <c r="BL376" i="4"/>
  <c r="BK376" i="4"/>
  <c r="BH376" i="4"/>
  <c r="AT376" i="4"/>
  <c r="AH376" i="4"/>
  <c r="AE376" i="4"/>
  <c r="AB376" i="4"/>
  <c r="X376" i="4"/>
  <c r="S376" i="4"/>
  <c r="M376" i="4"/>
  <c r="G376" i="4"/>
  <c r="B376" i="4"/>
  <c r="BL375" i="4"/>
  <c r="BK375" i="4"/>
  <c r="BH375" i="4"/>
  <c r="AW375" i="4"/>
  <c r="AQ375" i="4"/>
  <c r="AK375" i="4"/>
  <c r="AH375" i="4"/>
  <c r="AE375" i="4"/>
  <c r="Y375" i="4"/>
  <c r="X375" i="4"/>
  <c r="V375" i="4"/>
  <c r="P375" i="4"/>
  <c r="M375" i="4"/>
  <c r="G375" i="4"/>
  <c r="B375" i="4"/>
  <c r="AZ375" i="4" s="1"/>
  <c r="BL374" i="4"/>
  <c r="BK374" i="4"/>
  <c r="BH374" i="4"/>
  <c r="AT374" i="4"/>
  <c r="AH374" i="4"/>
  <c r="AE374" i="4"/>
  <c r="AB374" i="4"/>
  <c r="X374" i="4"/>
  <c r="S374" i="4"/>
  <c r="M374" i="4"/>
  <c r="G374" i="4"/>
  <c r="B374" i="4"/>
  <c r="BL373" i="4"/>
  <c r="BK373" i="4"/>
  <c r="BH373" i="4"/>
  <c r="AW373" i="4"/>
  <c r="AQ373" i="4"/>
  <c r="AK373" i="4"/>
  <c r="AH373" i="4"/>
  <c r="AE373" i="4"/>
  <c r="Y373" i="4"/>
  <c r="X373" i="4"/>
  <c r="V373" i="4"/>
  <c r="P373" i="4"/>
  <c r="M373" i="4"/>
  <c r="G373" i="4"/>
  <c r="B373" i="4"/>
  <c r="AZ373" i="4" s="1"/>
  <c r="BL372" i="4"/>
  <c r="BK372" i="4"/>
  <c r="BH372" i="4"/>
  <c r="AT372" i="4"/>
  <c r="AH372" i="4"/>
  <c r="AE372" i="4"/>
  <c r="AB372" i="4"/>
  <c r="X372" i="4"/>
  <c r="S372" i="4"/>
  <c r="M372" i="4"/>
  <c r="G372" i="4"/>
  <c r="B372" i="4"/>
  <c r="BL371" i="4"/>
  <c r="BK371" i="4"/>
  <c r="BH371" i="4"/>
  <c r="AW371" i="4"/>
  <c r="AQ371" i="4"/>
  <c r="AK371" i="4"/>
  <c r="Y371" i="4"/>
  <c r="X371" i="4"/>
  <c r="V371" i="4"/>
  <c r="P371" i="4"/>
  <c r="M371" i="4"/>
  <c r="G371" i="4"/>
  <c r="B371" i="4"/>
  <c r="AZ371" i="4" s="1"/>
  <c r="BL370" i="4"/>
  <c r="BK370" i="4"/>
  <c r="BH370" i="4"/>
  <c r="AH370" i="4"/>
  <c r="AE370" i="4"/>
  <c r="X370" i="4"/>
  <c r="M370" i="4"/>
  <c r="G370" i="4"/>
  <c r="B370" i="4"/>
  <c r="AT370" i="4" s="1"/>
  <c r="BL369" i="4"/>
  <c r="BK369" i="4"/>
  <c r="BH369" i="4"/>
  <c r="AW369" i="4"/>
  <c r="AQ369" i="4"/>
  <c r="AK369" i="4"/>
  <c r="AH369" i="4"/>
  <c r="AE369" i="4"/>
  <c r="Y369" i="4"/>
  <c r="X369" i="4"/>
  <c r="V369" i="4"/>
  <c r="P369" i="4"/>
  <c r="M369" i="4"/>
  <c r="G369" i="4"/>
  <c r="B369" i="4"/>
  <c r="AZ369" i="4" s="1"/>
  <c r="BL368" i="4"/>
  <c r="BK368" i="4"/>
  <c r="BH368" i="4"/>
  <c r="AH368" i="4"/>
  <c r="AE368" i="4"/>
  <c r="X368" i="4"/>
  <c r="M368" i="4"/>
  <c r="G368" i="4"/>
  <c r="B368" i="4"/>
  <c r="AT368" i="4" s="1"/>
  <c r="BL367" i="4"/>
  <c r="BK367" i="4"/>
  <c r="BH367" i="4"/>
  <c r="AW367" i="4"/>
  <c r="AQ367" i="4"/>
  <c r="AK367" i="4"/>
  <c r="AH367" i="4"/>
  <c r="AE367" i="4"/>
  <c r="Y367" i="4"/>
  <c r="X367" i="4"/>
  <c r="V367" i="4"/>
  <c r="P367" i="4"/>
  <c r="M367" i="4"/>
  <c r="G367" i="4"/>
  <c r="B367" i="4"/>
  <c r="AZ367" i="4" s="1"/>
  <c r="BL366" i="4"/>
  <c r="BK366" i="4"/>
  <c r="BH366" i="4"/>
  <c r="AH366" i="4"/>
  <c r="AE366" i="4"/>
  <c r="X366" i="4"/>
  <c r="M366" i="4"/>
  <c r="G366" i="4"/>
  <c r="B366" i="4"/>
  <c r="AT366" i="4" s="1"/>
  <c r="BL365" i="4"/>
  <c r="BK365" i="4"/>
  <c r="BH365" i="4"/>
  <c r="AW365" i="4"/>
  <c r="AQ365" i="4"/>
  <c r="AK365" i="4"/>
  <c r="AH365" i="4"/>
  <c r="AE365" i="4"/>
  <c r="Y365" i="4"/>
  <c r="X365" i="4"/>
  <c r="V365" i="4"/>
  <c r="P365" i="4"/>
  <c r="M365" i="4"/>
  <c r="G365" i="4"/>
  <c r="B365" i="4"/>
  <c r="BL364" i="4"/>
  <c r="BK364" i="4"/>
  <c r="BH364" i="4"/>
  <c r="AZ364" i="4"/>
  <c r="AN364" i="4"/>
  <c r="AB364" i="4"/>
  <c r="X364" i="4"/>
  <c r="S364" i="4"/>
  <c r="M364" i="4"/>
  <c r="G364" i="4"/>
  <c r="B364" i="4"/>
  <c r="BL363" i="4"/>
  <c r="BK363" i="4"/>
  <c r="BH363" i="4"/>
  <c r="AW363" i="4"/>
  <c r="AQ363" i="4"/>
  <c r="AK363" i="4"/>
  <c r="AH363" i="4"/>
  <c r="AE363" i="4"/>
  <c r="Y363" i="4"/>
  <c r="X363" i="4"/>
  <c r="V363" i="4"/>
  <c r="P363" i="4"/>
  <c r="M363" i="4"/>
  <c r="G363" i="4"/>
  <c r="B363" i="4"/>
  <c r="AZ363" i="4" s="1"/>
  <c r="BL362" i="4"/>
  <c r="BK362" i="4"/>
  <c r="BH362" i="4"/>
  <c r="AT362" i="4"/>
  <c r="AH362" i="4"/>
  <c r="AE362" i="4"/>
  <c r="AB362" i="4"/>
  <c r="X362" i="4"/>
  <c r="S362" i="4"/>
  <c r="M362" i="4"/>
  <c r="G362" i="4"/>
  <c r="B362" i="4"/>
  <c r="BL361" i="4"/>
  <c r="BK361" i="4"/>
  <c r="BH361" i="4"/>
  <c r="AW361" i="4"/>
  <c r="AQ361" i="4"/>
  <c r="AK361" i="4"/>
  <c r="AH361" i="4"/>
  <c r="AE361" i="4"/>
  <c r="Y361" i="4"/>
  <c r="X361" i="4"/>
  <c r="V361" i="4"/>
  <c r="P361" i="4"/>
  <c r="M361" i="4"/>
  <c r="G361" i="4"/>
  <c r="B361" i="4"/>
  <c r="AZ361" i="4" s="1"/>
  <c r="BL360" i="4"/>
  <c r="BK360" i="4"/>
  <c r="BH360" i="4"/>
  <c r="AT360" i="4"/>
  <c r="AH360" i="4"/>
  <c r="AE360" i="4"/>
  <c r="AB360" i="4"/>
  <c r="X360" i="4"/>
  <c r="S360" i="4"/>
  <c r="M360" i="4"/>
  <c r="G360" i="4"/>
  <c r="B360" i="4"/>
  <c r="BL359" i="4"/>
  <c r="BK359" i="4"/>
  <c r="BH359" i="4"/>
  <c r="AW359" i="4"/>
  <c r="AQ359" i="4"/>
  <c r="AK359" i="4"/>
  <c r="AH359" i="4"/>
  <c r="AE359" i="4"/>
  <c r="Y359" i="4"/>
  <c r="X359" i="4"/>
  <c r="V359" i="4"/>
  <c r="P359" i="4"/>
  <c r="M359" i="4"/>
  <c r="G359" i="4"/>
  <c r="B359" i="4"/>
  <c r="AZ359" i="4" s="1"/>
  <c r="BL358" i="4"/>
  <c r="BK358" i="4"/>
  <c r="BH358" i="4"/>
  <c r="AT358" i="4"/>
  <c r="AH358" i="4"/>
  <c r="AE358" i="4"/>
  <c r="AB358" i="4"/>
  <c r="X358" i="4"/>
  <c r="S358" i="4"/>
  <c r="M358" i="4"/>
  <c r="G358" i="4"/>
  <c r="B358" i="4"/>
  <c r="BL357" i="4"/>
  <c r="BK357" i="4"/>
  <c r="BH357" i="4"/>
  <c r="AW357" i="4"/>
  <c r="AQ357" i="4"/>
  <c r="AK357" i="4"/>
  <c r="Y357" i="4"/>
  <c r="X357" i="4"/>
  <c r="V357" i="4"/>
  <c r="P357" i="4"/>
  <c r="M357" i="4"/>
  <c r="G357" i="4"/>
  <c r="B357" i="4"/>
  <c r="AZ357" i="4" s="1"/>
  <c r="BL356" i="4"/>
  <c r="BK356" i="4"/>
  <c r="BH356" i="4"/>
  <c r="AH356" i="4"/>
  <c r="AE356" i="4"/>
  <c r="X356" i="4"/>
  <c r="M356" i="4"/>
  <c r="G356" i="4"/>
  <c r="B356" i="4"/>
  <c r="AT356" i="4" s="1"/>
  <c r="BL355" i="4"/>
  <c r="BK355" i="4"/>
  <c r="BH355" i="4"/>
  <c r="AW355" i="4"/>
  <c r="AQ355" i="4"/>
  <c r="AK355" i="4"/>
  <c r="AH355" i="4"/>
  <c r="AE355" i="4"/>
  <c r="Y355" i="4"/>
  <c r="X355" i="4"/>
  <c r="V355" i="4"/>
  <c r="P355" i="4"/>
  <c r="M355" i="4"/>
  <c r="G355" i="4"/>
  <c r="B355" i="4"/>
  <c r="AZ355" i="4" s="1"/>
  <c r="BL354" i="4"/>
  <c r="BK354" i="4"/>
  <c r="BH354" i="4"/>
  <c r="AH354" i="4"/>
  <c r="AE354" i="4"/>
  <c r="X354" i="4"/>
  <c r="M354" i="4"/>
  <c r="G354" i="4"/>
  <c r="B354" i="4"/>
  <c r="AT354" i="4" s="1"/>
  <c r="BL353" i="4"/>
  <c r="BK353" i="4"/>
  <c r="BH353" i="4"/>
  <c r="AW353" i="4"/>
  <c r="AQ353" i="4"/>
  <c r="AK353" i="4"/>
  <c r="AH353" i="4"/>
  <c r="AE353" i="4"/>
  <c r="Y353" i="4"/>
  <c r="X353" i="4"/>
  <c r="V353" i="4"/>
  <c r="P353" i="4"/>
  <c r="M353" i="4"/>
  <c r="G353" i="4"/>
  <c r="B353" i="4"/>
  <c r="AZ353" i="4" s="1"/>
  <c r="BL352" i="4"/>
  <c r="BK352" i="4"/>
  <c r="BH352" i="4"/>
  <c r="AH352" i="4"/>
  <c r="AE352" i="4"/>
  <c r="X352" i="4"/>
  <c r="M352" i="4"/>
  <c r="G352" i="4"/>
  <c r="B352" i="4"/>
  <c r="AT352" i="4" s="1"/>
  <c r="BL351" i="4"/>
  <c r="BK351" i="4"/>
  <c r="BH351" i="4"/>
  <c r="AW351" i="4"/>
  <c r="AQ351" i="4"/>
  <c r="AK351" i="4"/>
  <c r="AH351" i="4"/>
  <c r="AE351" i="4"/>
  <c r="Y351" i="4"/>
  <c r="X351" i="4"/>
  <c r="V351" i="4"/>
  <c r="P351" i="4"/>
  <c r="M351" i="4"/>
  <c r="G351" i="4"/>
  <c r="B351" i="4"/>
  <c r="BL350" i="4"/>
  <c r="BK350" i="4"/>
  <c r="BH350" i="4"/>
  <c r="AZ350" i="4"/>
  <c r="AN350" i="4"/>
  <c r="AB350" i="4"/>
  <c r="X350" i="4"/>
  <c r="S350" i="4"/>
  <c r="M350" i="4"/>
  <c r="G350" i="4"/>
  <c r="B350" i="4"/>
  <c r="BL349" i="4"/>
  <c r="BK349" i="4"/>
  <c r="BH349" i="4"/>
  <c r="AW349" i="4"/>
  <c r="AQ349" i="4"/>
  <c r="AK349" i="4"/>
  <c r="AH349" i="4"/>
  <c r="AE349" i="4"/>
  <c r="Y349" i="4"/>
  <c r="X349" i="4"/>
  <c r="V349" i="4"/>
  <c r="P349" i="4"/>
  <c r="M349" i="4"/>
  <c r="G349" i="4"/>
  <c r="B349" i="4"/>
  <c r="AZ349" i="4" s="1"/>
  <c r="BL348" i="4"/>
  <c r="BK348" i="4"/>
  <c r="BH348" i="4"/>
  <c r="AT348" i="4"/>
  <c r="AH348" i="4"/>
  <c r="AE348" i="4"/>
  <c r="AB348" i="4"/>
  <c r="X348" i="4"/>
  <c r="S348" i="4"/>
  <c r="M348" i="4"/>
  <c r="G348" i="4"/>
  <c r="B348" i="4"/>
  <c r="BL347" i="4"/>
  <c r="BK347" i="4"/>
  <c r="BH347" i="4"/>
  <c r="AW347" i="4"/>
  <c r="AQ347" i="4"/>
  <c r="AK347" i="4"/>
  <c r="AH347" i="4"/>
  <c r="AE347" i="4"/>
  <c r="Y347" i="4"/>
  <c r="X347" i="4"/>
  <c r="V347" i="4"/>
  <c r="P347" i="4"/>
  <c r="M347" i="4"/>
  <c r="G347" i="4"/>
  <c r="B347" i="4"/>
  <c r="AZ347" i="4" s="1"/>
  <c r="BL346" i="4"/>
  <c r="BK346" i="4"/>
  <c r="BH346" i="4"/>
  <c r="AT346" i="4"/>
  <c r="AH346" i="4"/>
  <c r="AE346" i="4"/>
  <c r="AB346" i="4"/>
  <c r="X346" i="4"/>
  <c r="S346" i="4"/>
  <c r="M346" i="4"/>
  <c r="G346" i="4"/>
  <c r="B346" i="4"/>
  <c r="BL345" i="4"/>
  <c r="BK345" i="4"/>
  <c r="BH345" i="4"/>
  <c r="AW345" i="4"/>
  <c r="AQ345" i="4"/>
  <c r="AK345" i="4"/>
  <c r="AH345" i="4"/>
  <c r="AE345" i="4"/>
  <c r="Y345" i="4"/>
  <c r="X345" i="4"/>
  <c r="V345" i="4"/>
  <c r="P345" i="4"/>
  <c r="M345" i="4"/>
  <c r="G345" i="4"/>
  <c r="B345" i="4"/>
  <c r="AZ345" i="4" s="1"/>
  <c r="BL344" i="4"/>
  <c r="BK344" i="4"/>
  <c r="BH344" i="4"/>
  <c r="AT344" i="4"/>
  <c r="AH344" i="4"/>
  <c r="AE344" i="4"/>
  <c r="AB344" i="4"/>
  <c r="X344" i="4"/>
  <c r="S344" i="4"/>
  <c r="M344" i="4"/>
  <c r="G344" i="4"/>
  <c r="B344" i="4"/>
  <c r="BL343" i="4"/>
  <c r="BK343" i="4"/>
  <c r="BH343" i="4"/>
  <c r="AW343" i="4"/>
  <c r="AQ343" i="4"/>
  <c r="AK343" i="4"/>
  <c r="Y343" i="4"/>
  <c r="X343" i="4"/>
  <c r="V343" i="4"/>
  <c r="P343" i="4"/>
  <c r="M343" i="4"/>
  <c r="G343" i="4"/>
  <c r="B343" i="4"/>
  <c r="AZ343" i="4" s="1"/>
  <c r="BL342" i="4"/>
  <c r="BK342" i="4"/>
  <c r="BH342" i="4"/>
  <c r="AH342" i="4"/>
  <c r="AE342" i="4"/>
  <c r="X342" i="4"/>
  <c r="M342" i="4"/>
  <c r="G342" i="4"/>
  <c r="B342" i="4"/>
  <c r="AT342" i="4" s="1"/>
  <c r="BL341" i="4"/>
  <c r="BK341" i="4"/>
  <c r="BH341" i="4"/>
  <c r="AW341" i="4"/>
  <c r="AQ341" i="4"/>
  <c r="AK341" i="4"/>
  <c r="AH341" i="4"/>
  <c r="AE341" i="4"/>
  <c r="Y341" i="4"/>
  <c r="X341" i="4"/>
  <c r="V341" i="4"/>
  <c r="P341" i="4"/>
  <c r="M341" i="4"/>
  <c r="G341" i="4"/>
  <c r="B341" i="4"/>
  <c r="AZ341" i="4" s="1"/>
  <c r="BL340" i="4"/>
  <c r="BK340" i="4"/>
  <c r="BH340" i="4"/>
  <c r="AH340" i="4"/>
  <c r="AE340" i="4"/>
  <c r="X340" i="4"/>
  <c r="M340" i="4"/>
  <c r="G340" i="4"/>
  <c r="B340" i="4"/>
  <c r="AT340" i="4" s="1"/>
  <c r="BL339" i="4"/>
  <c r="BK339" i="4"/>
  <c r="BH339" i="4"/>
  <c r="AW339" i="4"/>
  <c r="AQ339" i="4"/>
  <c r="AK339" i="4"/>
  <c r="AH339" i="4"/>
  <c r="AE339" i="4"/>
  <c r="Y339" i="4"/>
  <c r="X339" i="4"/>
  <c r="V339" i="4"/>
  <c r="P339" i="4"/>
  <c r="M339" i="4"/>
  <c r="G339" i="4"/>
  <c r="B339" i="4"/>
  <c r="AZ339" i="4" s="1"/>
  <c r="BL338" i="4"/>
  <c r="BK338" i="4"/>
  <c r="BH338" i="4"/>
  <c r="AH338" i="4"/>
  <c r="AE338" i="4"/>
  <c r="X338" i="4"/>
  <c r="M338" i="4"/>
  <c r="G338" i="4"/>
  <c r="B338" i="4"/>
  <c r="AT338" i="4" s="1"/>
  <c r="BL337" i="4"/>
  <c r="BK337" i="4"/>
  <c r="BH337" i="4"/>
  <c r="AW337" i="4"/>
  <c r="AQ337" i="4"/>
  <c r="AK337" i="4"/>
  <c r="AH337" i="4"/>
  <c r="AE337" i="4"/>
  <c r="Y337" i="4"/>
  <c r="X337" i="4"/>
  <c r="V337" i="4"/>
  <c r="P337" i="4"/>
  <c r="M337" i="4"/>
  <c r="G337" i="4"/>
  <c r="B337" i="4"/>
  <c r="BL336" i="4"/>
  <c r="BK336" i="4"/>
  <c r="BH336" i="4"/>
  <c r="AZ336" i="4"/>
  <c r="AN336" i="4"/>
  <c r="AB336" i="4"/>
  <c r="X336" i="4"/>
  <c r="S336" i="4"/>
  <c r="M336" i="4"/>
  <c r="G336" i="4"/>
  <c r="B336" i="4"/>
  <c r="BL335" i="4"/>
  <c r="BK335" i="4"/>
  <c r="BH335" i="4"/>
  <c r="AW335" i="4"/>
  <c r="AQ335" i="4"/>
  <c r="AK335" i="4"/>
  <c r="AH335" i="4"/>
  <c r="AE335" i="4"/>
  <c r="Y335" i="4"/>
  <c r="X335" i="4"/>
  <c r="V335" i="4"/>
  <c r="P335" i="4"/>
  <c r="M335" i="4"/>
  <c r="G335" i="4"/>
  <c r="B335" i="4"/>
  <c r="AZ335" i="4" s="1"/>
  <c r="BL334" i="4"/>
  <c r="BK334" i="4"/>
  <c r="BH334" i="4"/>
  <c r="AT334" i="4"/>
  <c r="AH334" i="4"/>
  <c r="AE334" i="4"/>
  <c r="AB334" i="4"/>
  <c r="X334" i="4"/>
  <c r="S334" i="4"/>
  <c r="M334" i="4"/>
  <c r="G334" i="4"/>
  <c r="B334" i="4"/>
  <c r="BL333" i="4"/>
  <c r="BK333" i="4"/>
  <c r="BH333" i="4"/>
  <c r="AW333" i="4"/>
  <c r="AQ333" i="4"/>
  <c r="AK333" i="4"/>
  <c r="AH333" i="4"/>
  <c r="AE333" i="4"/>
  <c r="Y333" i="4"/>
  <c r="X333" i="4"/>
  <c r="V333" i="4"/>
  <c r="P333" i="4"/>
  <c r="M333" i="4"/>
  <c r="G333" i="4"/>
  <c r="B333" i="4"/>
  <c r="AZ333" i="4" s="1"/>
  <c r="BL332" i="4"/>
  <c r="BK332" i="4"/>
  <c r="BH332" i="4"/>
  <c r="AT332" i="4"/>
  <c r="AH332" i="4"/>
  <c r="AE332" i="4"/>
  <c r="AB332" i="4"/>
  <c r="X332" i="4"/>
  <c r="S332" i="4"/>
  <c r="M332" i="4"/>
  <c r="G332" i="4"/>
  <c r="B332" i="4"/>
  <c r="BL331" i="4"/>
  <c r="BK331" i="4"/>
  <c r="BH331" i="4"/>
  <c r="AW331" i="4"/>
  <c r="AQ331" i="4"/>
  <c r="AK331" i="4"/>
  <c r="AH331" i="4"/>
  <c r="AE331" i="4"/>
  <c r="Y331" i="4"/>
  <c r="X331" i="4"/>
  <c r="V331" i="4"/>
  <c r="P331" i="4"/>
  <c r="M331" i="4"/>
  <c r="G331" i="4"/>
  <c r="B331" i="4"/>
  <c r="AZ331" i="4" s="1"/>
  <c r="BL330" i="4"/>
  <c r="BK330" i="4"/>
  <c r="BH330" i="4"/>
  <c r="AT330" i="4"/>
  <c r="AH330" i="4"/>
  <c r="AE330" i="4"/>
  <c r="AB330" i="4"/>
  <c r="X330" i="4"/>
  <c r="S330" i="4"/>
  <c r="M330" i="4"/>
  <c r="G330" i="4"/>
  <c r="B330" i="4"/>
  <c r="BL329" i="4"/>
  <c r="BK329" i="4"/>
  <c r="BH329" i="4"/>
  <c r="AW329" i="4"/>
  <c r="AQ329" i="4"/>
  <c r="AK329" i="4"/>
  <c r="Y329" i="4"/>
  <c r="X329" i="4"/>
  <c r="V329" i="4"/>
  <c r="P329" i="4"/>
  <c r="M329" i="4"/>
  <c r="G329" i="4"/>
  <c r="B329" i="4"/>
  <c r="AZ329" i="4" s="1"/>
  <c r="BL328" i="4"/>
  <c r="BK328" i="4"/>
  <c r="BH328" i="4"/>
  <c r="AH328" i="4"/>
  <c r="AE328" i="4"/>
  <c r="X328" i="4"/>
  <c r="M328" i="4"/>
  <c r="G328" i="4"/>
  <c r="B328" i="4"/>
  <c r="AT328" i="4" s="1"/>
  <c r="BL327" i="4"/>
  <c r="BK327" i="4"/>
  <c r="BH327" i="4"/>
  <c r="AW327" i="4"/>
  <c r="AQ327" i="4"/>
  <c r="AK327" i="4"/>
  <c r="AH327" i="4"/>
  <c r="AE327" i="4"/>
  <c r="Y327" i="4"/>
  <c r="X327" i="4"/>
  <c r="V327" i="4"/>
  <c r="P327" i="4"/>
  <c r="M327" i="4"/>
  <c r="G327" i="4"/>
  <c r="B327" i="4"/>
  <c r="AZ327" i="4" s="1"/>
  <c r="BL326" i="4"/>
  <c r="BK326" i="4"/>
  <c r="BH326" i="4"/>
  <c r="AH326" i="4"/>
  <c r="AE326" i="4"/>
  <c r="X326" i="4"/>
  <c r="M326" i="4"/>
  <c r="G326" i="4"/>
  <c r="B326" i="4"/>
  <c r="AT326" i="4" s="1"/>
  <c r="BL325" i="4"/>
  <c r="BK325" i="4"/>
  <c r="BH325" i="4"/>
  <c r="AW325" i="4"/>
  <c r="AQ325" i="4"/>
  <c r="AK325" i="4"/>
  <c r="AH325" i="4"/>
  <c r="AE325" i="4"/>
  <c r="Y325" i="4"/>
  <c r="X325" i="4"/>
  <c r="V325" i="4"/>
  <c r="P325" i="4"/>
  <c r="M325" i="4"/>
  <c r="G325" i="4"/>
  <c r="B325" i="4"/>
  <c r="AZ325" i="4" s="1"/>
  <c r="BL324" i="4"/>
  <c r="BK324" i="4"/>
  <c r="BH324" i="4"/>
  <c r="AH324" i="4"/>
  <c r="AE324" i="4"/>
  <c r="X324" i="4"/>
  <c r="M324" i="4"/>
  <c r="G324" i="4"/>
  <c r="B324" i="4"/>
  <c r="AT324" i="4" s="1"/>
  <c r="BL323" i="4"/>
  <c r="BK323" i="4"/>
  <c r="BH323" i="4"/>
  <c r="AW323" i="4"/>
  <c r="AQ323" i="4"/>
  <c r="AK323" i="4"/>
  <c r="AH323" i="4"/>
  <c r="AE323" i="4"/>
  <c r="Y323" i="4"/>
  <c r="X323" i="4"/>
  <c r="V323" i="4"/>
  <c r="P323" i="4"/>
  <c r="M323" i="4"/>
  <c r="G323" i="4"/>
  <c r="B323" i="4"/>
  <c r="BL322" i="4"/>
  <c r="BK322" i="4"/>
  <c r="BH322" i="4"/>
  <c r="AZ322" i="4"/>
  <c r="AN322" i="4"/>
  <c r="AB322" i="4"/>
  <c r="X322" i="4"/>
  <c r="S322" i="4"/>
  <c r="M322" i="4"/>
  <c r="G322" i="4"/>
  <c r="B322" i="4"/>
  <c r="BL321" i="4"/>
  <c r="BK321" i="4"/>
  <c r="BH321" i="4"/>
  <c r="AW321" i="4"/>
  <c r="AQ321" i="4"/>
  <c r="AK321" i="4"/>
  <c r="AH321" i="4"/>
  <c r="AE321" i="4"/>
  <c r="Y321" i="4"/>
  <c r="X321" i="4"/>
  <c r="V321" i="4"/>
  <c r="P321" i="4"/>
  <c r="M321" i="4"/>
  <c r="G321" i="4"/>
  <c r="B321" i="4"/>
  <c r="AZ321" i="4" s="1"/>
  <c r="BL320" i="4"/>
  <c r="BK320" i="4"/>
  <c r="BH320" i="4"/>
  <c r="AT320" i="4"/>
  <c r="AH320" i="4"/>
  <c r="AE320" i="4"/>
  <c r="AB320" i="4"/>
  <c r="X320" i="4"/>
  <c r="S320" i="4"/>
  <c r="M320" i="4"/>
  <c r="G320" i="4"/>
  <c r="B320" i="4"/>
  <c r="BL319" i="4"/>
  <c r="BK319" i="4"/>
  <c r="BH319" i="4"/>
  <c r="AW319" i="4"/>
  <c r="AQ319" i="4"/>
  <c r="AK319" i="4"/>
  <c r="AH319" i="4"/>
  <c r="AE319" i="4"/>
  <c r="Y319" i="4"/>
  <c r="X319" i="4"/>
  <c r="V319" i="4"/>
  <c r="P319" i="4"/>
  <c r="M319" i="4"/>
  <c r="G319" i="4"/>
  <c r="B319" i="4"/>
  <c r="AZ319" i="4" s="1"/>
  <c r="BL318" i="4"/>
  <c r="BK318" i="4"/>
  <c r="BH318" i="4"/>
  <c r="AT318" i="4"/>
  <c r="AH318" i="4"/>
  <c r="AE318" i="4"/>
  <c r="AB318" i="4"/>
  <c r="X318" i="4"/>
  <c r="S318" i="4"/>
  <c r="M318" i="4"/>
  <c r="G318" i="4"/>
  <c r="B318" i="4"/>
  <c r="BL317" i="4"/>
  <c r="BK317" i="4"/>
  <c r="BH317" i="4"/>
  <c r="AW317" i="4"/>
  <c r="AQ317" i="4"/>
  <c r="AK317" i="4"/>
  <c r="AH317" i="4"/>
  <c r="AE317" i="4"/>
  <c r="Y317" i="4"/>
  <c r="X317" i="4"/>
  <c r="V317" i="4"/>
  <c r="P317" i="4"/>
  <c r="M317" i="4"/>
  <c r="G317" i="4"/>
  <c r="B317" i="4"/>
  <c r="AZ317" i="4" s="1"/>
  <c r="BL316" i="4"/>
  <c r="BK316" i="4"/>
  <c r="BH316" i="4"/>
  <c r="AT316" i="4"/>
  <c r="AH316" i="4"/>
  <c r="AE316" i="4"/>
  <c r="AB316" i="4"/>
  <c r="X316" i="4"/>
  <c r="S316" i="4"/>
  <c r="M316" i="4"/>
  <c r="G316" i="4"/>
  <c r="B316" i="4"/>
  <c r="BL315" i="4"/>
  <c r="BK315" i="4"/>
  <c r="BH315" i="4"/>
  <c r="AW315" i="4"/>
  <c r="AQ315" i="4"/>
  <c r="AK315" i="4"/>
  <c r="Y315" i="4"/>
  <c r="X315" i="4"/>
  <c r="V315" i="4"/>
  <c r="P315" i="4"/>
  <c r="M315" i="4"/>
  <c r="G315" i="4"/>
  <c r="B315" i="4"/>
  <c r="AZ315" i="4" s="1"/>
  <c r="BL314" i="4"/>
  <c r="BK314" i="4"/>
  <c r="BH314" i="4"/>
  <c r="AH314" i="4"/>
  <c r="AE314" i="4"/>
  <c r="X314" i="4"/>
  <c r="M314" i="4"/>
  <c r="G314" i="4"/>
  <c r="B314" i="4"/>
  <c r="AT314" i="4" s="1"/>
  <c r="BL313" i="4"/>
  <c r="BK313" i="4"/>
  <c r="BH313" i="4"/>
  <c r="AW313" i="4"/>
  <c r="AQ313" i="4"/>
  <c r="AK313" i="4"/>
  <c r="AH313" i="4"/>
  <c r="AE313" i="4"/>
  <c r="Y313" i="4"/>
  <c r="X313" i="4"/>
  <c r="V313" i="4"/>
  <c r="P313" i="4"/>
  <c r="M313" i="4"/>
  <c r="G313" i="4"/>
  <c r="B313" i="4"/>
  <c r="AZ313" i="4" s="1"/>
  <c r="BL312" i="4"/>
  <c r="BK312" i="4"/>
  <c r="BH312" i="4"/>
  <c r="AH312" i="4"/>
  <c r="AE312" i="4"/>
  <c r="X312" i="4"/>
  <c r="M312" i="4"/>
  <c r="G312" i="4"/>
  <c r="B312" i="4"/>
  <c r="AT312" i="4" s="1"/>
  <c r="BL311" i="4"/>
  <c r="BK311" i="4"/>
  <c r="BH311" i="4"/>
  <c r="AW311" i="4"/>
  <c r="AQ311" i="4"/>
  <c r="AK311" i="4"/>
  <c r="AH311" i="4"/>
  <c r="AE311" i="4"/>
  <c r="Y311" i="4"/>
  <c r="X311" i="4"/>
  <c r="V311" i="4"/>
  <c r="P311" i="4"/>
  <c r="M311" i="4"/>
  <c r="G311" i="4"/>
  <c r="B311" i="4"/>
  <c r="AZ311" i="4" s="1"/>
  <c r="BL310" i="4"/>
  <c r="BK310" i="4"/>
  <c r="BH310" i="4"/>
  <c r="AH310" i="4"/>
  <c r="AE310" i="4"/>
  <c r="X310" i="4"/>
  <c r="M310" i="4"/>
  <c r="G310" i="4"/>
  <c r="B310" i="4"/>
  <c r="AT310" i="4" s="1"/>
  <c r="BL309" i="4"/>
  <c r="BK309" i="4"/>
  <c r="BH309" i="4"/>
  <c r="AW309" i="4"/>
  <c r="AQ309" i="4"/>
  <c r="AK309" i="4"/>
  <c r="AH309" i="4"/>
  <c r="AE309" i="4"/>
  <c r="Y309" i="4"/>
  <c r="X309" i="4"/>
  <c r="V309" i="4"/>
  <c r="P309" i="4"/>
  <c r="M309" i="4"/>
  <c r="G309" i="4"/>
  <c r="B309" i="4"/>
  <c r="BL308" i="4"/>
  <c r="BK308" i="4"/>
  <c r="BH308" i="4"/>
  <c r="AZ308" i="4"/>
  <c r="AN308" i="4"/>
  <c r="AB308" i="4"/>
  <c r="X308" i="4"/>
  <c r="S308" i="4"/>
  <c r="M308" i="4"/>
  <c r="G308" i="4"/>
  <c r="B308" i="4"/>
  <c r="BL307" i="4"/>
  <c r="BK307" i="4"/>
  <c r="BH307" i="4"/>
  <c r="AW307" i="4"/>
  <c r="AQ307" i="4"/>
  <c r="AK307" i="4"/>
  <c r="AH307" i="4"/>
  <c r="AE307" i="4"/>
  <c r="Y307" i="4"/>
  <c r="X307" i="4"/>
  <c r="V307" i="4"/>
  <c r="P307" i="4"/>
  <c r="M307" i="4"/>
  <c r="G307" i="4"/>
  <c r="B307" i="4"/>
  <c r="AZ307" i="4" s="1"/>
  <c r="BL306" i="4"/>
  <c r="BK306" i="4"/>
  <c r="BH306" i="4"/>
  <c r="AT306" i="4"/>
  <c r="AH306" i="4"/>
  <c r="AE306" i="4"/>
  <c r="AB306" i="4"/>
  <c r="X306" i="4"/>
  <c r="S306" i="4"/>
  <c r="M306" i="4"/>
  <c r="G306" i="4"/>
  <c r="B306" i="4"/>
  <c r="BL305" i="4"/>
  <c r="BK305" i="4"/>
  <c r="BH305" i="4"/>
  <c r="AW305" i="4"/>
  <c r="AQ305" i="4"/>
  <c r="AK305" i="4"/>
  <c r="AH305" i="4"/>
  <c r="AE305" i="4"/>
  <c r="Y305" i="4"/>
  <c r="X305" i="4"/>
  <c r="V305" i="4"/>
  <c r="P305" i="4"/>
  <c r="M305" i="4"/>
  <c r="G305" i="4"/>
  <c r="B305" i="4"/>
  <c r="AZ305" i="4" s="1"/>
  <c r="BL304" i="4"/>
  <c r="BK304" i="4"/>
  <c r="BH304" i="4"/>
  <c r="AT304" i="4"/>
  <c r="AH304" i="4"/>
  <c r="AE304" i="4"/>
  <c r="AB304" i="4"/>
  <c r="X304" i="4"/>
  <c r="S304" i="4"/>
  <c r="M304" i="4"/>
  <c r="G304" i="4"/>
  <c r="B304" i="4"/>
  <c r="BL303" i="4"/>
  <c r="BK303" i="4"/>
  <c r="BH303" i="4"/>
  <c r="AW303" i="4"/>
  <c r="AQ303" i="4"/>
  <c r="AK303" i="4"/>
  <c r="AH303" i="4"/>
  <c r="AE303" i="4"/>
  <c r="Y303" i="4"/>
  <c r="X303" i="4"/>
  <c r="V303" i="4"/>
  <c r="P303" i="4"/>
  <c r="M303" i="4"/>
  <c r="G303" i="4"/>
  <c r="B303" i="4"/>
  <c r="AZ303" i="4" s="1"/>
  <c r="BL302" i="4"/>
  <c r="BK302" i="4"/>
  <c r="BH302" i="4"/>
  <c r="AT302" i="4"/>
  <c r="AH302" i="4"/>
  <c r="AE302" i="4"/>
  <c r="AB302" i="4"/>
  <c r="X302" i="4"/>
  <c r="S302" i="4"/>
  <c r="M302" i="4"/>
  <c r="G302" i="4"/>
  <c r="B302" i="4"/>
  <c r="BL301" i="4"/>
  <c r="BK301" i="4"/>
  <c r="BH301" i="4"/>
  <c r="AW301" i="4"/>
  <c r="AQ301" i="4"/>
  <c r="AK301" i="4"/>
  <c r="Y301" i="4"/>
  <c r="X301" i="4"/>
  <c r="V301" i="4"/>
  <c r="P301" i="4"/>
  <c r="M301" i="4"/>
  <c r="G301" i="4"/>
  <c r="B301" i="4"/>
  <c r="AZ301" i="4" s="1"/>
  <c r="BL300" i="4"/>
  <c r="BK300" i="4"/>
  <c r="BH300" i="4"/>
  <c r="AH300" i="4"/>
  <c r="AE300" i="4"/>
  <c r="X300" i="4"/>
  <c r="M300" i="4"/>
  <c r="G300" i="4"/>
  <c r="B300" i="4"/>
  <c r="AT300" i="4" s="1"/>
  <c r="BL299" i="4"/>
  <c r="BK299" i="4"/>
  <c r="BH299" i="4"/>
  <c r="AW299" i="4"/>
  <c r="AQ299" i="4"/>
  <c r="AK299" i="4"/>
  <c r="AH299" i="4"/>
  <c r="AE299" i="4"/>
  <c r="Y299" i="4"/>
  <c r="X299" i="4"/>
  <c r="V299" i="4"/>
  <c r="P299" i="4"/>
  <c r="M299" i="4"/>
  <c r="G299" i="4"/>
  <c r="B299" i="4"/>
  <c r="AZ299" i="4" s="1"/>
  <c r="BL298" i="4"/>
  <c r="BK298" i="4"/>
  <c r="BH298" i="4"/>
  <c r="AH298" i="4"/>
  <c r="AE298" i="4"/>
  <c r="X298" i="4"/>
  <c r="M298" i="4"/>
  <c r="G298" i="4"/>
  <c r="B298" i="4"/>
  <c r="AT298" i="4" s="1"/>
  <c r="BL297" i="4"/>
  <c r="BK297" i="4"/>
  <c r="BH297" i="4"/>
  <c r="AW297" i="4"/>
  <c r="AQ297" i="4"/>
  <c r="AK297" i="4"/>
  <c r="AH297" i="4"/>
  <c r="AE297" i="4"/>
  <c r="Y297" i="4"/>
  <c r="X297" i="4"/>
  <c r="V297" i="4"/>
  <c r="P297" i="4"/>
  <c r="M297" i="4"/>
  <c r="G297" i="4"/>
  <c r="B297" i="4"/>
  <c r="AZ297" i="4" s="1"/>
  <c r="BL296" i="4"/>
  <c r="BK296" i="4"/>
  <c r="BH296" i="4"/>
  <c r="AH296" i="4"/>
  <c r="AE296" i="4"/>
  <c r="X296" i="4"/>
  <c r="M296" i="4"/>
  <c r="G296" i="4"/>
  <c r="B296" i="4"/>
  <c r="AT296" i="4" s="1"/>
  <c r="BL295" i="4"/>
  <c r="BK295" i="4"/>
  <c r="BH295" i="4"/>
  <c r="AW295" i="4"/>
  <c r="AQ295" i="4"/>
  <c r="AK295" i="4"/>
  <c r="AH295" i="4"/>
  <c r="AE295" i="4"/>
  <c r="Y295" i="4"/>
  <c r="X295" i="4"/>
  <c r="V295" i="4"/>
  <c r="P295" i="4"/>
  <c r="M295" i="4"/>
  <c r="G295" i="4"/>
  <c r="B295" i="4"/>
  <c r="BL294" i="4"/>
  <c r="BK294" i="4"/>
  <c r="BH294" i="4"/>
  <c r="AE294" i="4"/>
  <c r="X294" i="4"/>
  <c r="M294" i="4"/>
  <c r="G294" i="4"/>
  <c r="B294" i="4"/>
  <c r="AT294" i="4" s="1"/>
  <c r="BL293" i="4"/>
  <c r="BK293" i="4"/>
  <c r="BH293" i="4"/>
  <c r="AW293" i="4"/>
  <c r="AQ293" i="4"/>
  <c r="AK293" i="4"/>
  <c r="AH293" i="4"/>
  <c r="AE293" i="4"/>
  <c r="Y293" i="4"/>
  <c r="X293" i="4"/>
  <c r="V293" i="4"/>
  <c r="P293" i="4"/>
  <c r="M293" i="4"/>
  <c r="G293" i="4"/>
  <c r="B293" i="4"/>
  <c r="AZ293" i="4" s="1"/>
  <c r="BL292" i="4"/>
  <c r="BK292" i="4"/>
  <c r="BH292" i="4"/>
  <c r="AH292" i="4"/>
  <c r="AE292" i="4"/>
  <c r="X292" i="4"/>
  <c r="M292" i="4"/>
  <c r="G292" i="4"/>
  <c r="B292" i="4"/>
  <c r="AT292" i="4" s="1"/>
  <c r="BL291" i="4"/>
  <c r="BK291" i="4"/>
  <c r="BH291" i="4"/>
  <c r="AW291" i="4"/>
  <c r="AQ291" i="4"/>
  <c r="AK291" i="4"/>
  <c r="AH291" i="4"/>
  <c r="AE291" i="4"/>
  <c r="Y291" i="4"/>
  <c r="X291" i="4"/>
  <c r="V291" i="4"/>
  <c r="P291" i="4"/>
  <c r="M291" i="4"/>
  <c r="G291" i="4"/>
  <c r="B291" i="4"/>
  <c r="AZ291" i="4" s="1"/>
  <c r="BL290" i="4"/>
  <c r="BK290" i="4"/>
  <c r="BH290" i="4"/>
  <c r="AH290" i="4"/>
  <c r="AE290" i="4"/>
  <c r="X290" i="4"/>
  <c r="M290" i="4"/>
  <c r="G290" i="4"/>
  <c r="B290" i="4"/>
  <c r="AT290" i="4" s="1"/>
  <c r="BL289" i="4"/>
  <c r="BK289" i="4"/>
  <c r="BH289" i="4"/>
  <c r="AW289" i="4"/>
  <c r="AQ289" i="4"/>
  <c r="AK289" i="4"/>
  <c r="AH289" i="4"/>
  <c r="AE289" i="4"/>
  <c r="Y289" i="4"/>
  <c r="X289" i="4"/>
  <c r="V289" i="4"/>
  <c r="P289" i="4"/>
  <c r="M289" i="4"/>
  <c r="G289" i="4"/>
  <c r="B289" i="4"/>
  <c r="AZ289" i="4" s="1"/>
  <c r="BL288" i="4"/>
  <c r="BK288" i="4"/>
  <c r="BH288" i="4"/>
  <c r="AH288" i="4"/>
  <c r="AE288" i="4"/>
  <c r="X288" i="4"/>
  <c r="M288" i="4"/>
  <c r="G288" i="4"/>
  <c r="B288" i="4"/>
  <c r="AH294" i="4" s="1"/>
  <c r="BL287" i="4"/>
  <c r="BK287" i="4"/>
  <c r="BH287" i="4"/>
  <c r="AW287" i="4"/>
  <c r="AQ287" i="4"/>
  <c r="AK287" i="4"/>
  <c r="AE287" i="4"/>
  <c r="Y287" i="4"/>
  <c r="X287" i="4"/>
  <c r="V287" i="4"/>
  <c r="P287" i="4"/>
  <c r="M287" i="4"/>
  <c r="G287" i="4"/>
  <c r="B287" i="4"/>
  <c r="AZ287" i="4" s="1"/>
  <c r="BL286" i="4"/>
  <c r="BK286" i="4"/>
  <c r="BH286" i="4"/>
  <c r="AT286" i="4"/>
  <c r="AH286" i="4"/>
  <c r="AE286" i="4"/>
  <c r="AB286" i="4"/>
  <c r="X286" i="4"/>
  <c r="S286" i="4"/>
  <c r="M286" i="4"/>
  <c r="G286" i="4"/>
  <c r="B286" i="4"/>
  <c r="BL285" i="4"/>
  <c r="BK285" i="4"/>
  <c r="BH285" i="4"/>
  <c r="AW285" i="4"/>
  <c r="AQ285" i="4"/>
  <c r="AK285" i="4"/>
  <c r="AH285" i="4"/>
  <c r="AE285" i="4"/>
  <c r="Y285" i="4"/>
  <c r="X285" i="4"/>
  <c r="V285" i="4"/>
  <c r="P285" i="4"/>
  <c r="M285" i="4"/>
  <c r="G285" i="4"/>
  <c r="B285" i="4"/>
  <c r="AZ285" i="4" s="1"/>
  <c r="BL284" i="4"/>
  <c r="BK284" i="4"/>
  <c r="BH284" i="4"/>
  <c r="AT284" i="4"/>
  <c r="AH284" i="4"/>
  <c r="AE284" i="4"/>
  <c r="AB284" i="4"/>
  <c r="X284" i="4"/>
  <c r="S284" i="4"/>
  <c r="M284" i="4"/>
  <c r="G284" i="4"/>
  <c r="B284" i="4"/>
  <c r="BL283" i="4"/>
  <c r="BK283" i="4"/>
  <c r="BH283" i="4"/>
  <c r="AW283" i="4"/>
  <c r="AQ283" i="4"/>
  <c r="AK283" i="4"/>
  <c r="AH283" i="4"/>
  <c r="AE283" i="4"/>
  <c r="Y283" i="4"/>
  <c r="X283" i="4"/>
  <c r="V283" i="4"/>
  <c r="P283" i="4"/>
  <c r="M283" i="4"/>
  <c r="G283" i="4"/>
  <c r="B283" i="4"/>
  <c r="AZ283" i="4" s="1"/>
  <c r="BL282" i="4"/>
  <c r="BK282" i="4"/>
  <c r="BH282" i="4"/>
  <c r="AT282" i="4"/>
  <c r="AH282" i="4"/>
  <c r="AE282" i="4"/>
  <c r="AB282" i="4"/>
  <c r="X282" i="4"/>
  <c r="S282" i="4"/>
  <c r="M282" i="4"/>
  <c r="G282" i="4"/>
  <c r="B282" i="4"/>
  <c r="BL281" i="4"/>
  <c r="BK281" i="4"/>
  <c r="BH281" i="4"/>
  <c r="AW281" i="4"/>
  <c r="AQ281" i="4"/>
  <c r="AK281" i="4"/>
  <c r="AH281" i="4"/>
  <c r="AE281" i="4"/>
  <c r="Y281" i="4"/>
  <c r="X281" i="4"/>
  <c r="V281" i="4"/>
  <c r="P281" i="4"/>
  <c r="M281" i="4"/>
  <c r="G281" i="4"/>
  <c r="B281" i="4"/>
  <c r="AH287" i="4" s="1"/>
  <c r="BL280" i="4"/>
  <c r="BK280" i="4"/>
  <c r="BH280" i="4"/>
  <c r="AT280" i="4"/>
  <c r="AH280" i="4"/>
  <c r="AE280" i="4"/>
  <c r="AB280" i="4"/>
  <c r="X280" i="4"/>
  <c r="S280" i="4"/>
  <c r="M280" i="4"/>
  <c r="G280" i="4"/>
  <c r="B280" i="4"/>
  <c r="BL279" i="4"/>
  <c r="BK279" i="4"/>
  <c r="BH279" i="4"/>
  <c r="AW279" i="4"/>
  <c r="AQ279" i="4"/>
  <c r="AK279" i="4"/>
  <c r="AH279" i="4"/>
  <c r="AE279" i="4"/>
  <c r="Y279" i="4"/>
  <c r="X279" i="4"/>
  <c r="V279" i="4"/>
  <c r="P279" i="4"/>
  <c r="M279" i="4"/>
  <c r="G279" i="4"/>
  <c r="B279" i="4"/>
  <c r="AZ279" i="4" s="1"/>
  <c r="BL278" i="4"/>
  <c r="BK278" i="4"/>
  <c r="BH278" i="4"/>
  <c r="AT278" i="4"/>
  <c r="AH278" i="4"/>
  <c r="AE278" i="4"/>
  <c r="AB278" i="4"/>
  <c r="X278" i="4"/>
  <c r="S278" i="4"/>
  <c r="M278" i="4"/>
  <c r="G278" i="4"/>
  <c r="B278" i="4"/>
  <c r="BL277" i="4"/>
  <c r="BK277" i="4"/>
  <c r="BH277" i="4"/>
  <c r="AW277" i="4"/>
  <c r="AQ277" i="4"/>
  <c r="AK277" i="4"/>
  <c r="AH277" i="4"/>
  <c r="AE277" i="4"/>
  <c r="Y277" i="4"/>
  <c r="X277" i="4"/>
  <c r="V277" i="4"/>
  <c r="P277" i="4"/>
  <c r="M277" i="4"/>
  <c r="G277" i="4"/>
  <c r="B277" i="4"/>
  <c r="AZ277" i="4" s="1"/>
  <c r="BL276" i="4"/>
  <c r="BK276" i="4"/>
  <c r="BH276" i="4"/>
  <c r="AT276" i="4"/>
  <c r="AH276" i="4"/>
  <c r="AE276" i="4"/>
  <c r="AB276" i="4"/>
  <c r="X276" i="4"/>
  <c r="S276" i="4"/>
  <c r="M276" i="4"/>
  <c r="G276" i="4"/>
  <c r="B276" i="4"/>
  <c r="BL275" i="4"/>
  <c r="BK275" i="4"/>
  <c r="BH275" i="4"/>
  <c r="AW275" i="4"/>
  <c r="AQ275" i="4"/>
  <c r="AK275" i="4"/>
  <c r="AH275" i="4"/>
  <c r="AE275" i="4"/>
  <c r="Y275" i="4"/>
  <c r="X275" i="4"/>
  <c r="V275" i="4"/>
  <c r="P275" i="4"/>
  <c r="M275" i="4"/>
  <c r="G275" i="4"/>
  <c r="B275" i="4"/>
  <c r="AZ275" i="4" s="1"/>
  <c r="BL274" i="4"/>
  <c r="BK274" i="4"/>
  <c r="BH274" i="4"/>
  <c r="AT274" i="4"/>
  <c r="AH274" i="4"/>
  <c r="AE274" i="4"/>
  <c r="AB274" i="4"/>
  <c r="X274" i="4"/>
  <c r="S274" i="4"/>
  <c r="M274" i="4"/>
  <c r="G274" i="4"/>
  <c r="B274" i="4"/>
  <c r="BL273" i="4"/>
  <c r="BK273" i="4"/>
  <c r="BH273" i="4"/>
  <c r="AW273" i="4"/>
  <c r="AQ273" i="4"/>
  <c r="AK273" i="4"/>
  <c r="AE273" i="4"/>
  <c r="Y273" i="4"/>
  <c r="X273" i="4"/>
  <c r="V273" i="4"/>
  <c r="P273" i="4"/>
  <c r="M273" i="4"/>
  <c r="G273" i="4"/>
  <c r="B273" i="4"/>
  <c r="AZ273" i="4" s="1"/>
  <c r="BL272" i="4"/>
  <c r="BK272" i="4"/>
  <c r="BH272" i="4"/>
  <c r="AH272" i="4"/>
  <c r="AE272" i="4"/>
  <c r="X272" i="4"/>
  <c r="M272" i="4"/>
  <c r="G272" i="4"/>
  <c r="B272" i="4"/>
  <c r="AT272" i="4" s="1"/>
  <c r="BL271" i="4"/>
  <c r="BK271" i="4"/>
  <c r="BH271" i="4"/>
  <c r="AW271" i="4"/>
  <c r="AQ271" i="4"/>
  <c r="AK271" i="4"/>
  <c r="AH271" i="4"/>
  <c r="AE271" i="4"/>
  <c r="Y271" i="4"/>
  <c r="X271" i="4"/>
  <c r="V271" i="4"/>
  <c r="P271" i="4"/>
  <c r="M271" i="4"/>
  <c r="G271" i="4"/>
  <c r="B271" i="4"/>
  <c r="AZ271" i="4" s="1"/>
  <c r="BL270" i="4"/>
  <c r="BK270" i="4"/>
  <c r="BH270" i="4"/>
  <c r="AH270" i="4"/>
  <c r="AE270" i="4"/>
  <c r="X270" i="4"/>
  <c r="M270" i="4"/>
  <c r="G270" i="4"/>
  <c r="B270" i="4"/>
  <c r="AT270" i="4" s="1"/>
  <c r="BL269" i="4"/>
  <c r="BK269" i="4"/>
  <c r="BH269" i="4"/>
  <c r="AW269" i="4"/>
  <c r="AQ269" i="4"/>
  <c r="AK269" i="4"/>
  <c r="AH269" i="4"/>
  <c r="AE269" i="4"/>
  <c r="Y269" i="4"/>
  <c r="X269" i="4"/>
  <c r="V269" i="4"/>
  <c r="P269" i="4"/>
  <c r="M269" i="4"/>
  <c r="G269" i="4"/>
  <c r="B269" i="4"/>
  <c r="AZ269" i="4" s="1"/>
  <c r="BL268" i="4"/>
  <c r="BK268" i="4"/>
  <c r="BH268" i="4"/>
  <c r="AH268" i="4"/>
  <c r="AE268" i="4"/>
  <c r="X268" i="4"/>
  <c r="M268" i="4"/>
  <c r="G268" i="4"/>
  <c r="B268" i="4"/>
  <c r="AT268" i="4" s="1"/>
  <c r="BL267" i="4"/>
  <c r="BK267" i="4"/>
  <c r="BH267" i="4"/>
  <c r="AW267" i="4"/>
  <c r="AQ267" i="4"/>
  <c r="AK267" i="4"/>
  <c r="AH267" i="4"/>
  <c r="AE267" i="4"/>
  <c r="Y267" i="4"/>
  <c r="X267" i="4"/>
  <c r="V267" i="4"/>
  <c r="P267" i="4"/>
  <c r="M267" i="4"/>
  <c r="G267" i="4"/>
  <c r="B267" i="4"/>
  <c r="BL266" i="4"/>
  <c r="BK266" i="4"/>
  <c r="BH266" i="4"/>
  <c r="AE266" i="4"/>
  <c r="X266" i="4"/>
  <c r="M266" i="4"/>
  <c r="G266" i="4"/>
  <c r="B266" i="4"/>
  <c r="AT266" i="4" s="1"/>
  <c r="BL265" i="4"/>
  <c r="BK265" i="4"/>
  <c r="BH265" i="4"/>
  <c r="AW265" i="4"/>
  <c r="AQ265" i="4"/>
  <c r="AK265" i="4"/>
  <c r="AH265" i="4"/>
  <c r="AE265" i="4"/>
  <c r="Y265" i="4"/>
  <c r="X265" i="4"/>
  <c r="V265" i="4"/>
  <c r="P265" i="4"/>
  <c r="M265" i="4"/>
  <c r="G265" i="4"/>
  <c r="B265" i="4"/>
  <c r="AZ265" i="4" s="1"/>
  <c r="BL264" i="4"/>
  <c r="BK264" i="4"/>
  <c r="BH264" i="4"/>
  <c r="AH264" i="4"/>
  <c r="AE264" i="4"/>
  <c r="X264" i="4"/>
  <c r="M264" i="4"/>
  <c r="G264" i="4"/>
  <c r="B264" i="4"/>
  <c r="AT264" i="4" s="1"/>
  <c r="BL263" i="4"/>
  <c r="BK263" i="4"/>
  <c r="BH263" i="4"/>
  <c r="AW263" i="4"/>
  <c r="AQ263" i="4"/>
  <c r="AK263" i="4"/>
  <c r="AH263" i="4"/>
  <c r="AE263" i="4"/>
  <c r="Y263" i="4"/>
  <c r="X263" i="4"/>
  <c r="V263" i="4"/>
  <c r="P263" i="4"/>
  <c r="M263" i="4"/>
  <c r="G263" i="4"/>
  <c r="B263" i="4"/>
  <c r="AZ263" i="4" s="1"/>
  <c r="BL262" i="4"/>
  <c r="BK262" i="4"/>
  <c r="BH262" i="4"/>
  <c r="AH262" i="4"/>
  <c r="AE262" i="4"/>
  <c r="X262" i="4"/>
  <c r="M262" i="4"/>
  <c r="G262" i="4"/>
  <c r="B262" i="4"/>
  <c r="AT262" i="4" s="1"/>
  <c r="BL261" i="4"/>
  <c r="BK261" i="4"/>
  <c r="BH261" i="4"/>
  <c r="AW261" i="4"/>
  <c r="AQ261" i="4"/>
  <c r="AK261" i="4"/>
  <c r="AH261" i="4"/>
  <c r="AE261" i="4"/>
  <c r="Y261" i="4"/>
  <c r="X261" i="4"/>
  <c r="V261" i="4"/>
  <c r="P261" i="4"/>
  <c r="M261" i="4"/>
  <c r="G261" i="4"/>
  <c r="B261" i="4"/>
  <c r="AZ261" i="4" s="1"/>
  <c r="BL260" i="4"/>
  <c r="BK260" i="4"/>
  <c r="BH260" i="4"/>
  <c r="AH260" i="4"/>
  <c r="AE260" i="4"/>
  <c r="X260" i="4"/>
  <c r="M260" i="4"/>
  <c r="G260" i="4"/>
  <c r="B260" i="4"/>
  <c r="AH266" i="4" s="1"/>
  <c r="BL259" i="4"/>
  <c r="BK259" i="4"/>
  <c r="BH259" i="4"/>
  <c r="AW259" i="4"/>
  <c r="AQ259" i="4"/>
  <c r="AK259" i="4"/>
  <c r="AE259" i="4"/>
  <c r="Y259" i="4"/>
  <c r="X259" i="4"/>
  <c r="V259" i="4"/>
  <c r="P259" i="4"/>
  <c r="M259" i="4"/>
  <c r="G259" i="4"/>
  <c r="B259" i="4"/>
  <c r="AZ259" i="4" s="1"/>
  <c r="BL258" i="4"/>
  <c r="BK258" i="4"/>
  <c r="BH258" i="4"/>
  <c r="AT258" i="4"/>
  <c r="AH258" i="4"/>
  <c r="AE258" i="4"/>
  <c r="AB258" i="4"/>
  <c r="X258" i="4"/>
  <c r="S258" i="4"/>
  <c r="M258" i="4"/>
  <c r="G258" i="4"/>
  <c r="B258" i="4"/>
  <c r="BL257" i="4"/>
  <c r="BK257" i="4"/>
  <c r="BH257" i="4"/>
  <c r="AW257" i="4"/>
  <c r="AQ257" i="4"/>
  <c r="AK257" i="4"/>
  <c r="AH257" i="4"/>
  <c r="AE257" i="4"/>
  <c r="Y257" i="4"/>
  <c r="X257" i="4"/>
  <c r="V257" i="4"/>
  <c r="P257" i="4"/>
  <c r="M257" i="4"/>
  <c r="G257" i="4"/>
  <c r="B257" i="4"/>
  <c r="AZ257" i="4" s="1"/>
  <c r="BL256" i="4"/>
  <c r="BK256" i="4"/>
  <c r="BH256" i="4"/>
  <c r="AT256" i="4"/>
  <c r="AH256" i="4"/>
  <c r="AE256" i="4"/>
  <c r="AB256" i="4"/>
  <c r="X256" i="4"/>
  <c r="S256" i="4"/>
  <c r="M256" i="4"/>
  <c r="G256" i="4"/>
  <c r="B256" i="4"/>
  <c r="BL255" i="4"/>
  <c r="BK255" i="4"/>
  <c r="BH255" i="4"/>
  <c r="AW255" i="4"/>
  <c r="AQ255" i="4"/>
  <c r="AK255" i="4"/>
  <c r="AH255" i="4"/>
  <c r="AE255" i="4"/>
  <c r="Y255" i="4"/>
  <c r="X255" i="4"/>
  <c r="V255" i="4"/>
  <c r="P255" i="4"/>
  <c r="M255" i="4"/>
  <c r="G255" i="4"/>
  <c r="B255" i="4"/>
  <c r="AZ255" i="4" s="1"/>
  <c r="BL254" i="4"/>
  <c r="BK254" i="4"/>
  <c r="BH254" i="4"/>
  <c r="AT254" i="4"/>
  <c r="AH254" i="4"/>
  <c r="AE254" i="4"/>
  <c r="AB254" i="4"/>
  <c r="X254" i="4"/>
  <c r="S254" i="4"/>
  <c r="M254" i="4"/>
  <c r="G254" i="4"/>
  <c r="B254" i="4"/>
  <c r="BL253" i="4"/>
  <c r="BK253" i="4"/>
  <c r="BH253" i="4"/>
  <c r="AW253" i="4"/>
  <c r="AQ253" i="4"/>
  <c r="AK253" i="4"/>
  <c r="AH253" i="4"/>
  <c r="AE253" i="4"/>
  <c r="Y253" i="4"/>
  <c r="X253" i="4"/>
  <c r="V253" i="4"/>
  <c r="P253" i="4"/>
  <c r="M253" i="4"/>
  <c r="G253" i="4"/>
  <c r="B253" i="4"/>
  <c r="AH259" i="4" s="1"/>
  <c r="BL252" i="4"/>
  <c r="BK252" i="4"/>
  <c r="BH252" i="4"/>
  <c r="AT252" i="4"/>
  <c r="AH252" i="4"/>
  <c r="AE252" i="4"/>
  <c r="AB252" i="4"/>
  <c r="X252" i="4"/>
  <c r="S252" i="4"/>
  <c r="M252" i="4"/>
  <c r="G252" i="4"/>
  <c r="B252" i="4"/>
  <c r="BL251" i="4"/>
  <c r="BK251" i="4"/>
  <c r="BH251" i="4"/>
  <c r="AW251" i="4"/>
  <c r="AQ251" i="4"/>
  <c r="AK251" i="4"/>
  <c r="AH251" i="4"/>
  <c r="AE251" i="4"/>
  <c r="Y251" i="4"/>
  <c r="X251" i="4"/>
  <c r="V251" i="4"/>
  <c r="P251" i="4"/>
  <c r="M251" i="4"/>
  <c r="G251" i="4"/>
  <c r="B251" i="4"/>
  <c r="AZ251" i="4" s="1"/>
  <c r="BL250" i="4"/>
  <c r="BK250" i="4"/>
  <c r="BH250" i="4"/>
  <c r="AT250" i="4"/>
  <c r="AH250" i="4"/>
  <c r="AE250" i="4"/>
  <c r="AB250" i="4"/>
  <c r="X250" i="4"/>
  <c r="S250" i="4"/>
  <c r="M250" i="4"/>
  <c r="G250" i="4"/>
  <c r="B250" i="4"/>
  <c r="BL249" i="4"/>
  <c r="BK249" i="4"/>
  <c r="BH249" i="4"/>
  <c r="AW249" i="4"/>
  <c r="AQ249" i="4"/>
  <c r="AK249" i="4"/>
  <c r="AH249" i="4"/>
  <c r="AE249" i="4"/>
  <c r="Y249" i="4"/>
  <c r="X249" i="4"/>
  <c r="V249" i="4"/>
  <c r="P249" i="4"/>
  <c r="M249" i="4"/>
  <c r="G249" i="4"/>
  <c r="B249" i="4"/>
  <c r="AZ249" i="4" s="1"/>
  <c r="BL248" i="4"/>
  <c r="BK248" i="4"/>
  <c r="BH248" i="4"/>
  <c r="AT248" i="4"/>
  <c r="AH248" i="4"/>
  <c r="AE248" i="4"/>
  <c r="AB248" i="4"/>
  <c r="X248" i="4"/>
  <c r="S248" i="4"/>
  <c r="M248" i="4"/>
  <c r="G248" i="4"/>
  <c r="B248" i="4"/>
  <c r="BL247" i="4"/>
  <c r="BK247" i="4"/>
  <c r="BH247" i="4"/>
  <c r="AW247" i="4"/>
  <c r="AQ247" i="4"/>
  <c r="AK247" i="4"/>
  <c r="AH247" i="4"/>
  <c r="AE247" i="4"/>
  <c r="Y247" i="4"/>
  <c r="X247" i="4"/>
  <c r="V247" i="4"/>
  <c r="P247" i="4"/>
  <c r="M247" i="4"/>
  <c r="G247" i="4"/>
  <c r="B247" i="4"/>
  <c r="AZ247" i="4" s="1"/>
  <c r="BL246" i="4"/>
  <c r="BK246" i="4"/>
  <c r="BH246" i="4"/>
  <c r="AT246" i="4"/>
  <c r="AH246" i="4"/>
  <c r="AE246" i="4"/>
  <c r="AB246" i="4"/>
  <c r="X246" i="4"/>
  <c r="S246" i="4"/>
  <c r="M246" i="4"/>
  <c r="G246" i="4"/>
  <c r="B246" i="4"/>
  <c r="BL245" i="4"/>
  <c r="BK245" i="4"/>
  <c r="BH245" i="4"/>
  <c r="AW245" i="4"/>
  <c r="AQ245" i="4"/>
  <c r="AK245" i="4"/>
  <c r="AE245" i="4"/>
  <c r="Y245" i="4"/>
  <c r="X245" i="4"/>
  <c r="V245" i="4"/>
  <c r="P245" i="4"/>
  <c r="M245" i="4"/>
  <c r="G245" i="4"/>
  <c r="B245" i="4"/>
  <c r="AZ245" i="4" s="1"/>
  <c r="BL244" i="4"/>
  <c r="BK244" i="4"/>
  <c r="BH244" i="4"/>
  <c r="AH244" i="4"/>
  <c r="AE244" i="4"/>
  <c r="X244" i="4"/>
  <c r="M244" i="4"/>
  <c r="G244" i="4"/>
  <c r="B244" i="4"/>
  <c r="AT244" i="4" s="1"/>
  <c r="BL243" i="4"/>
  <c r="BK243" i="4"/>
  <c r="BH243" i="4"/>
  <c r="AW243" i="4"/>
  <c r="AQ243" i="4"/>
  <c r="AK243" i="4"/>
  <c r="AH243" i="4"/>
  <c r="AE243" i="4"/>
  <c r="Y243" i="4"/>
  <c r="X243" i="4"/>
  <c r="V243" i="4"/>
  <c r="P243" i="4"/>
  <c r="M243" i="4"/>
  <c r="G243" i="4"/>
  <c r="B243" i="4"/>
  <c r="AZ243" i="4" s="1"/>
  <c r="BL242" i="4"/>
  <c r="BK242" i="4"/>
  <c r="BH242" i="4"/>
  <c r="AH242" i="4"/>
  <c r="AE242" i="4"/>
  <c r="X242" i="4"/>
  <c r="M242" i="4"/>
  <c r="G242" i="4"/>
  <c r="B242" i="4"/>
  <c r="AT242" i="4" s="1"/>
  <c r="BL241" i="4"/>
  <c r="BK241" i="4"/>
  <c r="BH241" i="4"/>
  <c r="AW241" i="4"/>
  <c r="AQ241" i="4"/>
  <c r="AK241" i="4"/>
  <c r="AH241" i="4"/>
  <c r="AE241" i="4"/>
  <c r="Y241" i="4"/>
  <c r="X241" i="4"/>
  <c r="V241" i="4"/>
  <c r="P241" i="4"/>
  <c r="M241" i="4"/>
  <c r="G241" i="4"/>
  <c r="B241" i="4"/>
  <c r="AZ241" i="4" s="1"/>
  <c r="BL240" i="4"/>
  <c r="BK240" i="4"/>
  <c r="BH240" i="4"/>
  <c r="AH240" i="4"/>
  <c r="AE240" i="4"/>
  <c r="X240" i="4"/>
  <c r="M240" i="4"/>
  <c r="G240" i="4"/>
  <c r="B240" i="4"/>
  <c r="AT240" i="4" s="1"/>
  <c r="BL239" i="4"/>
  <c r="BK239" i="4"/>
  <c r="BH239" i="4"/>
  <c r="AW239" i="4"/>
  <c r="AQ239" i="4"/>
  <c r="AK239" i="4"/>
  <c r="AH239" i="4"/>
  <c r="AE239" i="4"/>
  <c r="Y239" i="4"/>
  <c r="X239" i="4"/>
  <c r="V239" i="4"/>
  <c r="P239" i="4"/>
  <c r="M239" i="4"/>
  <c r="G239" i="4"/>
  <c r="B239" i="4"/>
  <c r="BL238" i="4"/>
  <c r="BK238" i="4"/>
  <c r="BH238" i="4"/>
  <c r="AE238" i="4"/>
  <c r="X238" i="4"/>
  <c r="M238" i="4"/>
  <c r="G238" i="4"/>
  <c r="B238" i="4"/>
  <c r="AT238" i="4" s="1"/>
  <c r="BL237" i="4"/>
  <c r="BK237" i="4"/>
  <c r="BH237" i="4"/>
  <c r="AW237" i="4"/>
  <c r="AQ237" i="4"/>
  <c r="AK237" i="4"/>
  <c r="AH237" i="4"/>
  <c r="AE237" i="4"/>
  <c r="Y237" i="4"/>
  <c r="X237" i="4"/>
  <c r="V237" i="4"/>
  <c r="P237" i="4"/>
  <c r="M237" i="4"/>
  <c r="G237" i="4"/>
  <c r="B237" i="4"/>
  <c r="AZ237" i="4" s="1"/>
  <c r="BL236" i="4"/>
  <c r="BK236" i="4"/>
  <c r="BH236" i="4"/>
  <c r="AH236" i="4"/>
  <c r="AE236" i="4"/>
  <c r="X236" i="4"/>
  <c r="M236" i="4"/>
  <c r="G236" i="4"/>
  <c r="B236" i="4"/>
  <c r="AT236" i="4" s="1"/>
  <c r="BL235" i="4"/>
  <c r="BK235" i="4"/>
  <c r="BH235" i="4"/>
  <c r="AW235" i="4"/>
  <c r="AQ235" i="4"/>
  <c r="AK235" i="4"/>
  <c r="AH235" i="4"/>
  <c r="AE235" i="4"/>
  <c r="Y235" i="4"/>
  <c r="X235" i="4"/>
  <c r="V235" i="4"/>
  <c r="P235" i="4"/>
  <c r="M235" i="4"/>
  <c r="G235" i="4"/>
  <c r="B235" i="4"/>
  <c r="AZ235" i="4" s="1"/>
  <c r="BL234" i="4"/>
  <c r="BK234" i="4"/>
  <c r="BH234" i="4"/>
  <c r="AH234" i="4"/>
  <c r="AE234" i="4"/>
  <c r="X234" i="4"/>
  <c r="M234" i="4"/>
  <c r="G234" i="4"/>
  <c r="B234" i="4"/>
  <c r="AT234" i="4" s="1"/>
  <c r="BL233" i="4"/>
  <c r="BK233" i="4"/>
  <c r="BH233" i="4"/>
  <c r="AW233" i="4"/>
  <c r="AQ233" i="4"/>
  <c r="AK233" i="4"/>
  <c r="AH233" i="4"/>
  <c r="AE233" i="4"/>
  <c r="Y233" i="4"/>
  <c r="X233" i="4"/>
  <c r="V233" i="4"/>
  <c r="P233" i="4"/>
  <c r="M233" i="4"/>
  <c r="G233" i="4"/>
  <c r="B233" i="4"/>
  <c r="AZ233" i="4" s="1"/>
  <c r="BL232" i="4"/>
  <c r="BK232" i="4"/>
  <c r="BH232" i="4"/>
  <c r="AH232" i="4"/>
  <c r="AE232" i="4"/>
  <c r="X232" i="4"/>
  <c r="M232" i="4"/>
  <c r="G232" i="4"/>
  <c r="B232" i="4"/>
  <c r="AH238" i="4" s="1"/>
  <c r="BL231" i="4"/>
  <c r="BK231" i="4"/>
  <c r="BH231" i="4"/>
  <c r="AW231" i="4"/>
  <c r="AQ231" i="4"/>
  <c r="AK231" i="4"/>
  <c r="AE231" i="4"/>
  <c r="Y231" i="4"/>
  <c r="X231" i="4"/>
  <c r="V231" i="4"/>
  <c r="P231" i="4"/>
  <c r="M231" i="4"/>
  <c r="G231" i="4"/>
  <c r="B231" i="4"/>
  <c r="AZ231" i="4" s="1"/>
  <c r="BL230" i="4"/>
  <c r="BK230" i="4"/>
  <c r="BH230" i="4"/>
  <c r="AT230" i="4"/>
  <c r="AH230" i="4"/>
  <c r="AE230" i="4"/>
  <c r="AB230" i="4"/>
  <c r="X230" i="4"/>
  <c r="S230" i="4"/>
  <c r="M230" i="4"/>
  <c r="G230" i="4"/>
  <c r="B230" i="4"/>
  <c r="BL229" i="4"/>
  <c r="BK229" i="4"/>
  <c r="BH229" i="4"/>
  <c r="AW229" i="4"/>
  <c r="AQ229" i="4"/>
  <c r="AK229" i="4"/>
  <c r="AH229" i="4"/>
  <c r="AE229" i="4"/>
  <c r="Y229" i="4"/>
  <c r="X229" i="4"/>
  <c r="V229" i="4"/>
  <c r="P229" i="4"/>
  <c r="M229" i="4"/>
  <c r="G229" i="4"/>
  <c r="B229" i="4"/>
  <c r="AZ229" i="4" s="1"/>
  <c r="BL228" i="4"/>
  <c r="BK228" i="4"/>
  <c r="BH228" i="4"/>
  <c r="AT228" i="4"/>
  <c r="AH228" i="4"/>
  <c r="AE228" i="4"/>
  <c r="AB228" i="4"/>
  <c r="X228" i="4"/>
  <c r="S228" i="4"/>
  <c r="M228" i="4"/>
  <c r="G228" i="4"/>
  <c r="B228" i="4"/>
  <c r="BL227" i="4"/>
  <c r="BK227" i="4"/>
  <c r="BH227" i="4"/>
  <c r="AW227" i="4"/>
  <c r="AQ227" i="4"/>
  <c r="AK227" i="4"/>
  <c r="AH227" i="4"/>
  <c r="AE227" i="4"/>
  <c r="Y227" i="4"/>
  <c r="X227" i="4"/>
  <c r="V227" i="4"/>
  <c r="P227" i="4"/>
  <c r="M227" i="4"/>
  <c r="G227" i="4"/>
  <c r="B227" i="4"/>
  <c r="AZ227" i="4" s="1"/>
  <c r="BL226" i="4"/>
  <c r="BK226" i="4"/>
  <c r="BH226" i="4"/>
  <c r="AT226" i="4"/>
  <c r="AH226" i="4"/>
  <c r="AE226" i="4"/>
  <c r="AB226" i="4"/>
  <c r="X226" i="4"/>
  <c r="S226" i="4"/>
  <c r="M226" i="4"/>
  <c r="G226" i="4"/>
  <c r="B226" i="4"/>
  <c r="BL225" i="4"/>
  <c r="BK225" i="4"/>
  <c r="BH225" i="4"/>
  <c r="AW225" i="4"/>
  <c r="AQ225" i="4"/>
  <c r="AK225" i="4"/>
  <c r="AH225" i="4"/>
  <c r="AE225" i="4"/>
  <c r="Y225" i="4"/>
  <c r="X225" i="4"/>
  <c r="V225" i="4"/>
  <c r="P225" i="4"/>
  <c r="M225" i="4"/>
  <c r="G225" i="4"/>
  <c r="B225" i="4"/>
  <c r="AH231" i="4" s="1"/>
  <c r="BL224" i="4"/>
  <c r="BK224" i="4"/>
  <c r="BH224" i="4"/>
  <c r="AT224" i="4"/>
  <c r="AH224" i="4"/>
  <c r="AE224" i="4"/>
  <c r="AB224" i="4"/>
  <c r="X224" i="4"/>
  <c r="S224" i="4"/>
  <c r="M224" i="4"/>
  <c r="G224" i="4"/>
  <c r="B224" i="4"/>
  <c r="BL223" i="4"/>
  <c r="BK223" i="4"/>
  <c r="BH223" i="4"/>
  <c r="AW223" i="4"/>
  <c r="AQ223" i="4"/>
  <c r="AK223" i="4"/>
  <c r="AH223" i="4"/>
  <c r="AE223" i="4"/>
  <c r="Y223" i="4"/>
  <c r="X223" i="4"/>
  <c r="V223" i="4"/>
  <c r="P223" i="4"/>
  <c r="M223" i="4"/>
  <c r="G223" i="4"/>
  <c r="B223" i="4"/>
  <c r="AZ223" i="4" s="1"/>
  <c r="BL222" i="4"/>
  <c r="BK222" i="4"/>
  <c r="BH222" i="4"/>
  <c r="AT222" i="4"/>
  <c r="AH222" i="4"/>
  <c r="AE222" i="4"/>
  <c r="AB222" i="4"/>
  <c r="X222" i="4"/>
  <c r="S222" i="4"/>
  <c r="M222" i="4"/>
  <c r="G222" i="4"/>
  <c r="B222" i="4"/>
  <c r="BL221" i="4"/>
  <c r="BK221" i="4"/>
  <c r="BH221" i="4"/>
  <c r="AW221" i="4"/>
  <c r="AQ221" i="4"/>
  <c r="AK221" i="4"/>
  <c r="AH221" i="4"/>
  <c r="AE221" i="4"/>
  <c r="Y221" i="4"/>
  <c r="X221" i="4"/>
  <c r="V221" i="4"/>
  <c r="P221" i="4"/>
  <c r="M221" i="4"/>
  <c r="G221" i="4"/>
  <c r="B221" i="4"/>
  <c r="AZ221" i="4" s="1"/>
  <c r="BL220" i="4"/>
  <c r="BK220" i="4"/>
  <c r="BH220" i="4"/>
  <c r="AT220" i="4"/>
  <c r="AH220" i="4"/>
  <c r="AE220" i="4"/>
  <c r="AB220" i="4"/>
  <c r="X220" i="4"/>
  <c r="S220" i="4"/>
  <c r="M220" i="4"/>
  <c r="G220" i="4"/>
  <c r="B220" i="4"/>
  <c r="BL219" i="4"/>
  <c r="BK219" i="4"/>
  <c r="BH219" i="4"/>
  <c r="AW219" i="4"/>
  <c r="AQ219" i="4"/>
  <c r="AK219" i="4"/>
  <c r="AH219" i="4"/>
  <c r="AE219" i="4"/>
  <c r="Y219" i="4"/>
  <c r="X219" i="4"/>
  <c r="V219" i="4"/>
  <c r="P219" i="4"/>
  <c r="M219" i="4"/>
  <c r="G219" i="4"/>
  <c r="B219" i="4"/>
  <c r="AZ219" i="4" s="1"/>
  <c r="BL218" i="4"/>
  <c r="BK218" i="4"/>
  <c r="BH218" i="4"/>
  <c r="AT218" i="4"/>
  <c r="AH218" i="4"/>
  <c r="AE218" i="4"/>
  <c r="AB218" i="4"/>
  <c r="X218" i="4"/>
  <c r="S218" i="4"/>
  <c r="M218" i="4"/>
  <c r="G218" i="4"/>
  <c r="B218" i="4"/>
  <c r="BL217" i="4"/>
  <c r="BK217" i="4"/>
  <c r="BH217" i="4"/>
  <c r="AW217" i="4"/>
  <c r="AQ217" i="4"/>
  <c r="AK217" i="4"/>
  <c r="AE217" i="4"/>
  <c r="Y217" i="4"/>
  <c r="X217" i="4"/>
  <c r="V217" i="4"/>
  <c r="P217" i="4"/>
  <c r="M217" i="4"/>
  <c r="G217" i="4"/>
  <c r="B217" i="4"/>
  <c r="AZ217" i="4" s="1"/>
  <c r="BL216" i="4"/>
  <c r="BK216" i="4"/>
  <c r="BH216" i="4"/>
  <c r="AH216" i="4"/>
  <c r="AE216" i="4"/>
  <c r="X216" i="4"/>
  <c r="M216" i="4"/>
  <c r="G216" i="4"/>
  <c r="B216" i="4"/>
  <c r="AT216" i="4" s="1"/>
  <c r="BL215" i="4"/>
  <c r="BK215" i="4"/>
  <c r="BH215" i="4"/>
  <c r="AW215" i="4"/>
  <c r="AQ215" i="4"/>
  <c r="AK215" i="4"/>
  <c r="AH215" i="4"/>
  <c r="AE215" i="4"/>
  <c r="Y215" i="4"/>
  <c r="X215" i="4"/>
  <c r="V215" i="4"/>
  <c r="P215" i="4"/>
  <c r="M215" i="4"/>
  <c r="G215" i="4"/>
  <c r="B215" i="4"/>
  <c r="AZ215" i="4" s="1"/>
  <c r="BL214" i="4"/>
  <c r="BK214" i="4"/>
  <c r="BH214" i="4"/>
  <c r="AH214" i="4"/>
  <c r="AE214" i="4"/>
  <c r="X214" i="4"/>
  <c r="M214" i="4"/>
  <c r="G214" i="4"/>
  <c r="B214" i="4"/>
  <c r="AT214" i="4" s="1"/>
  <c r="BL213" i="4"/>
  <c r="BK213" i="4"/>
  <c r="BH213" i="4"/>
  <c r="AW213" i="4"/>
  <c r="AQ213" i="4"/>
  <c r="AK213" i="4"/>
  <c r="AH213" i="4"/>
  <c r="AE213" i="4"/>
  <c r="Y213" i="4"/>
  <c r="X213" i="4"/>
  <c r="V213" i="4"/>
  <c r="P213" i="4"/>
  <c r="M213" i="4"/>
  <c r="G213" i="4"/>
  <c r="B213" i="4"/>
  <c r="AZ213" i="4" s="1"/>
  <c r="BL212" i="4"/>
  <c r="BK212" i="4"/>
  <c r="BH212" i="4"/>
  <c r="AH212" i="4"/>
  <c r="AE212" i="4"/>
  <c r="X212" i="4"/>
  <c r="M212" i="4"/>
  <c r="G212" i="4"/>
  <c r="B212" i="4"/>
  <c r="AT212" i="4" s="1"/>
  <c r="BL211" i="4"/>
  <c r="BK211" i="4"/>
  <c r="BH211" i="4"/>
  <c r="AW211" i="4"/>
  <c r="AQ211" i="4"/>
  <c r="AK211" i="4"/>
  <c r="AH211" i="4"/>
  <c r="AE211" i="4"/>
  <c r="Y211" i="4"/>
  <c r="X211" i="4"/>
  <c r="V211" i="4"/>
  <c r="P211" i="4"/>
  <c r="M211" i="4"/>
  <c r="G211" i="4"/>
  <c r="B211" i="4"/>
  <c r="BL210" i="4"/>
  <c r="BK210" i="4"/>
  <c r="BH210" i="4"/>
  <c r="AE210" i="4"/>
  <c r="X210" i="4"/>
  <c r="M210" i="4"/>
  <c r="G210" i="4"/>
  <c r="B210" i="4"/>
  <c r="AT210" i="4" s="1"/>
  <c r="BL209" i="4"/>
  <c r="BK209" i="4"/>
  <c r="BH209" i="4"/>
  <c r="AW209" i="4"/>
  <c r="AQ209" i="4"/>
  <c r="AK209" i="4"/>
  <c r="AH209" i="4"/>
  <c r="AE209" i="4"/>
  <c r="Y209" i="4"/>
  <c r="X209" i="4"/>
  <c r="V209" i="4"/>
  <c r="P209" i="4"/>
  <c r="M209" i="4"/>
  <c r="G209" i="4"/>
  <c r="B209" i="4"/>
  <c r="AZ209" i="4" s="1"/>
  <c r="BL208" i="4"/>
  <c r="BK208" i="4"/>
  <c r="BH208" i="4"/>
  <c r="AH208" i="4"/>
  <c r="AE208" i="4"/>
  <c r="X208" i="4"/>
  <c r="M208" i="4"/>
  <c r="G208" i="4"/>
  <c r="B208" i="4"/>
  <c r="AT208" i="4" s="1"/>
  <c r="BL207" i="4"/>
  <c r="BK207" i="4"/>
  <c r="BH207" i="4"/>
  <c r="AW207" i="4"/>
  <c r="AQ207" i="4"/>
  <c r="AK207" i="4"/>
  <c r="AH207" i="4"/>
  <c r="AE207" i="4"/>
  <c r="Y207" i="4"/>
  <c r="X207" i="4"/>
  <c r="V207" i="4"/>
  <c r="P207" i="4"/>
  <c r="M207" i="4"/>
  <c r="G207" i="4"/>
  <c r="B207" i="4"/>
  <c r="AZ207" i="4" s="1"/>
  <c r="BL206" i="4"/>
  <c r="BK206" i="4"/>
  <c r="BH206" i="4"/>
  <c r="AH206" i="4"/>
  <c r="AE206" i="4"/>
  <c r="X206" i="4"/>
  <c r="M206" i="4"/>
  <c r="G206" i="4"/>
  <c r="B206" i="4"/>
  <c r="AT206" i="4" s="1"/>
  <c r="BL205" i="4"/>
  <c r="BK205" i="4"/>
  <c r="BH205" i="4"/>
  <c r="AW205" i="4"/>
  <c r="AQ205" i="4"/>
  <c r="AK205" i="4"/>
  <c r="AH205" i="4"/>
  <c r="AE205" i="4"/>
  <c r="Y205" i="4"/>
  <c r="X205" i="4"/>
  <c r="V205" i="4"/>
  <c r="P205" i="4"/>
  <c r="M205" i="4"/>
  <c r="G205" i="4"/>
  <c r="B205" i="4"/>
  <c r="AZ205" i="4" s="1"/>
  <c r="BL204" i="4"/>
  <c r="BK204" i="4"/>
  <c r="BH204" i="4"/>
  <c r="AH204" i="4"/>
  <c r="AE204" i="4"/>
  <c r="X204" i="4"/>
  <c r="M204" i="4"/>
  <c r="G204" i="4"/>
  <c r="B204" i="4"/>
  <c r="AH210" i="4" s="1"/>
  <c r="BL203" i="4"/>
  <c r="BK203" i="4"/>
  <c r="BH203" i="4"/>
  <c r="AW203" i="4"/>
  <c r="AQ203" i="4"/>
  <c r="AK203" i="4"/>
  <c r="AE203" i="4"/>
  <c r="Y203" i="4"/>
  <c r="X203" i="4"/>
  <c r="V203" i="4"/>
  <c r="P203" i="4"/>
  <c r="M203" i="4"/>
  <c r="G203" i="4"/>
  <c r="B203" i="4"/>
  <c r="AZ203" i="4" s="1"/>
  <c r="BL202" i="4"/>
  <c r="BK202" i="4"/>
  <c r="BH202" i="4"/>
  <c r="AT202" i="4"/>
  <c r="AH202" i="4"/>
  <c r="AE202" i="4"/>
  <c r="AB202" i="4"/>
  <c r="X202" i="4"/>
  <c r="S202" i="4"/>
  <c r="M202" i="4"/>
  <c r="G202" i="4"/>
  <c r="B202" i="4"/>
  <c r="BL201" i="4"/>
  <c r="BK201" i="4"/>
  <c r="BH201" i="4"/>
  <c r="AW201" i="4"/>
  <c r="AQ201" i="4"/>
  <c r="AK201" i="4"/>
  <c r="AH201" i="4"/>
  <c r="AE201" i="4"/>
  <c r="Y201" i="4"/>
  <c r="X201" i="4"/>
  <c r="V201" i="4"/>
  <c r="P201" i="4"/>
  <c r="M201" i="4"/>
  <c r="G201" i="4"/>
  <c r="B201" i="4"/>
  <c r="AZ201" i="4" s="1"/>
  <c r="BL200" i="4"/>
  <c r="BK200" i="4"/>
  <c r="BH200" i="4"/>
  <c r="AT200" i="4"/>
  <c r="AH200" i="4"/>
  <c r="AE200" i="4"/>
  <c r="AB200" i="4"/>
  <c r="X200" i="4"/>
  <c r="S200" i="4"/>
  <c r="M200" i="4"/>
  <c r="G200" i="4"/>
  <c r="B200" i="4"/>
  <c r="BL199" i="4"/>
  <c r="BK199" i="4"/>
  <c r="BH199" i="4"/>
  <c r="AW199" i="4"/>
  <c r="AQ199" i="4"/>
  <c r="AK199" i="4"/>
  <c r="AH199" i="4"/>
  <c r="AE199" i="4"/>
  <c r="Y199" i="4"/>
  <c r="X199" i="4"/>
  <c r="V199" i="4"/>
  <c r="P199" i="4"/>
  <c r="M199" i="4"/>
  <c r="G199" i="4"/>
  <c r="B199" i="4"/>
  <c r="AZ199" i="4" s="1"/>
  <c r="BL198" i="4"/>
  <c r="BK198" i="4"/>
  <c r="BH198" i="4"/>
  <c r="AT198" i="4"/>
  <c r="AH198" i="4"/>
  <c r="AE198" i="4"/>
  <c r="AB198" i="4"/>
  <c r="X198" i="4"/>
  <c r="S198" i="4"/>
  <c r="M198" i="4"/>
  <c r="G198" i="4"/>
  <c r="B198" i="4"/>
  <c r="BL197" i="4"/>
  <c r="BK197" i="4"/>
  <c r="BH197" i="4"/>
  <c r="AW197" i="4"/>
  <c r="AQ197" i="4"/>
  <c r="AK197" i="4"/>
  <c r="AH197" i="4"/>
  <c r="AE197" i="4"/>
  <c r="Y197" i="4"/>
  <c r="X197" i="4"/>
  <c r="V197" i="4"/>
  <c r="P197" i="4"/>
  <c r="M197" i="4"/>
  <c r="G197" i="4"/>
  <c r="B197" i="4"/>
  <c r="AH203" i="4" s="1"/>
  <c r="BL196" i="4"/>
  <c r="BK196" i="4"/>
  <c r="BH196" i="4"/>
  <c r="AT196" i="4"/>
  <c r="AH196" i="4"/>
  <c r="AE196" i="4"/>
  <c r="AB196" i="4"/>
  <c r="X196" i="4"/>
  <c r="S196" i="4"/>
  <c r="M196" i="4"/>
  <c r="G196" i="4"/>
  <c r="B196" i="4"/>
  <c r="BL195" i="4"/>
  <c r="BK195" i="4"/>
  <c r="BH195" i="4"/>
  <c r="AW195" i="4"/>
  <c r="AQ195" i="4"/>
  <c r="AK195" i="4"/>
  <c r="AH195" i="4"/>
  <c r="AE195" i="4"/>
  <c r="Y195" i="4"/>
  <c r="X195" i="4"/>
  <c r="V195" i="4"/>
  <c r="P195" i="4"/>
  <c r="M195" i="4"/>
  <c r="G195" i="4"/>
  <c r="B195" i="4"/>
  <c r="AZ195" i="4" s="1"/>
  <c r="BL194" i="4"/>
  <c r="BK194" i="4"/>
  <c r="BH194" i="4"/>
  <c r="AT194" i="4"/>
  <c r="AH194" i="4"/>
  <c r="AE194" i="4"/>
  <c r="AB194" i="4"/>
  <c r="X194" i="4"/>
  <c r="S194" i="4"/>
  <c r="M194" i="4"/>
  <c r="G194" i="4"/>
  <c r="B194" i="4"/>
  <c r="BL193" i="4"/>
  <c r="BK193" i="4"/>
  <c r="BH193" i="4"/>
  <c r="AW193" i="4"/>
  <c r="AQ193" i="4"/>
  <c r="AK193" i="4"/>
  <c r="AH193" i="4"/>
  <c r="AE193" i="4"/>
  <c r="Y193" i="4"/>
  <c r="X193" i="4"/>
  <c r="V193" i="4"/>
  <c r="P193" i="4"/>
  <c r="M193" i="4"/>
  <c r="G193" i="4"/>
  <c r="B193" i="4"/>
  <c r="AZ193" i="4" s="1"/>
  <c r="BL192" i="4"/>
  <c r="BK192" i="4"/>
  <c r="BH192" i="4"/>
  <c r="AT192" i="4"/>
  <c r="AH192" i="4"/>
  <c r="AE192" i="4"/>
  <c r="AB192" i="4"/>
  <c r="X192" i="4"/>
  <c r="S192" i="4"/>
  <c r="M192" i="4"/>
  <c r="G192" i="4"/>
  <c r="B192" i="4"/>
  <c r="BL191" i="4"/>
  <c r="BK191" i="4"/>
  <c r="BH191" i="4"/>
  <c r="AW191" i="4"/>
  <c r="AQ191" i="4"/>
  <c r="AK191" i="4"/>
  <c r="AH191" i="4"/>
  <c r="AE191" i="4"/>
  <c r="Y191" i="4"/>
  <c r="X191" i="4"/>
  <c r="V191" i="4"/>
  <c r="P191" i="4"/>
  <c r="M191" i="4"/>
  <c r="G191" i="4"/>
  <c r="B191" i="4"/>
  <c r="AZ191" i="4" s="1"/>
  <c r="BL190" i="4"/>
  <c r="BK190" i="4"/>
  <c r="BH190" i="4"/>
  <c r="AT190" i="4"/>
  <c r="AH190" i="4"/>
  <c r="AE190" i="4"/>
  <c r="AB190" i="4"/>
  <c r="X190" i="4"/>
  <c r="S190" i="4"/>
  <c r="M190" i="4"/>
  <c r="G190" i="4"/>
  <c r="B190" i="4"/>
  <c r="BL189" i="4"/>
  <c r="BK189" i="4"/>
  <c r="BH189" i="4"/>
  <c r="AW189" i="4"/>
  <c r="AQ189" i="4"/>
  <c r="AK189" i="4"/>
  <c r="AE189" i="4"/>
  <c r="Y189" i="4"/>
  <c r="X189" i="4"/>
  <c r="V189" i="4"/>
  <c r="P189" i="4"/>
  <c r="M189" i="4"/>
  <c r="G189" i="4"/>
  <c r="B189" i="4"/>
  <c r="AZ189" i="4" s="1"/>
  <c r="BL188" i="4"/>
  <c r="BK188" i="4"/>
  <c r="BH188" i="4"/>
  <c r="AH188" i="4"/>
  <c r="AE188" i="4"/>
  <c r="X188" i="4"/>
  <c r="M188" i="4"/>
  <c r="G188" i="4"/>
  <c r="B188" i="4"/>
  <c r="AT188" i="4" s="1"/>
  <c r="BL187" i="4"/>
  <c r="BK187" i="4"/>
  <c r="BH187" i="4"/>
  <c r="AW187" i="4"/>
  <c r="AQ187" i="4"/>
  <c r="AK187" i="4"/>
  <c r="AH187" i="4"/>
  <c r="AE187" i="4"/>
  <c r="Y187" i="4"/>
  <c r="X187" i="4"/>
  <c r="V187" i="4"/>
  <c r="P187" i="4"/>
  <c r="M187" i="4"/>
  <c r="G187" i="4"/>
  <c r="B187" i="4"/>
  <c r="AZ187" i="4" s="1"/>
  <c r="BL186" i="4"/>
  <c r="BK186" i="4"/>
  <c r="BH186" i="4"/>
  <c r="AH186" i="4"/>
  <c r="AE186" i="4"/>
  <c r="X186" i="4"/>
  <c r="M186" i="4"/>
  <c r="G186" i="4"/>
  <c r="B186" i="4"/>
  <c r="AT186" i="4" s="1"/>
  <c r="BL185" i="4"/>
  <c r="BK185" i="4"/>
  <c r="BH185" i="4"/>
  <c r="AW185" i="4"/>
  <c r="AQ185" i="4"/>
  <c r="AK185" i="4"/>
  <c r="AH185" i="4"/>
  <c r="AE185" i="4"/>
  <c r="Y185" i="4"/>
  <c r="X185" i="4"/>
  <c r="V185" i="4"/>
  <c r="P185" i="4"/>
  <c r="M185" i="4"/>
  <c r="G185" i="4"/>
  <c r="B185" i="4"/>
  <c r="AZ185" i="4" s="1"/>
  <c r="BL184" i="4"/>
  <c r="BK184" i="4"/>
  <c r="BH184" i="4"/>
  <c r="AH184" i="4"/>
  <c r="AE184" i="4"/>
  <c r="X184" i="4"/>
  <c r="M184" i="4"/>
  <c r="G184" i="4"/>
  <c r="B184" i="4"/>
  <c r="AT184" i="4" s="1"/>
  <c r="BL183" i="4"/>
  <c r="BK183" i="4"/>
  <c r="BH183" i="4"/>
  <c r="AW183" i="4"/>
  <c r="AQ183" i="4"/>
  <c r="AK183" i="4"/>
  <c r="AH183" i="4"/>
  <c r="AE183" i="4"/>
  <c r="Y183" i="4"/>
  <c r="X183" i="4"/>
  <c r="V183" i="4"/>
  <c r="P183" i="4"/>
  <c r="M183" i="4"/>
  <c r="G183" i="4"/>
  <c r="B183" i="4"/>
  <c r="BL182" i="4"/>
  <c r="BK182" i="4"/>
  <c r="BH182" i="4"/>
  <c r="AE182" i="4"/>
  <c r="X182" i="4"/>
  <c r="M182" i="4"/>
  <c r="G182" i="4"/>
  <c r="B182" i="4"/>
  <c r="AT182" i="4" s="1"/>
  <c r="BL181" i="4"/>
  <c r="BK181" i="4"/>
  <c r="BH181" i="4"/>
  <c r="AW181" i="4"/>
  <c r="AQ181" i="4"/>
  <c r="AK181" i="4"/>
  <c r="AE181" i="4"/>
  <c r="Y181" i="4"/>
  <c r="X181" i="4"/>
  <c r="V181" i="4"/>
  <c r="P181" i="4"/>
  <c r="M181" i="4"/>
  <c r="G181" i="4"/>
  <c r="B181" i="4"/>
  <c r="AZ181" i="4" s="1"/>
  <c r="BL180" i="4"/>
  <c r="BK180" i="4"/>
  <c r="BH180" i="4"/>
  <c r="AT180" i="4"/>
  <c r="AH180" i="4"/>
  <c r="AE180" i="4"/>
  <c r="AB180" i="4"/>
  <c r="X180" i="4"/>
  <c r="S180" i="4"/>
  <c r="M180" i="4"/>
  <c r="G180" i="4"/>
  <c r="B180" i="4"/>
  <c r="BL179" i="4"/>
  <c r="BK179" i="4"/>
  <c r="BH179" i="4"/>
  <c r="AW179" i="4"/>
  <c r="AQ179" i="4"/>
  <c r="AK179" i="4"/>
  <c r="AH179" i="4"/>
  <c r="AE179" i="4"/>
  <c r="Y179" i="4"/>
  <c r="X179" i="4"/>
  <c r="V179" i="4"/>
  <c r="P179" i="4"/>
  <c r="M179" i="4"/>
  <c r="G179" i="4"/>
  <c r="B179" i="4"/>
  <c r="AZ179" i="4" s="1"/>
  <c r="BL178" i="4"/>
  <c r="BK178" i="4"/>
  <c r="BH178" i="4"/>
  <c r="AT178" i="4"/>
  <c r="AH178" i="4"/>
  <c r="AE178" i="4"/>
  <c r="AB178" i="4"/>
  <c r="X178" i="4"/>
  <c r="S178" i="4"/>
  <c r="M178" i="4"/>
  <c r="G178" i="4"/>
  <c r="B178" i="4"/>
  <c r="BL177" i="4"/>
  <c r="BK177" i="4"/>
  <c r="BH177" i="4"/>
  <c r="AW177" i="4"/>
  <c r="AQ177" i="4"/>
  <c r="AK177" i="4"/>
  <c r="AH177" i="4"/>
  <c r="AE177" i="4"/>
  <c r="Y177" i="4"/>
  <c r="X177" i="4"/>
  <c r="V177" i="4"/>
  <c r="P177" i="4"/>
  <c r="M177" i="4"/>
  <c r="G177" i="4"/>
  <c r="B177" i="4"/>
  <c r="AZ177" i="4" s="1"/>
  <c r="BL176" i="4"/>
  <c r="BK176" i="4"/>
  <c r="BH176" i="4"/>
  <c r="AT176" i="4"/>
  <c r="AH176" i="4"/>
  <c r="AE176" i="4"/>
  <c r="AB176" i="4"/>
  <c r="X176" i="4"/>
  <c r="S176" i="4"/>
  <c r="M176" i="4"/>
  <c r="G176" i="4"/>
  <c r="B176" i="4"/>
  <c r="BL175" i="4"/>
  <c r="BK175" i="4"/>
  <c r="BH175" i="4"/>
  <c r="AW175" i="4"/>
  <c r="AQ175" i="4"/>
  <c r="AK175" i="4"/>
  <c r="AE175" i="4"/>
  <c r="Y175" i="4"/>
  <c r="X175" i="4"/>
  <c r="V175" i="4"/>
  <c r="P175" i="4"/>
  <c r="M175" i="4"/>
  <c r="G175" i="4"/>
  <c r="B175" i="4"/>
  <c r="AH181" i="4" s="1"/>
  <c r="BL174" i="4"/>
  <c r="BK174" i="4"/>
  <c r="BH174" i="4"/>
  <c r="AH174" i="4"/>
  <c r="AE174" i="4"/>
  <c r="X174" i="4"/>
  <c r="M174" i="4"/>
  <c r="G174" i="4"/>
  <c r="B174" i="4"/>
  <c r="AT174" i="4" s="1"/>
  <c r="BL173" i="4"/>
  <c r="BK173" i="4"/>
  <c r="BH173" i="4"/>
  <c r="AW173" i="4"/>
  <c r="AQ173" i="4"/>
  <c r="AK173" i="4"/>
  <c r="AH173" i="4"/>
  <c r="AE173" i="4"/>
  <c r="Y173" i="4"/>
  <c r="X173" i="4"/>
  <c r="V173" i="4"/>
  <c r="P173" i="4"/>
  <c r="M173" i="4"/>
  <c r="G173" i="4"/>
  <c r="B173" i="4"/>
  <c r="AZ173" i="4" s="1"/>
  <c r="BL172" i="4"/>
  <c r="BK172" i="4"/>
  <c r="BH172" i="4"/>
  <c r="AH172" i="4"/>
  <c r="AE172" i="4"/>
  <c r="X172" i="4"/>
  <c r="M172" i="4"/>
  <c r="G172" i="4"/>
  <c r="B172" i="4"/>
  <c r="AT172" i="4" s="1"/>
  <c r="BL171" i="4"/>
  <c r="BK171" i="4"/>
  <c r="BH171" i="4"/>
  <c r="AW171" i="4"/>
  <c r="AQ171" i="4"/>
  <c r="AK171" i="4"/>
  <c r="AH171" i="4"/>
  <c r="AE171" i="4"/>
  <c r="Y171" i="4"/>
  <c r="X171" i="4"/>
  <c r="V171" i="4"/>
  <c r="P171" i="4"/>
  <c r="M171" i="4"/>
  <c r="G171" i="4"/>
  <c r="B171" i="4"/>
  <c r="AZ171" i="4" s="1"/>
  <c r="BL170" i="4"/>
  <c r="BK170" i="4"/>
  <c r="BH170" i="4"/>
  <c r="AH170" i="4"/>
  <c r="AE170" i="4"/>
  <c r="X170" i="4"/>
  <c r="M170" i="4"/>
  <c r="G170" i="4"/>
  <c r="B170" i="4"/>
  <c r="AT170" i="4" s="1"/>
  <c r="BL169" i="4"/>
  <c r="BK169" i="4"/>
  <c r="BH169" i="4"/>
  <c r="AW169" i="4"/>
  <c r="AQ169" i="4"/>
  <c r="AK169" i="4"/>
  <c r="AH169" i="4"/>
  <c r="AE169" i="4"/>
  <c r="Y169" i="4"/>
  <c r="X169" i="4"/>
  <c r="V169" i="4"/>
  <c r="P169" i="4"/>
  <c r="M169" i="4"/>
  <c r="G169" i="4"/>
  <c r="B169" i="4"/>
  <c r="BL168" i="4"/>
  <c r="BK168" i="4"/>
  <c r="BH168" i="4"/>
  <c r="AH168" i="4"/>
  <c r="AE168" i="4"/>
  <c r="X168" i="4"/>
  <c r="M168" i="4"/>
  <c r="G168" i="4"/>
  <c r="B168" i="4"/>
  <c r="AT168" i="4" s="1"/>
  <c r="BL167" i="4"/>
  <c r="BK167" i="4"/>
  <c r="BH167" i="4"/>
  <c r="AW167" i="4"/>
  <c r="AQ167" i="4"/>
  <c r="AK167" i="4"/>
  <c r="AH167" i="4"/>
  <c r="AE167" i="4"/>
  <c r="Y167" i="4"/>
  <c r="X167" i="4"/>
  <c r="V167" i="4"/>
  <c r="P167" i="4"/>
  <c r="M167" i="4"/>
  <c r="G167" i="4"/>
  <c r="B167" i="4"/>
  <c r="AZ167" i="4" s="1"/>
  <c r="BL166" i="4"/>
  <c r="BK166" i="4"/>
  <c r="BH166" i="4"/>
  <c r="AH166" i="4"/>
  <c r="AE166" i="4"/>
  <c r="X166" i="4"/>
  <c r="M166" i="4"/>
  <c r="G166" i="4"/>
  <c r="B166" i="4"/>
  <c r="AT166" i="4" s="1"/>
  <c r="BL165" i="4"/>
  <c r="BK165" i="4"/>
  <c r="BH165" i="4"/>
  <c r="AW165" i="4"/>
  <c r="AQ165" i="4"/>
  <c r="AK165" i="4"/>
  <c r="AH165" i="4"/>
  <c r="AE165" i="4"/>
  <c r="Y165" i="4"/>
  <c r="X165" i="4"/>
  <c r="V165" i="4"/>
  <c r="P165" i="4"/>
  <c r="M165" i="4"/>
  <c r="G165" i="4"/>
  <c r="B165" i="4"/>
  <c r="AZ165" i="4" s="1"/>
  <c r="BL164" i="4"/>
  <c r="BK164" i="4"/>
  <c r="BH164" i="4"/>
  <c r="AH164" i="4"/>
  <c r="AE164" i="4"/>
  <c r="X164" i="4"/>
  <c r="M164" i="4"/>
  <c r="G164" i="4"/>
  <c r="B164" i="4"/>
  <c r="AT164" i="4" s="1"/>
  <c r="BL163" i="4"/>
  <c r="BK163" i="4"/>
  <c r="BH163" i="4"/>
  <c r="AW163" i="4"/>
  <c r="AQ163" i="4"/>
  <c r="AK163" i="4"/>
  <c r="AH163" i="4"/>
  <c r="AE163" i="4"/>
  <c r="Y163" i="4"/>
  <c r="X163" i="4"/>
  <c r="V163" i="4"/>
  <c r="P163" i="4"/>
  <c r="M163" i="4"/>
  <c r="G163" i="4"/>
  <c r="B163" i="4"/>
  <c r="AZ163" i="4" s="1"/>
  <c r="BL162" i="4"/>
  <c r="BK162" i="4"/>
  <c r="BH162" i="4"/>
  <c r="AH162" i="4"/>
  <c r="AE162" i="4"/>
  <c r="X162" i="4"/>
  <c r="M162" i="4"/>
  <c r="G162" i="4"/>
  <c r="B162" i="4"/>
  <c r="AT162" i="4" s="1"/>
  <c r="BL161" i="4"/>
  <c r="BK161" i="4"/>
  <c r="BH161" i="4"/>
  <c r="AW161" i="4"/>
  <c r="AQ161" i="4"/>
  <c r="AK161" i="4"/>
  <c r="AE161" i="4"/>
  <c r="Y161" i="4"/>
  <c r="X161" i="4"/>
  <c r="V161" i="4"/>
  <c r="P161" i="4"/>
  <c r="M161" i="4"/>
  <c r="G161" i="4"/>
  <c r="B161" i="4"/>
  <c r="AZ161" i="4" s="1"/>
  <c r="BL160" i="4"/>
  <c r="BK160" i="4"/>
  <c r="BH160" i="4"/>
  <c r="AT160" i="4"/>
  <c r="AH160" i="4"/>
  <c r="AE160" i="4"/>
  <c r="AB160" i="4"/>
  <c r="X160" i="4"/>
  <c r="S160" i="4"/>
  <c r="M160" i="4"/>
  <c r="G160" i="4"/>
  <c r="B160" i="4"/>
  <c r="BL159" i="4"/>
  <c r="BK159" i="4"/>
  <c r="BH159" i="4"/>
  <c r="AW159" i="4"/>
  <c r="AQ159" i="4"/>
  <c r="AK159" i="4"/>
  <c r="AH159" i="4"/>
  <c r="AE159" i="4"/>
  <c r="Y159" i="4"/>
  <c r="X159" i="4"/>
  <c r="V159" i="4"/>
  <c r="P159" i="4"/>
  <c r="M159" i="4"/>
  <c r="G159" i="4"/>
  <c r="B159" i="4"/>
  <c r="AZ159" i="4" s="1"/>
  <c r="BL158" i="4"/>
  <c r="BK158" i="4"/>
  <c r="BH158" i="4"/>
  <c r="AT158" i="4"/>
  <c r="AH158" i="4"/>
  <c r="AE158" i="4"/>
  <c r="AB158" i="4"/>
  <c r="X158" i="4"/>
  <c r="S158" i="4"/>
  <c r="M158" i="4"/>
  <c r="G158" i="4"/>
  <c r="B158" i="4"/>
  <c r="BL157" i="4"/>
  <c r="BK157" i="4"/>
  <c r="BH157" i="4"/>
  <c r="AW157" i="4"/>
  <c r="AQ157" i="4"/>
  <c r="AK157" i="4"/>
  <c r="AH157" i="4"/>
  <c r="AE157" i="4"/>
  <c r="Y157" i="4"/>
  <c r="X157" i="4"/>
  <c r="V157" i="4"/>
  <c r="P157" i="4"/>
  <c r="M157" i="4"/>
  <c r="G157" i="4"/>
  <c r="B157" i="4"/>
  <c r="AZ157" i="4" s="1"/>
  <c r="BL156" i="4"/>
  <c r="BK156" i="4"/>
  <c r="BH156" i="4"/>
  <c r="AT156" i="4"/>
  <c r="AH156" i="4"/>
  <c r="AE156" i="4"/>
  <c r="AB156" i="4"/>
  <c r="X156" i="4"/>
  <c r="S156" i="4"/>
  <c r="M156" i="4"/>
  <c r="G156" i="4"/>
  <c r="B156" i="4"/>
  <c r="BL155" i="4"/>
  <c r="BK155" i="4"/>
  <c r="BH155" i="4"/>
  <c r="AW155" i="4"/>
  <c r="AQ155" i="4"/>
  <c r="AK155" i="4"/>
  <c r="AH155" i="4"/>
  <c r="AE155" i="4"/>
  <c r="Y155" i="4"/>
  <c r="X155" i="4"/>
  <c r="V155" i="4"/>
  <c r="P155" i="4"/>
  <c r="M155" i="4"/>
  <c r="G155" i="4"/>
  <c r="B155" i="4"/>
  <c r="AH161" i="4" s="1"/>
  <c r="BL154" i="4"/>
  <c r="BK154" i="4"/>
  <c r="BH154" i="4"/>
  <c r="AT154" i="4"/>
  <c r="AH154" i="4"/>
  <c r="AE154" i="4"/>
  <c r="AB154" i="4"/>
  <c r="X154" i="4"/>
  <c r="S154" i="4"/>
  <c r="M154" i="4"/>
  <c r="G154" i="4"/>
  <c r="B154" i="4"/>
  <c r="BL153" i="4"/>
  <c r="BK153" i="4"/>
  <c r="BH153" i="4"/>
  <c r="AW153" i="4"/>
  <c r="AQ153" i="4"/>
  <c r="AK153" i="4"/>
  <c r="AH153" i="4"/>
  <c r="AE153" i="4"/>
  <c r="Y153" i="4"/>
  <c r="X153" i="4"/>
  <c r="V153" i="4"/>
  <c r="P153" i="4"/>
  <c r="M153" i="4"/>
  <c r="G153" i="4"/>
  <c r="B153" i="4"/>
  <c r="AZ153" i="4" s="1"/>
  <c r="BL152" i="4"/>
  <c r="BK152" i="4"/>
  <c r="BH152" i="4"/>
  <c r="AT152" i="4"/>
  <c r="AH152" i="4"/>
  <c r="AE152" i="4"/>
  <c r="AB152" i="4"/>
  <c r="X152" i="4"/>
  <c r="S152" i="4"/>
  <c r="M152" i="4"/>
  <c r="G152" i="4"/>
  <c r="B152" i="4"/>
  <c r="BL151" i="4"/>
  <c r="BK151" i="4"/>
  <c r="BH151" i="4"/>
  <c r="AW151" i="4"/>
  <c r="AQ151" i="4"/>
  <c r="AK151" i="4"/>
  <c r="AH151" i="4"/>
  <c r="AE151" i="4"/>
  <c r="Y151" i="4"/>
  <c r="X151" i="4"/>
  <c r="V151" i="4"/>
  <c r="P151" i="4"/>
  <c r="M151" i="4"/>
  <c r="G151" i="4"/>
  <c r="B151" i="4"/>
  <c r="AZ151" i="4" s="1"/>
  <c r="BL150" i="4"/>
  <c r="BK150" i="4"/>
  <c r="BH150" i="4"/>
  <c r="AT150" i="4"/>
  <c r="AH150" i="4"/>
  <c r="AE150" i="4"/>
  <c r="AB150" i="4"/>
  <c r="X150" i="4"/>
  <c r="S150" i="4"/>
  <c r="M150" i="4"/>
  <c r="G150" i="4"/>
  <c r="B150" i="4"/>
  <c r="BL149" i="4"/>
  <c r="BK149" i="4"/>
  <c r="BH149" i="4"/>
  <c r="AW149" i="4"/>
  <c r="AQ149" i="4"/>
  <c r="AK149" i="4"/>
  <c r="AH149" i="4"/>
  <c r="AE149" i="4"/>
  <c r="Y149" i="4"/>
  <c r="X149" i="4"/>
  <c r="V149" i="4"/>
  <c r="P149" i="4"/>
  <c r="M149" i="4"/>
  <c r="G149" i="4"/>
  <c r="B149" i="4"/>
  <c r="AZ149" i="4" s="1"/>
  <c r="BL148" i="4"/>
  <c r="BK148" i="4"/>
  <c r="BH148" i="4"/>
  <c r="AT148" i="4"/>
  <c r="AH148" i="4"/>
  <c r="AE148" i="4"/>
  <c r="AB148" i="4"/>
  <c r="X148" i="4"/>
  <c r="S148" i="4"/>
  <c r="M148" i="4"/>
  <c r="G148" i="4"/>
  <c r="B148" i="4"/>
  <c r="BL147" i="4"/>
  <c r="BK147" i="4"/>
  <c r="BH147" i="4"/>
  <c r="AW147" i="4"/>
  <c r="AQ147" i="4"/>
  <c r="AK147" i="4"/>
  <c r="AE147" i="4"/>
  <c r="Y147" i="4"/>
  <c r="X147" i="4"/>
  <c r="V147" i="4"/>
  <c r="P147" i="4"/>
  <c r="M147" i="4"/>
  <c r="G147" i="4"/>
  <c r="B147" i="4"/>
  <c r="AZ147" i="4" s="1"/>
  <c r="BL146" i="4"/>
  <c r="BK146" i="4"/>
  <c r="BH146" i="4"/>
  <c r="AH146" i="4"/>
  <c r="AE146" i="4"/>
  <c r="X146" i="4"/>
  <c r="M146" i="4"/>
  <c r="G146" i="4"/>
  <c r="B146" i="4"/>
  <c r="AT146" i="4" s="1"/>
  <c r="BL145" i="4"/>
  <c r="BK145" i="4"/>
  <c r="BH145" i="4"/>
  <c r="AW145" i="4"/>
  <c r="AQ145" i="4"/>
  <c r="AK145" i="4"/>
  <c r="AH145" i="4"/>
  <c r="AE145" i="4"/>
  <c r="Y145" i="4"/>
  <c r="X145" i="4"/>
  <c r="V145" i="4"/>
  <c r="P145" i="4"/>
  <c r="M145" i="4"/>
  <c r="G145" i="4"/>
  <c r="B145" i="4"/>
  <c r="AZ145" i="4" s="1"/>
  <c r="BL144" i="4"/>
  <c r="BK144" i="4"/>
  <c r="BH144" i="4"/>
  <c r="AH144" i="4"/>
  <c r="AE144" i="4"/>
  <c r="X144" i="4"/>
  <c r="M144" i="4"/>
  <c r="G144" i="4"/>
  <c r="B144" i="4"/>
  <c r="AT144" i="4" s="1"/>
  <c r="BL143" i="4"/>
  <c r="BK143" i="4"/>
  <c r="BH143" i="4"/>
  <c r="AW143" i="4"/>
  <c r="AQ143" i="4"/>
  <c r="AK143" i="4"/>
  <c r="AH143" i="4"/>
  <c r="AE143" i="4"/>
  <c r="Y143" i="4"/>
  <c r="X143" i="4"/>
  <c r="V143" i="4"/>
  <c r="P143" i="4"/>
  <c r="M143" i="4"/>
  <c r="G143" i="4"/>
  <c r="B143" i="4"/>
  <c r="AZ143" i="4" s="1"/>
  <c r="BL142" i="4"/>
  <c r="BK142" i="4"/>
  <c r="BH142" i="4"/>
  <c r="AH142" i="4"/>
  <c r="AE142" i="4"/>
  <c r="X142" i="4"/>
  <c r="M142" i="4"/>
  <c r="G142" i="4"/>
  <c r="B142" i="4"/>
  <c r="AT142" i="4" s="1"/>
  <c r="BL141" i="4"/>
  <c r="BK141" i="4"/>
  <c r="BH141" i="4"/>
  <c r="AW141" i="4"/>
  <c r="AQ141" i="4"/>
  <c r="AK141" i="4"/>
  <c r="AH141" i="4"/>
  <c r="AE141" i="4"/>
  <c r="Y141" i="4"/>
  <c r="X141" i="4"/>
  <c r="V141" i="4"/>
  <c r="P141" i="4"/>
  <c r="M141" i="4"/>
  <c r="G141" i="4"/>
  <c r="B141" i="4"/>
  <c r="BL140" i="4"/>
  <c r="BK140" i="4"/>
  <c r="BH140" i="4"/>
  <c r="AE140" i="4"/>
  <c r="X140" i="4"/>
  <c r="M140" i="4"/>
  <c r="G140" i="4"/>
  <c r="B140" i="4"/>
  <c r="AT140" i="4" s="1"/>
  <c r="BL139" i="4"/>
  <c r="BK139" i="4"/>
  <c r="BH139" i="4"/>
  <c r="AW139" i="4"/>
  <c r="AQ139" i="4"/>
  <c r="AK139" i="4"/>
  <c r="AH139" i="4"/>
  <c r="AE139" i="4"/>
  <c r="Y139" i="4"/>
  <c r="X139" i="4"/>
  <c r="V139" i="4"/>
  <c r="P139" i="4"/>
  <c r="M139" i="4"/>
  <c r="G139" i="4"/>
  <c r="B139" i="4"/>
  <c r="AZ139" i="4" s="1"/>
  <c r="BL138" i="4"/>
  <c r="BK138" i="4"/>
  <c r="BH138" i="4"/>
  <c r="AH138" i="4"/>
  <c r="AE138" i="4"/>
  <c r="X138" i="4"/>
  <c r="M138" i="4"/>
  <c r="G138" i="4"/>
  <c r="B138" i="4"/>
  <c r="AT138" i="4" s="1"/>
  <c r="BL137" i="4"/>
  <c r="BK137" i="4"/>
  <c r="BH137" i="4"/>
  <c r="AW137" i="4"/>
  <c r="AQ137" i="4"/>
  <c r="AK137" i="4"/>
  <c r="AH137" i="4"/>
  <c r="AE137" i="4"/>
  <c r="Y137" i="4"/>
  <c r="X137" i="4"/>
  <c r="V137" i="4"/>
  <c r="P137" i="4"/>
  <c r="M137" i="4"/>
  <c r="G137" i="4"/>
  <c r="B137" i="4"/>
  <c r="AZ137" i="4" s="1"/>
  <c r="BL136" i="4"/>
  <c r="BK136" i="4"/>
  <c r="BH136" i="4"/>
  <c r="AH136" i="4"/>
  <c r="AE136" i="4"/>
  <c r="X136" i="4"/>
  <c r="M136" i="4"/>
  <c r="G136" i="4"/>
  <c r="B136" i="4"/>
  <c r="AT136" i="4" s="1"/>
  <c r="BL135" i="4"/>
  <c r="BK135" i="4"/>
  <c r="BH135" i="4"/>
  <c r="AW135" i="4"/>
  <c r="AQ135" i="4"/>
  <c r="AK135" i="4"/>
  <c r="AH135" i="4"/>
  <c r="AE135" i="4"/>
  <c r="Y135" i="4"/>
  <c r="X135" i="4"/>
  <c r="V135" i="4"/>
  <c r="P135" i="4"/>
  <c r="M135" i="4"/>
  <c r="G135" i="4"/>
  <c r="B135" i="4"/>
  <c r="AZ135" i="4" s="1"/>
  <c r="BL134" i="4"/>
  <c r="BK134" i="4"/>
  <c r="BH134" i="4"/>
  <c r="AH134" i="4"/>
  <c r="AE134" i="4"/>
  <c r="X134" i="4"/>
  <c r="M134" i="4"/>
  <c r="G134" i="4"/>
  <c r="B134" i="4"/>
  <c r="AH140" i="4" s="1"/>
  <c r="BL133" i="4"/>
  <c r="BK133" i="4"/>
  <c r="BH133" i="4"/>
  <c r="AW133" i="4"/>
  <c r="AQ133" i="4"/>
  <c r="AK133" i="4"/>
  <c r="AE133" i="4"/>
  <c r="Y133" i="4"/>
  <c r="X133" i="4"/>
  <c r="V133" i="4"/>
  <c r="P133" i="4"/>
  <c r="M133" i="4"/>
  <c r="G133" i="4"/>
  <c r="B133" i="4"/>
  <c r="AZ133" i="4" s="1"/>
  <c r="BL132" i="4"/>
  <c r="BK132" i="4"/>
  <c r="BH132" i="4"/>
  <c r="AT132" i="4"/>
  <c r="AH132" i="4"/>
  <c r="AE132" i="4"/>
  <c r="AB132" i="4"/>
  <c r="X132" i="4"/>
  <c r="S132" i="4"/>
  <c r="M132" i="4"/>
  <c r="G132" i="4"/>
  <c r="B132" i="4"/>
  <c r="BL131" i="4"/>
  <c r="BK131" i="4"/>
  <c r="BH131" i="4"/>
  <c r="AW131" i="4"/>
  <c r="AQ131" i="4"/>
  <c r="AK131" i="4"/>
  <c r="AH131" i="4"/>
  <c r="AE131" i="4"/>
  <c r="Y131" i="4"/>
  <c r="X131" i="4"/>
  <c r="V131" i="4"/>
  <c r="P131" i="4"/>
  <c r="M131" i="4"/>
  <c r="G131" i="4"/>
  <c r="B131" i="4"/>
  <c r="AZ131" i="4" s="1"/>
  <c r="BL130" i="4"/>
  <c r="BK130" i="4"/>
  <c r="BH130" i="4"/>
  <c r="AT130" i="4"/>
  <c r="AH130" i="4"/>
  <c r="AE130" i="4"/>
  <c r="AB130" i="4"/>
  <c r="X130" i="4"/>
  <c r="S130" i="4"/>
  <c r="M130" i="4"/>
  <c r="G130" i="4"/>
  <c r="B130" i="4"/>
  <c r="BL129" i="4"/>
  <c r="BK129" i="4"/>
  <c r="BH129" i="4"/>
  <c r="AW129" i="4"/>
  <c r="AQ129" i="4"/>
  <c r="AK129" i="4"/>
  <c r="AH129" i="4"/>
  <c r="AE129" i="4"/>
  <c r="Y129" i="4"/>
  <c r="X129" i="4"/>
  <c r="V129" i="4"/>
  <c r="P129" i="4"/>
  <c r="M129" i="4"/>
  <c r="G129" i="4"/>
  <c r="B129" i="4"/>
  <c r="AZ129" i="4" s="1"/>
  <c r="BL128" i="4"/>
  <c r="BK128" i="4"/>
  <c r="BH128" i="4"/>
  <c r="AT128" i="4"/>
  <c r="AH128" i="4"/>
  <c r="AE128" i="4"/>
  <c r="AB128" i="4"/>
  <c r="X128" i="4"/>
  <c r="S128" i="4"/>
  <c r="M128" i="4"/>
  <c r="G128" i="4"/>
  <c r="B128" i="4"/>
  <c r="BL127" i="4"/>
  <c r="BK127" i="4"/>
  <c r="BH127" i="4"/>
  <c r="AW127" i="4"/>
  <c r="AQ127" i="4"/>
  <c r="AK127" i="4"/>
  <c r="AH127" i="4"/>
  <c r="AE127" i="4"/>
  <c r="Y127" i="4"/>
  <c r="X127" i="4"/>
  <c r="V127" i="4"/>
  <c r="P127" i="4"/>
  <c r="M127" i="4"/>
  <c r="G127" i="4"/>
  <c r="B127" i="4"/>
  <c r="AH133" i="4" s="1"/>
  <c r="BL126" i="4"/>
  <c r="BK126" i="4"/>
  <c r="BH126" i="4"/>
  <c r="AT126" i="4"/>
  <c r="AH126" i="4"/>
  <c r="AE126" i="4"/>
  <c r="AB126" i="4"/>
  <c r="X126" i="4"/>
  <c r="S126" i="4"/>
  <c r="M126" i="4"/>
  <c r="G126" i="4"/>
  <c r="B126" i="4"/>
  <c r="BL125" i="4"/>
  <c r="BK125" i="4"/>
  <c r="BH125" i="4"/>
  <c r="AW125" i="4"/>
  <c r="AQ125" i="4"/>
  <c r="AK125" i="4"/>
  <c r="AH125" i="4"/>
  <c r="AE125" i="4"/>
  <c r="Y125" i="4"/>
  <c r="X125" i="4"/>
  <c r="V125" i="4"/>
  <c r="P125" i="4"/>
  <c r="M125" i="4"/>
  <c r="G125" i="4"/>
  <c r="B125" i="4"/>
  <c r="AZ125" i="4" s="1"/>
  <c r="BL124" i="4"/>
  <c r="BK124" i="4"/>
  <c r="BH124" i="4"/>
  <c r="AT124" i="4"/>
  <c r="AH124" i="4"/>
  <c r="AE124" i="4"/>
  <c r="AB124" i="4"/>
  <c r="X124" i="4"/>
  <c r="S124" i="4"/>
  <c r="M124" i="4"/>
  <c r="G124" i="4"/>
  <c r="B124" i="4"/>
  <c r="BL123" i="4"/>
  <c r="BK123" i="4"/>
  <c r="BH123" i="4"/>
  <c r="AW123" i="4"/>
  <c r="AQ123" i="4"/>
  <c r="AK123" i="4"/>
  <c r="AH123" i="4"/>
  <c r="AE123" i="4"/>
  <c r="Y123" i="4"/>
  <c r="X123" i="4"/>
  <c r="V123" i="4"/>
  <c r="P123" i="4"/>
  <c r="M123" i="4"/>
  <c r="G123" i="4"/>
  <c r="B123" i="4"/>
  <c r="AZ123" i="4" s="1"/>
  <c r="BL122" i="4"/>
  <c r="BK122" i="4"/>
  <c r="BH122" i="4"/>
  <c r="AT122" i="4"/>
  <c r="AH122" i="4"/>
  <c r="AE122" i="4"/>
  <c r="AB122" i="4"/>
  <c r="X122" i="4"/>
  <c r="S122" i="4"/>
  <c r="M122" i="4"/>
  <c r="G122" i="4"/>
  <c r="B122" i="4"/>
  <c r="BL121" i="4"/>
  <c r="BK121" i="4"/>
  <c r="BH121" i="4"/>
  <c r="AW121" i="4"/>
  <c r="AQ121" i="4"/>
  <c r="AK121" i="4"/>
  <c r="AH121" i="4"/>
  <c r="AE121" i="4"/>
  <c r="Y121" i="4"/>
  <c r="X121" i="4"/>
  <c r="V121" i="4"/>
  <c r="P121" i="4"/>
  <c r="M121" i="4"/>
  <c r="G121" i="4"/>
  <c r="B121" i="4"/>
  <c r="AZ121" i="4" s="1"/>
  <c r="BL120" i="4"/>
  <c r="BK120" i="4"/>
  <c r="BH120" i="4"/>
  <c r="AT120" i="4"/>
  <c r="AK120" i="4"/>
  <c r="AH120" i="4"/>
  <c r="AE120" i="4"/>
  <c r="Y120" i="4"/>
  <c r="X120" i="4"/>
  <c r="V120" i="4"/>
  <c r="P120" i="4"/>
  <c r="M120" i="4"/>
  <c r="G120" i="4"/>
  <c r="B120" i="4"/>
  <c r="BL119" i="4"/>
  <c r="BK119" i="4"/>
  <c r="BH119" i="4"/>
  <c r="AE119" i="4"/>
  <c r="X119" i="4"/>
  <c r="M119" i="4"/>
  <c r="G119" i="4"/>
  <c r="B119" i="4"/>
  <c r="AZ119" i="4" s="1"/>
  <c r="BL118" i="4"/>
  <c r="BK118" i="4"/>
  <c r="BH118" i="4"/>
  <c r="AW118" i="4"/>
  <c r="AQ118" i="4"/>
  <c r="AK118" i="4"/>
  <c r="AH118" i="4"/>
  <c r="AE118" i="4"/>
  <c r="Y118" i="4"/>
  <c r="X118" i="4"/>
  <c r="V118" i="4"/>
  <c r="P118" i="4"/>
  <c r="M118" i="4"/>
  <c r="G118" i="4"/>
  <c r="B118" i="4"/>
  <c r="AZ118" i="4" s="1"/>
  <c r="BL117" i="4"/>
  <c r="BK117" i="4"/>
  <c r="BH117" i="4"/>
  <c r="AH117" i="4"/>
  <c r="AE117" i="4"/>
  <c r="X117" i="4"/>
  <c r="M117" i="4"/>
  <c r="G117" i="4"/>
  <c r="B117" i="4"/>
  <c r="AZ117" i="4" s="1"/>
  <c r="BL116" i="4"/>
  <c r="BK116" i="4"/>
  <c r="BH116" i="4"/>
  <c r="AW116" i="4"/>
  <c r="AQ116" i="4"/>
  <c r="AK116" i="4"/>
  <c r="AH116" i="4"/>
  <c r="AE116" i="4"/>
  <c r="Y116" i="4"/>
  <c r="X116" i="4"/>
  <c r="V116" i="4"/>
  <c r="P116" i="4"/>
  <c r="M116" i="4"/>
  <c r="G116" i="4"/>
  <c r="B116" i="4"/>
  <c r="AZ116" i="4" s="1"/>
  <c r="BL115" i="4"/>
  <c r="BK115" i="4"/>
  <c r="BH115" i="4"/>
  <c r="AH115" i="4"/>
  <c r="AE115" i="4"/>
  <c r="X115" i="4"/>
  <c r="M115" i="4"/>
  <c r="G115" i="4"/>
  <c r="B115" i="4"/>
  <c r="AZ115" i="4" s="1"/>
  <c r="BL114" i="4"/>
  <c r="BK114" i="4"/>
  <c r="BH114" i="4"/>
  <c r="AW114" i="4"/>
  <c r="AQ114" i="4"/>
  <c r="AK114" i="4"/>
  <c r="AH114" i="4"/>
  <c r="AE114" i="4"/>
  <c r="Y114" i="4"/>
  <c r="X114" i="4"/>
  <c r="V114" i="4"/>
  <c r="P114" i="4"/>
  <c r="M114" i="4"/>
  <c r="G114" i="4"/>
  <c r="B114" i="4"/>
  <c r="AZ114" i="4" s="1"/>
  <c r="BL113" i="4"/>
  <c r="BK113" i="4"/>
  <c r="BH113" i="4"/>
  <c r="AH113" i="4"/>
  <c r="AE113" i="4"/>
  <c r="X113" i="4"/>
  <c r="M113" i="4"/>
  <c r="G113" i="4"/>
  <c r="B113" i="4"/>
  <c r="AH119" i="4" s="1"/>
  <c r="BL112" i="4"/>
  <c r="BK112" i="4"/>
  <c r="BH112" i="4"/>
  <c r="AW112" i="4"/>
  <c r="AQ112" i="4"/>
  <c r="AK112" i="4"/>
  <c r="AE112" i="4"/>
  <c r="Y112" i="4"/>
  <c r="X112" i="4"/>
  <c r="V112" i="4"/>
  <c r="P112" i="4"/>
  <c r="M112" i="4"/>
  <c r="G112" i="4"/>
  <c r="B112" i="4"/>
  <c r="AZ112" i="4" s="1"/>
  <c r="BL111" i="4"/>
  <c r="BK111" i="4"/>
  <c r="BH111" i="4"/>
  <c r="AH111" i="4"/>
  <c r="AE111" i="4"/>
  <c r="X111" i="4"/>
  <c r="M111" i="4"/>
  <c r="G111" i="4"/>
  <c r="B111" i="4"/>
  <c r="AZ111" i="4" s="1"/>
  <c r="BL110" i="4"/>
  <c r="BK110" i="4"/>
  <c r="BH110" i="4"/>
  <c r="AW110" i="4"/>
  <c r="AQ110" i="4"/>
  <c r="AK110" i="4"/>
  <c r="AH110" i="4"/>
  <c r="AE110" i="4"/>
  <c r="Y110" i="4"/>
  <c r="X110" i="4"/>
  <c r="V110" i="4"/>
  <c r="P110" i="4"/>
  <c r="M110" i="4"/>
  <c r="G110" i="4"/>
  <c r="B110" i="4"/>
  <c r="AZ110" i="4" s="1"/>
  <c r="BL109" i="4"/>
  <c r="BK109" i="4"/>
  <c r="BH109" i="4"/>
  <c r="AH109" i="4"/>
  <c r="AE109" i="4"/>
  <c r="X109" i="4"/>
  <c r="M109" i="4"/>
  <c r="G109" i="4"/>
  <c r="B109" i="4"/>
  <c r="AZ109" i="4" s="1"/>
  <c r="BL108" i="4"/>
  <c r="BK108" i="4"/>
  <c r="BH108" i="4"/>
  <c r="AW108" i="4"/>
  <c r="AQ108" i="4"/>
  <c r="AK108" i="4"/>
  <c r="AH108" i="4"/>
  <c r="AE108" i="4"/>
  <c r="Y108" i="4"/>
  <c r="X108" i="4"/>
  <c r="V108" i="4"/>
  <c r="P108" i="4"/>
  <c r="M108" i="4"/>
  <c r="G108" i="4"/>
  <c r="B108" i="4"/>
  <c r="AZ108" i="4" s="1"/>
  <c r="BL107" i="4"/>
  <c r="BK107" i="4"/>
  <c r="BH107" i="4"/>
  <c r="AH107" i="4"/>
  <c r="AE107" i="4"/>
  <c r="X107" i="4"/>
  <c r="M107" i="4"/>
  <c r="G107" i="4"/>
  <c r="B107" i="4"/>
  <c r="AZ107" i="4" s="1"/>
  <c r="BL106" i="4"/>
  <c r="BK106" i="4"/>
  <c r="BH106" i="4"/>
  <c r="AW106" i="4"/>
  <c r="AQ106" i="4"/>
  <c r="AK106" i="4"/>
  <c r="AH106" i="4"/>
  <c r="AE106" i="4"/>
  <c r="Y106" i="4"/>
  <c r="X106" i="4"/>
  <c r="V106" i="4"/>
  <c r="P106" i="4"/>
  <c r="M106" i="4"/>
  <c r="G106" i="4"/>
  <c r="B106" i="4"/>
  <c r="AH112" i="4" s="1"/>
  <c r="BL105" i="4"/>
  <c r="BK105" i="4"/>
  <c r="BH105" i="4"/>
  <c r="AE105" i="4"/>
  <c r="X105" i="4"/>
  <c r="M105" i="4"/>
  <c r="G105" i="4"/>
  <c r="B105" i="4"/>
  <c r="AZ105" i="4" s="1"/>
  <c r="BL104" i="4"/>
  <c r="BK104" i="4"/>
  <c r="BH104" i="4"/>
  <c r="AW104" i="4"/>
  <c r="AQ104" i="4"/>
  <c r="AK104" i="4"/>
  <c r="AH104" i="4"/>
  <c r="AE104" i="4"/>
  <c r="Y104" i="4"/>
  <c r="X104" i="4"/>
  <c r="V104" i="4"/>
  <c r="P104" i="4"/>
  <c r="M104" i="4"/>
  <c r="G104" i="4"/>
  <c r="B104" i="4"/>
  <c r="AZ104" i="4" s="1"/>
  <c r="BL103" i="4"/>
  <c r="BK103" i="4"/>
  <c r="BH103" i="4"/>
  <c r="AH103" i="4"/>
  <c r="AE103" i="4"/>
  <c r="X103" i="4"/>
  <c r="M103" i="4"/>
  <c r="G103" i="4"/>
  <c r="B103" i="4"/>
  <c r="AZ103" i="4" s="1"/>
  <c r="BL102" i="4"/>
  <c r="BK102" i="4"/>
  <c r="BH102" i="4"/>
  <c r="AW102" i="4"/>
  <c r="AQ102" i="4"/>
  <c r="AK102" i="4"/>
  <c r="AH102" i="4"/>
  <c r="AE102" i="4"/>
  <c r="Y102" i="4"/>
  <c r="X102" i="4"/>
  <c r="V102" i="4"/>
  <c r="P102" i="4"/>
  <c r="M102" i="4"/>
  <c r="G102" i="4"/>
  <c r="B102" i="4"/>
  <c r="AZ102" i="4" s="1"/>
  <c r="BL101" i="4"/>
  <c r="BK101" i="4"/>
  <c r="BH101" i="4"/>
  <c r="AH101" i="4"/>
  <c r="AE101" i="4"/>
  <c r="X101" i="4"/>
  <c r="M101" i="4"/>
  <c r="G101" i="4"/>
  <c r="B101" i="4"/>
  <c r="AZ101" i="4" s="1"/>
  <c r="BL100" i="4"/>
  <c r="BK100" i="4"/>
  <c r="BH100" i="4"/>
  <c r="AW100" i="4"/>
  <c r="AQ100" i="4"/>
  <c r="AK100" i="4"/>
  <c r="AH100" i="4"/>
  <c r="AE100" i="4"/>
  <c r="Y100" i="4"/>
  <c r="X100" i="4"/>
  <c r="V100" i="4"/>
  <c r="P100" i="4"/>
  <c r="M100" i="4"/>
  <c r="G100" i="4"/>
  <c r="B100" i="4"/>
  <c r="AZ100" i="4" s="1"/>
  <c r="BL99" i="4"/>
  <c r="BK99" i="4"/>
  <c r="BH99" i="4"/>
  <c r="AH99" i="4"/>
  <c r="AE99" i="4"/>
  <c r="X99" i="4"/>
  <c r="M99" i="4"/>
  <c r="G99" i="4"/>
  <c r="B99" i="4"/>
  <c r="AH105" i="4" s="1"/>
  <c r="BL98" i="4"/>
  <c r="BK98" i="4"/>
  <c r="BH98" i="4"/>
  <c r="AW98" i="4"/>
  <c r="AQ98" i="4"/>
  <c r="AK98" i="4"/>
  <c r="AE98" i="4"/>
  <c r="Y98" i="4"/>
  <c r="X98" i="4"/>
  <c r="V98" i="4"/>
  <c r="P98" i="4"/>
  <c r="M98" i="4"/>
  <c r="G98" i="4"/>
  <c r="B98" i="4"/>
  <c r="AZ98" i="4" s="1"/>
  <c r="BL97" i="4"/>
  <c r="BK97" i="4"/>
  <c r="BH97" i="4"/>
  <c r="AH97" i="4"/>
  <c r="AE97" i="4"/>
  <c r="X97" i="4"/>
  <c r="M97" i="4"/>
  <c r="G97" i="4"/>
  <c r="B97" i="4"/>
  <c r="AZ97" i="4" s="1"/>
  <c r="BL96" i="4"/>
  <c r="BK96" i="4"/>
  <c r="BH96" i="4"/>
  <c r="AW96" i="4"/>
  <c r="AQ96" i="4"/>
  <c r="AK96" i="4"/>
  <c r="AH96" i="4"/>
  <c r="AE96" i="4"/>
  <c r="Y96" i="4"/>
  <c r="X96" i="4"/>
  <c r="V96" i="4"/>
  <c r="P96" i="4"/>
  <c r="M96" i="4"/>
  <c r="G96" i="4"/>
  <c r="B96" i="4"/>
  <c r="AZ96" i="4" s="1"/>
  <c r="BL95" i="4"/>
  <c r="BK95" i="4"/>
  <c r="BH95" i="4"/>
  <c r="AH95" i="4"/>
  <c r="AE95" i="4"/>
  <c r="X95" i="4"/>
  <c r="M95" i="4"/>
  <c r="G95" i="4"/>
  <c r="B95" i="4"/>
  <c r="AZ95" i="4" s="1"/>
  <c r="BL94" i="4"/>
  <c r="BK94" i="4"/>
  <c r="BH94" i="4"/>
  <c r="AW94" i="4"/>
  <c r="AQ94" i="4"/>
  <c r="AK94" i="4"/>
  <c r="AH94" i="4"/>
  <c r="AE94" i="4"/>
  <c r="Y94" i="4"/>
  <c r="X94" i="4"/>
  <c r="V94" i="4"/>
  <c r="P94" i="4"/>
  <c r="M94" i="4"/>
  <c r="G94" i="4"/>
  <c r="B94" i="4"/>
  <c r="AZ94" i="4" s="1"/>
  <c r="BL93" i="4"/>
  <c r="BK93" i="4"/>
  <c r="BH93" i="4"/>
  <c r="AH93" i="4"/>
  <c r="AE93" i="4"/>
  <c r="X93" i="4"/>
  <c r="M93" i="4"/>
  <c r="G93" i="4"/>
  <c r="B93" i="4"/>
  <c r="AZ93" i="4" s="1"/>
  <c r="BL92" i="4"/>
  <c r="BK92" i="4"/>
  <c r="BH92" i="4"/>
  <c r="AW92" i="4"/>
  <c r="AQ92" i="4"/>
  <c r="AK92" i="4"/>
  <c r="AH92" i="4"/>
  <c r="AE92" i="4"/>
  <c r="Y92" i="4"/>
  <c r="X92" i="4"/>
  <c r="V92" i="4"/>
  <c r="P92" i="4"/>
  <c r="M92" i="4"/>
  <c r="G92" i="4"/>
  <c r="B92" i="4"/>
  <c r="AH98" i="4" s="1"/>
  <c r="BL91" i="4"/>
  <c r="BK91" i="4"/>
  <c r="BH91" i="4"/>
  <c r="AE91" i="4"/>
  <c r="X91" i="4"/>
  <c r="M91" i="4"/>
  <c r="G91" i="4"/>
  <c r="B91" i="4"/>
  <c r="AZ91" i="4" s="1"/>
  <c r="BL90" i="4"/>
  <c r="BK90" i="4"/>
  <c r="BH90" i="4"/>
  <c r="AW90" i="4"/>
  <c r="AQ90" i="4"/>
  <c r="AK90" i="4"/>
  <c r="AH90" i="4"/>
  <c r="AE90" i="4"/>
  <c r="Y90" i="4"/>
  <c r="X90" i="4"/>
  <c r="V90" i="4"/>
  <c r="P90" i="4"/>
  <c r="M90" i="4"/>
  <c r="G90" i="4"/>
  <c r="B90" i="4"/>
  <c r="AZ90" i="4" s="1"/>
  <c r="BL89" i="4"/>
  <c r="BK89" i="4"/>
  <c r="BH89" i="4"/>
  <c r="AH89" i="4"/>
  <c r="AE89" i="4"/>
  <c r="X89" i="4"/>
  <c r="M89" i="4"/>
  <c r="G89" i="4"/>
  <c r="B89" i="4"/>
  <c r="AZ89" i="4" s="1"/>
  <c r="BL88" i="4"/>
  <c r="BK88" i="4"/>
  <c r="BH88" i="4"/>
  <c r="AW88" i="4"/>
  <c r="AQ88" i="4"/>
  <c r="AK88" i="4"/>
  <c r="AH88" i="4"/>
  <c r="AE88" i="4"/>
  <c r="Y88" i="4"/>
  <c r="X88" i="4"/>
  <c r="V88" i="4"/>
  <c r="P88" i="4"/>
  <c r="M88" i="4"/>
  <c r="G88" i="4"/>
  <c r="B88" i="4"/>
  <c r="AZ88" i="4" s="1"/>
  <c r="BL87" i="4"/>
  <c r="BK87" i="4"/>
  <c r="BH87" i="4"/>
  <c r="AH87" i="4"/>
  <c r="AE87" i="4"/>
  <c r="X87" i="4"/>
  <c r="M87" i="4"/>
  <c r="G87" i="4"/>
  <c r="B87" i="4"/>
  <c r="AZ87" i="4" s="1"/>
  <c r="BL86" i="4"/>
  <c r="BK86" i="4"/>
  <c r="BH86" i="4"/>
  <c r="AW86" i="4"/>
  <c r="AQ86" i="4"/>
  <c r="AK86" i="4"/>
  <c r="AH86" i="4"/>
  <c r="AE86" i="4"/>
  <c r="Y86" i="4"/>
  <c r="X86" i="4"/>
  <c r="V86" i="4"/>
  <c r="P86" i="4"/>
  <c r="M86" i="4"/>
  <c r="G86" i="4"/>
  <c r="B86" i="4"/>
  <c r="AZ86" i="4" s="1"/>
  <c r="BL85" i="4"/>
  <c r="BK85" i="4"/>
  <c r="BH85" i="4"/>
  <c r="AH85" i="4"/>
  <c r="AE85" i="4"/>
  <c r="X85" i="4"/>
  <c r="M85" i="4"/>
  <c r="G85" i="4"/>
  <c r="B85" i="4"/>
  <c r="AH91" i="4" s="1"/>
  <c r="BL84" i="4"/>
  <c r="BK84" i="4"/>
  <c r="BH84" i="4"/>
  <c r="AW84" i="4"/>
  <c r="AQ84" i="4"/>
  <c r="AK84" i="4"/>
  <c r="AE84" i="4"/>
  <c r="Y84" i="4"/>
  <c r="X84" i="4"/>
  <c r="V84" i="4"/>
  <c r="P84" i="4"/>
  <c r="M84" i="4"/>
  <c r="G84" i="4"/>
  <c r="B84" i="4"/>
  <c r="AZ84" i="4" s="1"/>
  <c r="BL83" i="4"/>
  <c r="BK83" i="4"/>
  <c r="BH83" i="4"/>
  <c r="AH83" i="4"/>
  <c r="AE83" i="4"/>
  <c r="X83" i="4"/>
  <c r="M83" i="4"/>
  <c r="G83" i="4"/>
  <c r="B83" i="4"/>
  <c r="AZ83" i="4" s="1"/>
  <c r="BL82" i="4"/>
  <c r="BK82" i="4"/>
  <c r="BH82" i="4"/>
  <c r="AW82" i="4"/>
  <c r="AQ82" i="4"/>
  <c r="AK82" i="4"/>
  <c r="AH82" i="4"/>
  <c r="AE82" i="4"/>
  <c r="Y82" i="4"/>
  <c r="X82" i="4"/>
  <c r="V82" i="4"/>
  <c r="P82" i="4"/>
  <c r="M82" i="4"/>
  <c r="G82" i="4"/>
  <c r="B82" i="4"/>
  <c r="AZ82" i="4" s="1"/>
  <c r="BL81" i="4"/>
  <c r="BK81" i="4"/>
  <c r="BH81" i="4"/>
  <c r="AH81" i="4"/>
  <c r="AE81" i="4"/>
  <c r="X81" i="4"/>
  <c r="M81" i="4"/>
  <c r="G81" i="4"/>
  <c r="B81" i="4"/>
  <c r="AZ81" i="4" s="1"/>
  <c r="BL80" i="4"/>
  <c r="BK80" i="4"/>
  <c r="BH80" i="4"/>
  <c r="AW80" i="4"/>
  <c r="AQ80" i="4"/>
  <c r="AK80" i="4"/>
  <c r="AH80" i="4"/>
  <c r="AE80" i="4"/>
  <c r="Y80" i="4"/>
  <c r="X80" i="4"/>
  <c r="V80" i="4"/>
  <c r="P80" i="4"/>
  <c r="M80" i="4"/>
  <c r="G80" i="4"/>
  <c r="B80" i="4"/>
  <c r="AZ80" i="4" s="1"/>
  <c r="BL79" i="4"/>
  <c r="BK79" i="4"/>
  <c r="BH79" i="4"/>
  <c r="AH79" i="4"/>
  <c r="AE79" i="4"/>
  <c r="X79" i="4"/>
  <c r="M79" i="4"/>
  <c r="G79" i="4"/>
  <c r="B79" i="4"/>
  <c r="AZ79" i="4" s="1"/>
  <c r="BL78" i="4"/>
  <c r="BK78" i="4"/>
  <c r="BH78" i="4"/>
  <c r="AW78" i="4"/>
  <c r="AQ78" i="4"/>
  <c r="AK78" i="4"/>
  <c r="AH78" i="4"/>
  <c r="AE78" i="4"/>
  <c r="Y78" i="4"/>
  <c r="X78" i="4"/>
  <c r="V78" i="4"/>
  <c r="P78" i="4"/>
  <c r="M78" i="4"/>
  <c r="G78" i="4"/>
  <c r="B78" i="4"/>
  <c r="AH84" i="4" s="1"/>
  <c r="BL77" i="4"/>
  <c r="BK77" i="4"/>
  <c r="BH77" i="4"/>
  <c r="AE77" i="4"/>
  <c r="X77" i="4"/>
  <c r="M77" i="4"/>
  <c r="G77" i="4"/>
  <c r="B77" i="4"/>
  <c r="AZ77" i="4" s="1"/>
  <c r="BL76" i="4"/>
  <c r="BK76" i="4"/>
  <c r="BH76" i="4"/>
  <c r="AW76" i="4"/>
  <c r="AQ76" i="4"/>
  <c r="AK76" i="4"/>
  <c r="AH76" i="4"/>
  <c r="AE76" i="4"/>
  <c r="Y76" i="4"/>
  <c r="X76" i="4"/>
  <c r="V76" i="4"/>
  <c r="P76" i="4"/>
  <c r="M76" i="4"/>
  <c r="G76" i="4"/>
  <c r="B76" i="4"/>
  <c r="AZ76" i="4" s="1"/>
  <c r="BL75" i="4"/>
  <c r="BK75" i="4"/>
  <c r="BH75" i="4"/>
  <c r="AH75" i="4"/>
  <c r="AE75" i="4"/>
  <c r="X75" i="4"/>
  <c r="M75" i="4"/>
  <c r="G75" i="4"/>
  <c r="B75" i="4"/>
  <c r="AZ75" i="4" s="1"/>
  <c r="BL74" i="4"/>
  <c r="BK74" i="4"/>
  <c r="BH74" i="4"/>
  <c r="AW74" i="4"/>
  <c r="AQ74" i="4"/>
  <c r="AK74" i="4"/>
  <c r="AH74" i="4"/>
  <c r="AE74" i="4"/>
  <c r="Y74" i="4"/>
  <c r="X74" i="4"/>
  <c r="V74" i="4"/>
  <c r="P74" i="4"/>
  <c r="M74" i="4"/>
  <c r="G74" i="4"/>
  <c r="B74" i="4"/>
  <c r="AZ74" i="4" s="1"/>
  <c r="BL73" i="4"/>
  <c r="BK73" i="4"/>
  <c r="BH73" i="4"/>
  <c r="AH73" i="4"/>
  <c r="AE73" i="4"/>
  <c r="X73" i="4"/>
  <c r="M73" i="4"/>
  <c r="G73" i="4"/>
  <c r="B73" i="4"/>
  <c r="AZ73" i="4" s="1"/>
  <c r="BL72" i="4"/>
  <c r="BK72" i="4"/>
  <c r="BH72" i="4"/>
  <c r="AW72" i="4"/>
  <c r="AQ72" i="4"/>
  <c r="AK72" i="4"/>
  <c r="AH72" i="4"/>
  <c r="AE72" i="4"/>
  <c r="Y72" i="4"/>
  <c r="X72" i="4"/>
  <c r="V72" i="4"/>
  <c r="P72" i="4"/>
  <c r="M72" i="4"/>
  <c r="G72" i="4"/>
  <c r="B72" i="4"/>
  <c r="AZ72" i="4" s="1"/>
  <c r="BL71" i="4"/>
  <c r="BK71" i="4"/>
  <c r="BH71" i="4"/>
  <c r="AH71" i="4"/>
  <c r="AE71" i="4"/>
  <c r="X71" i="4"/>
  <c r="M71" i="4"/>
  <c r="G71" i="4"/>
  <c r="B71" i="4"/>
  <c r="AH77" i="4" s="1"/>
  <c r="BL70" i="4"/>
  <c r="BK70" i="4"/>
  <c r="BH70" i="4"/>
  <c r="AW70" i="4"/>
  <c r="AQ70" i="4"/>
  <c r="AK70" i="4"/>
  <c r="AE70" i="4"/>
  <c r="Y70" i="4"/>
  <c r="X70" i="4"/>
  <c r="V70" i="4"/>
  <c r="P70" i="4"/>
  <c r="M70" i="4"/>
  <c r="G70" i="4"/>
  <c r="B70" i="4"/>
  <c r="AZ70" i="4" s="1"/>
  <c r="BL69" i="4"/>
  <c r="BK69" i="4"/>
  <c r="BH69" i="4"/>
  <c r="AH69" i="4"/>
  <c r="AE69" i="4"/>
  <c r="X69" i="4"/>
  <c r="M69" i="4"/>
  <c r="G69" i="4"/>
  <c r="B69" i="4"/>
  <c r="AZ69" i="4" s="1"/>
  <c r="BL68" i="4"/>
  <c r="BK68" i="4"/>
  <c r="BH68" i="4"/>
  <c r="AW68" i="4"/>
  <c r="AQ68" i="4"/>
  <c r="AK68" i="4"/>
  <c r="AH68" i="4"/>
  <c r="AE68" i="4"/>
  <c r="Y68" i="4"/>
  <c r="X68" i="4"/>
  <c r="V68" i="4"/>
  <c r="P68" i="4"/>
  <c r="M68" i="4"/>
  <c r="G68" i="4"/>
  <c r="B68" i="4"/>
  <c r="AZ68" i="4" s="1"/>
  <c r="BL67" i="4"/>
  <c r="BK67" i="4"/>
  <c r="BH67" i="4"/>
  <c r="AH67" i="4"/>
  <c r="AE67" i="4"/>
  <c r="X67" i="4"/>
  <c r="M67" i="4"/>
  <c r="G67" i="4"/>
  <c r="B67" i="4"/>
  <c r="AZ67" i="4" s="1"/>
  <c r="BL66" i="4"/>
  <c r="BK66" i="4"/>
  <c r="BH66" i="4"/>
  <c r="AW66" i="4"/>
  <c r="AQ66" i="4"/>
  <c r="AK66" i="4"/>
  <c r="AH66" i="4"/>
  <c r="AE66" i="4"/>
  <c r="Y66" i="4"/>
  <c r="X66" i="4"/>
  <c r="V66" i="4"/>
  <c r="P66" i="4"/>
  <c r="M66" i="4"/>
  <c r="G66" i="4"/>
  <c r="B66" i="4"/>
  <c r="AZ66" i="4" s="1"/>
  <c r="BL65" i="4"/>
  <c r="BK65" i="4"/>
  <c r="BH65" i="4"/>
  <c r="AH65" i="4"/>
  <c r="AE65" i="4"/>
  <c r="X65" i="4"/>
  <c r="M65" i="4"/>
  <c r="G65" i="4"/>
  <c r="B65" i="4"/>
  <c r="AZ65" i="4" s="1"/>
  <c r="BL64" i="4"/>
  <c r="BK64" i="4"/>
  <c r="BH64" i="4"/>
  <c r="AW64" i="4"/>
  <c r="AQ64" i="4"/>
  <c r="AK64" i="4"/>
  <c r="AH64" i="4"/>
  <c r="AE64" i="4"/>
  <c r="Y64" i="4"/>
  <c r="X64" i="4"/>
  <c r="V64" i="4"/>
  <c r="P64" i="4"/>
  <c r="M64" i="4"/>
  <c r="G64" i="4"/>
  <c r="B64" i="4"/>
  <c r="AH70" i="4" s="1"/>
  <c r="BL63" i="4"/>
  <c r="BK63" i="4"/>
  <c r="BH63" i="4"/>
  <c r="AE63" i="4"/>
  <c r="X63" i="4"/>
  <c r="M63" i="4"/>
  <c r="G63" i="4"/>
  <c r="B63" i="4"/>
  <c r="AZ63" i="4" s="1"/>
  <c r="BL62" i="4"/>
  <c r="BK62" i="4"/>
  <c r="BH62" i="4"/>
  <c r="AW62" i="4"/>
  <c r="AQ62" i="4"/>
  <c r="AK62" i="4"/>
  <c r="AH62" i="4"/>
  <c r="AE62" i="4"/>
  <c r="Y62" i="4"/>
  <c r="X62" i="4"/>
  <c r="V62" i="4"/>
  <c r="P62" i="4"/>
  <c r="M62" i="4"/>
  <c r="G62" i="4"/>
  <c r="B62" i="4"/>
  <c r="AZ62" i="4" s="1"/>
  <c r="BL61" i="4"/>
  <c r="BK61" i="4"/>
  <c r="BH61" i="4"/>
  <c r="AH61" i="4"/>
  <c r="AE61" i="4"/>
  <c r="X61" i="4"/>
  <c r="M61" i="4"/>
  <c r="G61" i="4"/>
  <c r="B61" i="4"/>
  <c r="AZ61" i="4" s="1"/>
  <c r="BL60" i="4"/>
  <c r="BK60" i="4"/>
  <c r="BH60" i="4"/>
  <c r="AW60" i="4"/>
  <c r="AQ60" i="4"/>
  <c r="AK60" i="4"/>
  <c r="AH60" i="4"/>
  <c r="AE60" i="4"/>
  <c r="Y60" i="4"/>
  <c r="X60" i="4"/>
  <c r="V60" i="4"/>
  <c r="P60" i="4"/>
  <c r="M60" i="4"/>
  <c r="G60" i="4"/>
  <c r="B60" i="4"/>
  <c r="AZ60" i="4" s="1"/>
  <c r="BL59" i="4"/>
  <c r="BK59" i="4"/>
  <c r="BH59" i="4"/>
  <c r="AH59" i="4"/>
  <c r="AE59" i="4"/>
  <c r="X59" i="4"/>
  <c r="M59" i="4"/>
  <c r="G59" i="4"/>
  <c r="B59" i="4"/>
  <c r="AZ59" i="4" s="1"/>
  <c r="BL58" i="4"/>
  <c r="BK58" i="4"/>
  <c r="BH58" i="4"/>
  <c r="AW58" i="4"/>
  <c r="AQ58" i="4"/>
  <c r="AK58" i="4"/>
  <c r="AH58" i="4"/>
  <c r="AE58" i="4"/>
  <c r="Y58" i="4"/>
  <c r="X58" i="4"/>
  <c r="V58" i="4"/>
  <c r="P58" i="4"/>
  <c r="M58" i="4"/>
  <c r="G58" i="4"/>
  <c r="B58" i="4"/>
  <c r="AZ58" i="4" s="1"/>
  <c r="BL57" i="4"/>
  <c r="BK57" i="4"/>
  <c r="BH57" i="4"/>
  <c r="AH57" i="4"/>
  <c r="AE57" i="4"/>
  <c r="X57" i="4"/>
  <c r="M57" i="4"/>
  <c r="G57" i="4"/>
  <c r="B57" i="4"/>
  <c r="AH63" i="4" s="1"/>
  <c r="BL56" i="4"/>
  <c r="BK56" i="4"/>
  <c r="BH56" i="4"/>
  <c r="AW56" i="4"/>
  <c r="AQ56" i="4"/>
  <c r="AK56" i="4"/>
  <c r="AE56" i="4"/>
  <c r="Y56" i="4"/>
  <c r="X56" i="4"/>
  <c r="V56" i="4"/>
  <c r="P56" i="4"/>
  <c r="M56" i="4"/>
  <c r="G56" i="4"/>
  <c r="B56" i="4"/>
  <c r="AZ56" i="4" s="1"/>
  <c r="BL55" i="4"/>
  <c r="BK55" i="4"/>
  <c r="BH55" i="4"/>
  <c r="AH55" i="4"/>
  <c r="AE55" i="4"/>
  <c r="X55" i="4"/>
  <c r="M55" i="4"/>
  <c r="G55" i="4"/>
  <c r="B55" i="4"/>
  <c r="AZ55" i="4" s="1"/>
  <c r="BL54" i="4"/>
  <c r="BK54" i="4"/>
  <c r="BH54" i="4"/>
  <c r="AW54" i="4"/>
  <c r="AQ54" i="4"/>
  <c r="AK54" i="4"/>
  <c r="AH54" i="4"/>
  <c r="AE54" i="4"/>
  <c r="Y54" i="4"/>
  <c r="X54" i="4"/>
  <c r="V54" i="4"/>
  <c r="P54" i="4"/>
  <c r="M54" i="4"/>
  <c r="G54" i="4"/>
  <c r="B54" i="4"/>
  <c r="AZ54" i="4" s="1"/>
  <c r="BL53" i="4"/>
  <c r="BK53" i="4"/>
  <c r="BH53" i="4"/>
  <c r="AH53" i="4"/>
  <c r="AE53" i="4"/>
  <c r="X53" i="4"/>
  <c r="M53" i="4"/>
  <c r="G53" i="4"/>
  <c r="B53" i="4"/>
  <c r="AZ53" i="4" s="1"/>
  <c r="BL52" i="4"/>
  <c r="BK52" i="4"/>
  <c r="BH52" i="4"/>
  <c r="AW52" i="4"/>
  <c r="AQ52" i="4"/>
  <c r="AK52" i="4"/>
  <c r="AH52" i="4"/>
  <c r="AE52" i="4"/>
  <c r="Y52" i="4"/>
  <c r="X52" i="4"/>
  <c r="V52" i="4"/>
  <c r="P52" i="4"/>
  <c r="M52" i="4"/>
  <c r="G52" i="4"/>
  <c r="B52" i="4"/>
  <c r="AZ52" i="4" s="1"/>
  <c r="BL51" i="4"/>
  <c r="BK51" i="4"/>
  <c r="BH51" i="4"/>
  <c r="AH51" i="4"/>
  <c r="AE51" i="4"/>
  <c r="X51" i="4"/>
  <c r="M51" i="4"/>
  <c r="G51" i="4"/>
  <c r="B51" i="4"/>
  <c r="AZ51" i="4" s="1"/>
  <c r="BL50" i="4"/>
  <c r="BK50" i="4"/>
  <c r="BH50" i="4"/>
  <c r="AW50" i="4"/>
  <c r="AQ50" i="4"/>
  <c r="AK50" i="4"/>
  <c r="AH50" i="4"/>
  <c r="AE50" i="4"/>
  <c r="Y50" i="4"/>
  <c r="X50" i="4"/>
  <c r="V50" i="4"/>
  <c r="P50" i="4"/>
  <c r="M50" i="4"/>
  <c r="G50" i="4"/>
  <c r="B50" i="4"/>
  <c r="AH56" i="4" s="1"/>
  <c r="BL49" i="4"/>
  <c r="BK49" i="4"/>
  <c r="BH49" i="4"/>
  <c r="AE49" i="4"/>
  <c r="X49" i="4"/>
  <c r="M49" i="4"/>
  <c r="G49" i="4"/>
  <c r="B49" i="4"/>
  <c r="AZ49" i="4" s="1"/>
  <c r="BL48" i="4"/>
  <c r="BK48" i="4"/>
  <c r="BH48" i="4"/>
  <c r="AW48" i="4"/>
  <c r="AQ48" i="4"/>
  <c r="AK48" i="4"/>
  <c r="AH48" i="4"/>
  <c r="AE48" i="4"/>
  <c r="Y48" i="4"/>
  <c r="X48" i="4"/>
  <c r="V48" i="4"/>
  <c r="P48" i="4"/>
  <c r="M48" i="4"/>
  <c r="G48" i="4"/>
  <c r="B48" i="4"/>
  <c r="AZ48" i="4" s="1"/>
  <c r="BL47" i="4"/>
  <c r="BK47" i="4"/>
  <c r="BH47" i="4"/>
  <c r="AH47" i="4"/>
  <c r="AE47" i="4"/>
  <c r="X47" i="4"/>
  <c r="M47" i="4"/>
  <c r="G47" i="4"/>
  <c r="B47" i="4"/>
  <c r="AZ47" i="4" s="1"/>
  <c r="BL46" i="4"/>
  <c r="BK46" i="4"/>
  <c r="BH46" i="4"/>
  <c r="AW46" i="4"/>
  <c r="AQ46" i="4"/>
  <c r="AK46" i="4"/>
  <c r="AH46" i="4"/>
  <c r="AE46" i="4"/>
  <c r="Y46" i="4"/>
  <c r="X46" i="4"/>
  <c r="V46" i="4"/>
  <c r="P46" i="4"/>
  <c r="M46" i="4"/>
  <c r="G46" i="4"/>
  <c r="B46" i="4"/>
  <c r="AZ46" i="4" s="1"/>
  <c r="BL45" i="4"/>
  <c r="BK45" i="4"/>
  <c r="BH45" i="4"/>
  <c r="AH45" i="4"/>
  <c r="AE45" i="4"/>
  <c r="X45" i="4"/>
  <c r="M45" i="4"/>
  <c r="G45" i="4"/>
  <c r="B45" i="4"/>
  <c r="AZ45" i="4" s="1"/>
  <c r="BL44" i="4"/>
  <c r="BK44" i="4"/>
  <c r="BH44" i="4"/>
  <c r="AW44" i="4"/>
  <c r="AQ44" i="4"/>
  <c r="AK44" i="4"/>
  <c r="AH44" i="4"/>
  <c r="AE44" i="4"/>
  <c r="Y44" i="4"/>
  <c r="X44" i="4"/>
  <c r="V44" i="4"/>
  <c r="P44" i="4"/>
  <c r="M44" i="4"/>
  <c r="G44" i="4"/>
  <c r="B44" i="4"/>
  <c r="AZ44" i="4" s="1"/>
  <c r="BL43" i="4"/>
  <c r="BK43" i="4"/>
  <c r="BH43" i="4"/>
  <c r="AH43" i="4"/>
  <c r="AE43" i="4"/>
  <c r="X43" i="4"/>
  <c r="M43" i="4"/>
  <c r="G43" i="4"/>
  <c r="B43" i="4"/>
  <c r="AH49" i="4" s="1"/>
  <c r="BL42" i="4"/>
  <c r="BK42" i="4"/>
  <c r="BH42" i="4"/>
  <c r="AW42" i="4"/>
  <c r="AQ42" i="4"/>
  <c r="AK42" i="4"/>
  <c r="AE42" i="4"/>
  <c r="Y42" i="4"/>
  <c r="X42" i="4"/>
  <c r="V42" i="4"/>
  <c r="P42" i="4"/>
  <c r="M42" i="4"/>
  <c r="G42" i="4"/>
  <c r="B42" i="4"/>
  <c r="AZ42" i="4" s="1"/>
  <c r="BL41" i="4"/>
  <c r="BK41" i="4"/>
  <c r="BH41" i="4"/>
  <c r="AH41" i="4"/>
  <c r="AE41" i="4"/>
  <c r="X41" i="4"/>
  <c r="M41" i="4"/>
  <c r="G41" i="4"/>
  <c r="B41" i="4"/>
  <c r="AZ41" i="4" s="1"/>
  <c r="BL40" i="4"/>
  <c r="BK40" i="4"/>
  <c r="BH40" i="4"/>
  <c r="AW40" i="4"/>
  <c r="AQ40" i="4"/>
  <c r="AK40" i="4"/>
  <c r="AH40" i="4"/>
  <c r="AE40" i="4"/>
  <c r="Y40" i="4"/>
  <c r="X40" i="4"/>
  <c r="V40" i="4"/>
  <c r="P40" i="4"/>
  <c r="M40" i="4"/>
  <c r="G40" i="4"/>
  <c r="B40" i="4"/>
  <c r="AZ40" i="4" s="1"/>
  <c r="BL39" i="4"/>
  <c r="BK39" i="4"/>
  <c r="BH39" i="4"/>
  <c r="AZ39" i="4"/>
  <c r="AT39" i="4"/>
  <c r="AN39" i="4"/>
  <c r="AH39" i="4"/>
  <c r="AE39" i="4"/>
  <c r="AB39" i="4"/>
  <c r="X39" i="4"/>
  <c r="S39" i="4"/>
  <c r="N39" i="4"/>
  <c r="M39" i="4"/>
  <c r="J39" i="4"/>
  <c r="G39" i="4"/>
  <c r="B39" i="4"/>
  <c r="AW39" i="4" s="1"/>
  <c r="BL38" i="4"/>
  <c r="BK38" i="4"/>
  <c r="BH38" i="4"/>
  <c r="AZ38" i="4"/>
  <c r="AT38" i="4"/>
  <c r="AN38" i="4"/>
  <c r="AH38" i="4"/>
  <c r="AE38" i="4"/>
  <c r="AB38" i="4"/>
  <c r="X38" i="4"/>
  <c r="S38" i="4"/>
  <c r="N38" i="4"/>
  <c r="M38" i="4"/>
  <c r="J38" i="4"/>
  <c r="G38" i="4"/>
  <c r="B38" i="4"/>
  <c r="AW38" i="4" s="1"/>
  <c r="BL37" i="4"/>
  <c r="BK37" i="4"/>
  <c r="BH37" i="4"/>
  <c r="AZ37" i="4"/>
  <c r="AT37" i="4"/>
  <c r="AN37" i="4"/>
  <c r="AH37" i="4"/>
  <c r="AE37" i="4"/>
  <c r="AB37" i="4"/>
  <c r="X37" i="4"/>
  <c r="S37" i="4"/>
  <c r="N37" i="4"/>
  <c r="M37" i="4"/>
  <c r="J37" i="4"/>
  <c r="G37" i="4"/>
  <c r="B37" i="4"/>
  <c r="AW37" i="4" s="1"/>
  <c r="BL36" i="4"/>
  <c r="BK36" i="4"/>
  <c r="BH36" i="4"/>
  <c r="AZ36" i="4"/>
  <c r="AT36" i="4"/>
  <c r="AN36" i="4"/>
  <c r="AH36" i="4"/>
  <c r="AE36" i="4"/>
  <c r="AB36" i="4"/>
  <c r="X36" i="4"/>
  <c r="S36" i="4"/>
  <c r="N36" i="4"/>
  <c r="M36" i="4"/>
  <c r="J36" i="4"/>
  <c r="G36" i="4"/>
  <c r="B36" i="4"/>
  <c r="AH42" i="4" s="1"/>
  <c r="BL35" i="4"/>
  <c r="BK35" i="4"/>
  <c r="BH35" i="4"/>
  <c r="AZ35" i="4"/>
  <c r="AT35" i="4"/>
  <c r="AN35" i="4"/>
  <c r="AH35" i="4"/>
  <c r="AE35" i="4"/>
  <c r="AB35" i="4"/>
  <c r="X35" i="4"/>
  <c r="S35" i="4"/>
  <c r="N35" i="4"/>
  <c r="M35" i="4"/>
  <c r="J35" i="4"/>
  <c r="G35" i="4"/>
  <c r="B35" i="4"/>
  <c r="AW35" i="4" s="1"/>
  <c r="BL34" i="4"/>
  <c r="BK34" i="4"/>
  <c r="BH34" i="4"/>
  <c r="AZ34" i="4"/>
  <c r="AT34" i="4"/>
  <c r="AN34" i="4"/>
  <c r="AH34" i="4"/>
  <c r="AE34" i="4"/>
  <c r="AB34" i="4"/>
  <c r="X34" i="4"/>
  <c r="S34" i="4"/>
  <c r="N34" i="4"/>
  <c r="M34" i="4"/>
  <c r="J34" i="4"/>
  <c r="G34" i="4"/>
  <c r="B34" i="4"/>
  <c r="AW34" i="4" s="1"/>
  <c r="BL33" i="4"/>
  <c r="BK33" i="4"/>
  <c r="BH33" i="4"/>
  <c r="AZ33" i="4"/>
  <c r="AT33" i="4"/>
  <c r="AN33" i="4"/>
  <c r="AH33" i="4"/>
  <c r="AE33" i="4"/>
  <c r="AB33" i="4"/>
  <c r="X33" i="4"/>
  <c r="S33" i="4"/>
  <c r="N33" i="4"/>
  <c r="M33" i="4"/>
  <c r="J33" i="4"/>
  <c r="G33" i="4"/>
  <c r="B33" i="4"/>
  <c r="AW33" i="4" s="1"/>
  <c r="BL32" i="4"/>
  <c r="BK32" i="4"/>
  <c r="BH32" i="4"/>
  <c r="AZ32" i="4"/>
  <c r="AT32" i="4"/>
  <c r="AN32" i="4"/>
  <c r="AH32" i="4"/>
  <c r="AE32" i="4"/>
  <c r="AB32" i="4"/>
  <c r="X32" i="4"/>
  <c r="S32" i="4"/>
  <c r="N32" i="4"/>
  <c r="M32" i="4"/>
  <c r="J32" i="4"/>
  <c r="G32" i="4"/>
  <c r="B32" i="4"/>
  <c r="AW32" i="4" s="1"/>
  <c r="BL31" i="4"/>
  <c r="BK31" i="4"/>
  <c r="BH31" i="4"/>
  <c r="AZ31" i="4"/>
  <c r="AT31" i="4"/>
  <c r="AN31" i="4"/>
  <c r="AH31" i="4"/>
  <c r="AE31" i="4"/>
  <c r="AB31" i="4"/>
  <c r="X31" i="4"/>
  <c r="S31" i="4"/>
  <c r="N31" i="4"/>
  <c r="M31" i="4"/>
  <c r="J31" i="4"/>
  <c r="G31" i="4"/>
  <c r="B31" i="4"/>
  <c r="AW31" i="4" s="1"/>
  <c r="BL30" i="4"/>
  <c r="BK30" i="4"/>
  <c r="BH30" i="4"/>
  <c r="AZ30" i="4"/>
  <c r="AT30" i="4"/>
  <c r="AN30" i="4"/>
  <c r="AH30" i="4"/>
  <c r="AE30" i="4"/>
  <c r="AB30" i="4"/>
  <c r="X30" i="4"/>
  <c r="S30" i="4"/>
  <c r="N30" i="4"/>
  <c r="M30" i="4"/>
  <c r="J30" i="4"/>
  <c r="G30" i="4"/>
  <c r="B30" i="4"/>
  <c r="AW30" i="4" s="1"/>
  <c r="BL29" i="4"/>
  <c r="BK29" i="4"/>
  <c r="BH29" i="4"/>
  <c r="AZ29" i="4"/>
  <c r="AT29" i="4"/>
  <c r="AN29" i="4"/>
  <c r="AH29" i="4"/>
  <c r="AE29" i="4"/>
  <c r="AB29" i="4"/>
  <c r="X29" i="4"/>
  <c r="S29" i="4"/>
  <c r="N29" i="4"/>
  <c r="M29" i="4"/>
  <c r="J29" i="4"/>
  <c r="G29" i="4"/>
  <c r="B29" i="4"/>
  <c r="AW29" i="4" s="1"/>
  <c r="BL28" i="4"/>
  <c r="BK28" i="4"/>
  <c r="BH28" i="4"/>
  <c r="AZ28" i="4"/>
  <c r="AT28" i="4"/>
  <c r="AN28" i="4"/>
  <c r="AH28" i="4"/>
  <c r="AE28" i="4"/>
  <c r="AB28" i="4"/>
  <c r="X28" i="4"/>
  <c r="S28" i="4"/>
  <c r="N28" i="4"/>
  <c r="M28" i="4"/>
  <c r="J28" i="4"/>
  <c r="G28" i="4"/>
  <c r="B28" i="4"/>
  <c r="AW28" i="4" s="1"/>
  <c r="BL27" i="4"/>
  <c r="BK27" i="4"/>
  <c r="BH27" i="4"/>
  <c r="AZ27" i="4"/>
  <c r="AT27" i="4"/>
  <c r="AN27" i="4"/>
  <c r="AH27" i="4"/>
  <c r="AE27" i="4"/>
  <c r="AB27" i="4"/>
  <c r="X27" i="4"/>
  <c r="S27" i="4"/>
  <c r="N27" i="4"/>
  <c r="M27" i="4"/>
  <c r="J27" i="4"/>
  <c r="G27" i="4"/>
  <c r="B27" i="4"/>
  <c r="AW27" i="4" s="1"/>
  <c r="BL26" i="4"/>
  <c r="BK26" i="4"/>
  <c r="BH26" i="4"/>
  <c r="AZ26" i="4"/>
  <c r="AT26" i="4"/>
  <c r="AN26" i="4"/>
  <c r="AH26" i="4"/>
  <c r="AE26" i="4"/>
  <c r="AB26" i="4"/>
  <c r="X26" i="4"/>
  <c r="S26" i="4"/>
  <c r="N26" i="4"/>
  <c r="M26" i="4"/>
  <c r="J26" i="4"/>
  <c r="G26" i="4"/>
  <c r="B26" i="4"/>
  <c r="AW26" i="4" s="1"/>
  <c r="BL25" i="4"/>
  <c r="BK25" i="4"/>
  <c r="BH25" i="4"/>
  <c r="AZ25" i="4"/>
  <c r="AT25" i="4"/>
  <c r="AN25" i="4"/>
  <c r="AH25" i="4"/>
  <c r="AE25" i="4"/>
  <c r="AB25" i="4"/>
  <c r="X25" i="4"/>
  <c r="S25" i="4"/>
  <c r="N25" i="4"/>
  <c r="M25" i="4"/>
  <c r="J25" i="4"/>
  <c r="G25" i="4"/>
  <c r="B25" i="4"/>
  <c r="AW25" i="4" s="1"/>
  <c r="BL24" i="4"/>
  <c r="BK24" i="4"/>
  <c r="BH24" i="4"/>
  <c r="AZ24" i="4"/>
  <c r="AT24" i="4"/>
  <c r="AN24" i="4"/>
  <c r="AH24" i="4"/>
  <c r="AE24" i="4"/>
  <c r="AB24" i="4"/>
  <c r="X24" i="4"/>
  <c r="S24" i="4"/>
  <c r="N24" i="4"/>
  <c r="M24" i="4"/>
  <c r="J24" i="4"/>
  <c r="G24" i="4"/>
  <c r="B24" i="4"/>
  <c r="BL23" i="4"/>
  <c r="BK23" i="4"/>
  <c r="BH23" i="4"/>
  <c r="AZ23" i="4"/>
  <c r="AT23" i="4"/>
  <c r="AN23" i="4"/>
  <c r="AH23" i="4"/>
  <c r="AE23" i="4"/>
  <c r="AB23" i="4"/>
  <c r="X23" i="4"/>
  <c r="S23" i="4"/>
  <c r="N23" i="4"/>
  <c r="M23" i="4"/>
  <c r="J23" i="4"/>
  <c r="G23" i="4"/>
  <c r="B23" i="4"/>
  <c r="AW23" i="4" s="1"/>
  <c r="BL22" i="4"/>
  <c r="BK22" i="4"/>
  <c r="BH22" i="4"/>
  <c r="AZ22" i="4"/>
  <c r="AT22" i="4"/>
  <c r="AN22" i="4"/>
  <c r="AH22" i="4"/>
  <c r="AE22" i="4"/>
  <c r="AB22" i="4"/>
  <c r="X22" i="4"/>
  <c r="S22" i="4"/>
  <c r="N22" i="4"/>
  <c r="M22" i="4"/>
  <c r="J22" i="4"/>
  <c r="G22" i="4"/>
  <c r="B22" i="4"/>
  <c r="AW22" i="4" s="1"/>
  <c r="BL21" i="4"/>
  <c r="BK21" i="4"/>
  <c r="BH21" i="4"/>
  <c r="AZ21" i="4"/>
  <c r="AT21" i="4"/>
  <c r="AN21" i="4"/>
  <c r="AH21" i="4"/>
  <c r="AE21" i="4"/>
  <c r="AB21" i="4"/>
  <c r="X21" i="4"/>
  <c r="S21" i="4"/>
  <c r="N21" i="4"/>
  <c r="M21" i="4"/>
  <c r="J21" i="4"/>
  <c r="G21" i="4"/>
  <c r="B21" i="4"/>
  <c r="AW21" i="4" s="1"/>
  <c r="BL20" i="4"/>
  <c r="BK20" i="4"/>
  <c r="BH20" i="4"/>
  <c r="AZ20" i="4"/>
  <c r="AT20" i="4"/>
  <c r="AN20" i="4"/>
  <c r="AH20" i="4"/>
  <c r="AB20" i="4"/>
  <c r="X20" i="4"/>
  <c r="S20" i="4"/>
  <c r="N20" i="4"/>
  <c r="M20" i="4"/>
  <c r="J20" i="4"/>
  <c r="G20" i="4"/>
  <c r="B20" i="4"/>
  <c r="AW20" i="4" s="1"/>
  <c r="BL19" i="4"/>
  <c r="BK19" i="4"/>
  <c r="BH19" i="4"/>
  <c r="AZ19" i="4"/>
  <c r="AT19" i="4"/>
  <c r="AN19" i="4"/>
  <c r="AH19" i="4"/>
  <c r="AB19" i="4"/>
  <c r="X19" i="4"/>
  <c r="S19" i="4"/>
  <c r="N19" i="4"/>
  <c r="M19" i="4"/>
  <c r="J19" i="4"/>
  <c r="G19" i="4"/>
  <c r="B19" i="4"/>
  <c r="AW19" i="4" s="1"/>
  <c r="BL18" i="4"/>
  <c r="BK18" i="4"/>
  <c r="BH18" i="4"/>
  <c r="AZ18" i="4"/>
  <c r="AT18" i="4"/>
  <c r="AN18" i="4"/>
  <c r="AH18" i="4"/>
  <c r="AB18" i="4"/>
  <c r="X18" i="4"/>
  <c r="S18" i="4"/>
  <c r="N18" i="4"/>
  <c r="M18" i="4"/>
  <c r="J18" i="4"/>
  <c r="G18" i="4"/>
  <c r="B18" i="4"/>
  <c r="BL17" i="4"/>
  <c r="BK17" i="4"/>
  <c r="BH17" i="4"/>
  <c r="AZ17" i="4"/>
  <c r="AT17" i="4"/>
  <c r="AN17" i="4"/>
  <c r="AH17" i="4"/>
  <c r="AB17" i="4"/>
  <c r="X17" i="4"/>
  <c r="S17" i="4"/>
  <c r="N17" i="4"/>
  <c r="M17" i="4"/>
  <c r="J17" i="4"/>
  <c r="G17" i="4"/>
  <c r="B17" i="4"/>
  <c r="AW17" i="4" s="1"/>
  <c r="BL16" i="4"/>
  <c r="BK16" i="4"/>
  <c r="BH16" i="4"/>
  <c r="AZ16" i="4"/>
  <c r="AT16" i="4"/>
  <c r="AN16" i="4"/>
  <c r="AH16" i="4"/>
  <c r="AB16" i="4"/>
  <c r="X16" i="4"/>
  <c r="S16" i="4"/>
  <c r="N16" i="4"/>
  <c r="M16" i="4"/>
  <c r="J16" i="4"/>
  <c r="G16" i="4"/>
  <c r="B16" i="4"/>
  <c r="AW16" i="4" s="1"/>
  <c r="BL15" i="4"/>
  <c r="BK15" i="4"/>
  <c r="BH15" i="4"/>
  <c r="AZ15" i="4"/>
  <c r="AT15" i="4"/>
  <c r="AN15" i="4"/>
  <c r="AH15" i="4"/>
  <c r="AB15" i="4"/>
  <c r="X15" i="4"/>
  <c r="S15" i="4"/>
  <c r="N15" i="4"/>
  <c r="M15" i="4"/>
  <c r="J15" i="4"/>
  <c r="G15" i="4"/>
  <c r="B15" i="4"/>
  <c r="AW15" i="4" s="1"/>
  <c r="A15" i="4"/>
  <c r="BL14" i="4"/>
  <c r="BK14" i="4"/>
  <c r="BH14" i="4"/>
  <c r="AZ14" i="4"/>
  <c r="AT14" i="4"/>
  <c r="AN14" i="4"/>
  <c r="AH14" i="4"/>
  <c r="AB14" i="4"/>
  <c r="X14" i="4"/>
  <c r="N14" i="4"/>
  <c r="M14" i="4"/>
  <c r="J14" i="4"/>
  <c r="G14" i="4"/>
  <c r="B14" i="4"/>
  <c r="AX9" i="4"/>
  <c r="AY400" i="4" s="1"/>
  <c r="AU9" i="4"/>
  <c r="AV400" i="4" s="1"/>
  <c r="AR9" i="4"/>
  <c r="AS400" i="4" s="1"/>
  <c r="AO9" i="4"/>
  <c r="AP400" i="4" s="1"/>
  <c r="AL9" i="4"/>
  <c r="AM400" i="4" s="1"/>
  <c r="AI9" i="4"/>
  <c r="AJ400" i="4" s="1"/>
  <c r="AF9" i="4"/>
  <c r="AG400" i="4" s="1"/>
  <c r="AC9" i="4"/>
  <c r="AD400" i="4" s="1"/>
  <c r="Z9" i="4"/>
  <c r="AA400" i="4" s="1"/>
  <c r="W9" i="4"/>
  <c r="T9" i="4"/>
  <c r="Q9" i="4"/>
  <c r="O9" i="4"/>
  <c r="M9" i="4"/>
  <c r="I9" i="4"/>
  <c r="I400" i="4" s="1"/>
  <c r="G9" i="4"/>
  <c r="B9" i="4"/>
  <c r="B400" i="4" s="1"/>
  <c r="AX8" i="4"/>
  <c r="AY385" i="4" s="1"/>
  <c r="AU8" i="4"/>
  <c r="AV385" i="4" s="1"/>
  <c r="AR8" i="4"/>
  <c r="AS385" i="4" s="1"/>
  <c r="AO8" i="4"/>
  <c r="AP385" i="4" s="1"/>
  <c r="AL8" i="4"/>
  <c r="AM385" i="4" s="1"/>
  <c r="AM387" i="4" s="1"/>
  <c r="AI8" i="4"/>
  <c r="AJ385" i="4" s="1"/>
  <c r="AF8" i="4"/>
  <c r="AG385" i="4" s="1"/>
  <c r="AC8" i="4"/>
  <c r="AD385" i="4" s="1"/>
  <c r="Z8" i="4"/>
  <c r="AA385" i="4" s="1"/>
  <c r="W8" i="4"/>
  <c r="X385" i="4" s="1"/>
  <c r="T8" i="4"/>
  <c r="U385" i="4" s="1"/>
  <c r="U387" i="4" s="1"/>
  <c r="Q8" i="4"/>
  <c r="O8" i="4"/>
  <c r="M8" i="4"/>
  <c r="M385" i="4" s="1"/>
  <c r="I8" i="4"/>
  <c r="I385" i="4" s="1"/>
  <c r="I387" i="4" s="1"/>
  <c r="G8" i="4"/>
  <c r="G385" i="4" s="1"/>
  <c r="B8" i="4"/>
  <c r="B385" i="4" s="1"/>
  <c r="U387" i="3"/>
  <c r="U385" i="3"/>
  <c r="F385" i="3"/>
  <c r="BE384" i="3"/>
  <c r="BB384" i="3"/>
  <c r="AY384" i="3"/>
  <c r="AV384" i="3"/>
  <c r="AS384" i="3"/>
  <c r="AP384" i="3"/>
  <c r="AM384" i="3"/>
  <c r="AG384" i="3"/>
  <c r="AG387" i="3" s="1"/>
  <c r="U384" i="3"/>
  <c r="J384" i="3"/>
  <c r="F384" i="3"/>
  <c r="C384" i="3"/>
  <c r="C387" i="3" s="1"/>
  <c r="B384" i="3"/>
  <c r="BE383" i="3" a="1"/>
  <c r="BE383" i="3"/>
  <c r="BB383" i="3" a="1"/>
  <c r="BB383" i="3" s="1"/>
  <c r="AY383" i="3" a="1"/>
  <c r="AY383" i="3"/>
  <c r="AV383" i="3" a="1"/>
  <c r="AV383" i="3" s="1"/>
  <c r="AS383" i="3" a="1"/>
  <c r="AS383" i="3"/>
  <c r="AP383" i="3" a="1"/>
  <c r="AP383" i="3" s="1"/>
  <c r="AM383" i="3" a="1"/>
  <c r="AM383" i="3"/>
  <c r="AJ383" i="3" a="1"/>
  <c r="AJ383" i="3"/>
  <c r="AG383" i="3" a="1"/>
  <c r="AG383" i="3" s="1"/>
  <c r="AA383" i="3" a="1"/>
  <c r="AA383" i="3" s="1"/>
  <c r="X383" i="3" a="1"/>
  <c r="X383" i="3" s="1"/>
  <c r="U383" i="3"/>
  <c r="J383" i="3"/>
  <c r="F383" i="3"/>
  <c r="C383" i="3"/>
  <c r="B383" i="3"/>
  <c r="BE382" i="3" a="1"/>
  <c r="BE382" i="3"/>
  <c r="BB382" i="3" a="1"/>
  <c r="BB382" i="3" s="1"/>
  <c r="AY382" i="3" a="1"/>
  <c r="AY382" i="3"/>
  <c r="AV382" i="3" a="1"/>
  <c r="AV382" i="3" s="1"/>
  <c r="AS382" i="3" a="1"/>
  <c r="AS382" i="3"/>
  <c r="AP382" i="3" a="1"/>
  <c r="AP382" i="3" s="1"/>
  <c r="AM382" i="3" a="1"/>
  <c r="AM382" i="3"/>
  <c r="AJ382" i="3" a="1"/>
  <c r="AJ382" i="3"/>
  <c r="AG382" i="3" a="1"/>
  <c r="AG382" i="3" s="1"/>
  <c r="AA382" i="3" a="1"/>
  <c r="AA382" i="3" s="1"/>
  <c r="X382" i="3" a="1"/>
  <c r="X382" i="3" s="1"/>
  <c r="U382" i="3"/>
  <c r="J382" i="3"/>
  <c r="F382" i="3"/>
  <c r="C382" i="3"/>
  <c r="B382" i="3"/>
  <c r="BE381" i="3"/>
  <c r="BB381" i="3"/>
  <c r="AY381" i="3"/>
  <c r="AV381" i="3"/>
  <c r="AS381" i="3"/>
  <c r="AP381" i="3"/>
  <c r="AM381" i="3"/>
  <c r="AJ381" i="3"/>
  <c r="AG381" i="3"/>
  <c r="AA381" i="3"/>
  <c r="X381" i="3"/>
  <c r="U381" i="3"/>
  <c r="R381" i="3"/>
  <c r="Q381" i="3"/>
  <c r="N381" i="3"/>
  <c r="M381" i="3"/>
  <c r="J381" i="3"/>
  <c r="I381" i="3"/>
  <c r="F381" i="3"/>
  <c r="E381" i="3"/>
  <c r="D381" i="3"/>
  <c r="C381" i="3"/>
  <c r="B381" i="3"/>
  <c r="BE380" i="3"/>
  <c r="BE388" i="3" s="1"/>
  <c r="BE389" i="3" s="1"/>
  <c r="BB380" i="3"/>
  <c r="BB388" i="3" s="1"/>
  <c r="BB389" i="3" s="1"/>
  <c r="AY380" i="3"/>
  <c r="AY388" i="3" s="1"/>
  <c r="AY389" i="3" s="1"/>
  <c r="AV380" i="3"/>
  <c r="AV388" i="3" s="1"/>
  <c r="AV389" i="3" s="1"/>
  <c r="AS380" i="3"/>
  <c r="AS388" i="3" s="1"/>
  <c r="AS389" i="3" s="1"/>
  <c r="AP380" i="3"/>
  <c r="AP388" i="3" s="1"/>
  <c r="AP389" i="3" s="1"/>
  <c r="AM380" i="3"/>
  <c r="AM388" i="3" s="1"/>
  <c r="AM389" i="3" s="1"/>
  <c r="AJ380" i="3"/>
  <c r="AG380" i="3"/>
  <c r="AG388" i="3" s="1"/>
  <c r="AG389" i="3" s="1"/>
  <c r="AA380" i="3"/>
  <c r="X380" i="3"/>
  <c r="U380" i="3"/>
  <c r="U388" i="3" s="1"/>
  <c r="U389" i="3" s="1"/>
  <c r="R380" i="3"/>
  <c r="Q380" i="3"/>
  <c r="N380" i="3"/>
  <c r="M380" i="3"/>
  <c r="J380" i="3"/>
  <c r="I380" i="3"/>
  <c r="F380" i="3"/>
  <c r="E380" i="3"/>
  <c r="D380" i="3"/>
  <c r="C380" i="3"/>
  <c r="B380" i="3"/>
  <c r="BF379" i="3"/>
  <c r="BC379" i="3"/>
  <c r="AZ379" i="3"/>
  <c r="AW379" i="3"/>
  <c r="AT379" i="3"/>
  <c r="AQ379" i="3"/>
  <c r="AN379" i="3"/>
  <c r="AK379" i="3"/>
  <c r="AH379" i="3"/>
  <c r="AE379" i="3"/>
  <c r="AD379" i="3"/>
  <c r="V379" i="3"/>
  <c r="T379" i="3"/>
  <c r="S379" i="3"/>
  <c r="P379" i="3"/>
  <c r="O379" i="3"/>
  <c r="L379" i="3"/>
  <c r="K379" i="3"/>
  <c r="H379" i="3"/>
  <c r="G379" i="3"/>
  <c r="BK378" i="3"/>
  <c r="BJ378" i="3"/>
  <c r="BF378" i="3"/>
  <c r="BC378" i="3"/>
  <c r="AZ378" i="3"/>
  <c r="AW378" i="3"/>
  <c r="AT378" i="3"/>
  <c r="AQ378" i="3"/>
  <c r="AN378" i="3"/>
  <c r="AK378" i="3"/>
  <c r="AH378" i="3"/>
  <c r="AE378" i="3"/>
  <c r="AD378" i="3"/>
  <c r="V378" i="3"/>
  <c r="T378" i="3"/>
  <c r="S378" i="3"/>
  <c r="BC378" i="4" s="1"/>
  <c r="P378" i="3"/>
  <c r="O378" i="3"/>
  <c r="L378" i="3"/>
  <c r="K378" i="3"/>
  <c r="BA378" i="4" s="1"/>
  <c r="H378" i="3"/>
  <c r="G378" i="3"/>
  <c r="BB378" i="4" s="1"/>
  <c r="BK377" i="3"/>
  <c r="BJ377" i="3"/>
  <c r="BF377" i="3"/>
  <c r="BC377" i="3"/>
  <c r="AZ377" i="3"/>
  <c r="AW377" i="3"/>
  <c r="AT377" i="3"/>
  <c r="AQ377" i="3"/>
  <c r="AN377" i="3"/>
  <c r="AK377" i="3"/>
  <c r="AH377" i="3"/>
  <c r="AD377" i="3"/>
  <c r="AE377" i="3" s="1"/>
  <c r="V377" i="3"/>
  <c r="T377" i="3"/>
  <c r="S377" i="3"/>
  <c r="BC377" i="4" s="1"/>
  <c r="P377" i="3"/>
  <c r="O377" i="3"/>
  <c r="L377" i="3"/>
  <c r="K377" i="3"/>
  <c r="BA377" i="4" s="1"/>
  <c r="H377" i="3"/>
  <c r="G377" i="3"/>
  <c r="BB377" i="4" s="1"/>
  <c r="BK376" i="3"/>
  <c r="BJ376" i="3"/>
  <c r="BF376" i="3"/>
  <c r="BC376" i="3"/>
  <c r="AZ376" i="3"/>
  <c r="AW376" i="3"/>
  <c r="AT376" i="3"/>
  <c r="AQ376" i="3"/>
  <c r="AN376" i="3"/>
  <c r="AK376" i="3"/>
  <c r="AH376" i="3"/>
  <c r="AE376" i="3"/>
  <c r="AD376" i="3"/>
  <c r="V376" i="3"/>
  <c r="T376" i="3"/>
  <c r="S376" i="3"/>
  <c r="BC376" i="4" s="1"/>
  <c r="P376" i="3"/>
  <c r="O376" i="3"/>
  <c r="L376" i="3"/>
  <c r="K376" i="3"/>
  <c r="BA376" i="4" s="1"/>
  <c r="H376" i="3"/>
  <c r="G376" i="3"/>
  <c r="BB376" i="4" s="1"/>
  <c r="BK375" i="3"/>
  <c r="BJ375" i="3"/>
  <c r="BF375" i="3"/>
  <c r="BC375" i="3"/>
  <c r="AZ375" i="3"/>
  <c r="AW375" i="3"/>
  <c r="AT375" i="3"/>
  <c r="AQ375" i="3"/>
  <c r="AN375" i="3"/>
  <c r="AK375" i="3"/>
  <c r="AH375" i="3"/>
  <c r="AE375" i="3"/>
  <c r="AD375" i="3"/>
  <c r="V375" i="3"/>
  <c r="T375" i="3"/>
  <c r="S375" i="3"/>
  <c r="BC375" i="4" s="1"/>
  <c r="P375" i="3"/>
  <c r="O375" i="3"/>
  <c r="L375" i="3"/>
  <c r="K375" i="3"/>
  <c r="BA375" i="4" s="1"/>
  <c r="H375" i="3"/>
  <c r="G375" i="3"/>
  <c r="BB375" i="4" s="1"/>
  <c r="BK374" i="3"/>
  <c r="BJ374" i="3"/>
  <c r="BF374" i="3"/>
  <c r="BC374" i="3"/>
  <c r="AZ374" i="3"/>
  <c r="AW374" i="3"/>
  <c r="AT374" i="3"/>
  <c r="AQ374" i="3"/>
  <c r="AN374" i="3"/>
  <c r="AK374" i="3"/>
  <c r="AH374" i="3"/>
  <c r="AE374" i="3"/>
  <c r="AD374" i="3"/>
  <c r="V374" i="3"/>
  <c r="T374" i="3"/>
  <c r="S374" i="3"/>
  <c r="BC374" i="4" s="1"/>
  <c r="P374" i="3"/>
  <c r="O374" i="3"/>
  <c r="L374" i="3"/>
  <c r="K374" i="3"/>
  <c r="BA374" i="4" s="1"/>
  <c r="H374" i="3"/>
  <c r="G374" i="3"/>
  <c r="BB374" i="4" s="1"/>
  <c r="BK373" i="3"/>
  <c r="BJ373" i="3"/>
  <c r="BF373" i="3"/>
  <c r="BC373" i="3"/>
  <c r="AZ373" i="3"/>
  <c r="AW373" i="3"/>
  <c r="AT373" i="3"/>
  <c r="AQ373" i="3"/>
  <c r="AN373" i="3"/>
  <c r="AK373" i="3"/>
  <c r="AH373" i="3"/>
  <c r="AE373" i="3"/>
  <c r="AD373" i="3"/>
  <c r="V373" i="3"/>
  <c r="T373" i="3"/>
  <c r="S373" i="3"/>
  <c r="BC373" i="4" s="1"/>
  <c r="P373" i="3"/>
  <c r="O373" i="3"/>
  <c r="L373" i="3"/>
  <c r="K373" i="3"/>
  <c r="BA373" i="4" s="1"/>
  <c r="H373" i="3"/>
  <c r="G373" i="3"/>
  <c r="BB373" i="4" s="1"/>
  <c r="BK372" i="3"/>
  <c r="BJ372" i="3"/>
  <c r="BF372" i="3"/>
  <c r="BC372" i="3"/>
  <c r="AZ372" i="3"/>
  <c r="AW372" i="3"/>
  <c r="AT372" i="3"/>
  <c r="AQ372" i="3"/>
  <c r="AN372" i="3"/>
  <c r="AK372" i="3"/>
  <c r="AH372" i="3"/>
  <c r="AE372" i="3"/>
  <c r="AD372" i="3"/>
  <c r="V372" i="3"/>
  <c r="T372" i="3"/>
  <c r="S372" i="3"/>
  <c r="BC372" i="4" s="1"/>
  <c r="P372" i="3"/>
  <c r="O372" i="3"/>
  <c r="L372" i="3"/>
  <c r="K372" i="3"/>
  <c r="BA372" i="4" s="1"/>
  <c r="H372" i="3"/>
  <c r="G372" i="3"/>
  <c r="BB372" i="4" s="1"/>
  <c r="BK371" i="3"/>
  <c r="BJ371" i="3"/>
  <c r="BF371" i="3"/>
  <c r="BC371" i="3"/>
  <c r="AZ371" i="3"/>
  <c r="AW371" i="3"/>
  <c r="AT371" i="3"/>
  <c r="AQ371" i="3"/>
  <c r="AN371" i="3"/>
  <c r="AK371" i="3"/>
  <c r="AH371" i="3"/>
  <c r="AE371" i="3"/>
  <c r="AD371" i="3"/>
  <c r="V371" i="3"/>
  <c r="T371" i="3"/>
  <c r="S371" i="3"/>
  <c r="BC371" i="4" s="1"/>
  <c r="P371" i="3"/>
  <c r="O371" i="3"/>
  <c r="L371" i="3"/>
  <c r="K371" i="3"/>
  <c r="BA371" i="4" s="1"/>
  <c r="H371" i="3"/>
  <c r="G371" i="3"/>
  <c r="BB371" i="4" s="1"/>
  <c r="BK370" i="3"/>
  <c r="BJ370" i="3"/>
  <c r="BF370" i="3"/>
  <c r="BC370" i="3"/>
  <c r="AZ370" i="3"/>
  <c r="AW370" i="3"/>
  <c r="AT370" i="3"/>
  <c r="AQ370" i="3"/>
  <c r="AN370" i="3"/>
  <c r="AK370" i="3"/>
  <c r="AH370" i="3"/>
  <c r="AE370" i="3"/>
  <c r="AD370" i="3"/>
  <c r="V370" i="3"/>
  <c r="S370" i="3"/>
  <c r="BC370" i="4" s="1"/>
  <c r="O370" i="3"/>
  <c r="P370" i="3" s="1"/>
  <c r="K370" i="3"/>
  <c r="BA370" i="4" s="1"/>
  <c r="G370" i="3"/>
  <c r="BB370" i="4" s="1"/>
  <c r="BK369" i="3"/>
  <c r="BJ369" i="3"/>
  <c r="BF369" i="3"/>
  <c r="BC369" i="3"/>
  <c r="AZ369" i="3"/>
  <c r="AW369" i="3"/>
  <c r="AT369" i="3"/>
  <c r="AQ369" i="3"/>
  <c r="AN369" i="3"/>
  <c r="AK369" i="3"/>
  <c r="AH369" i="3"/>
  <c r="AE369" i="3"/>
  <c r="AD369" i="3"/>
  <c r="V369" i="3"/>
  <c r="T369" i="3"/>
  <c r="S369" i="3"/>
  <c r="BC369" i="4" s="1"/>
  <c r="P369" i="3"/>
  <c r="O369" i="3"/>
  <c r="L369" i="3"/>
  <c r="K369" i="3"/>
  <c r="BA369" i="4" s="1"/>
  <c r="H369" i="3"/>
  <c r="G369" i="3"/>
  <c r="BB369" i="4" s="1"/>
  <c r="BK368" i="3"/>
  <c r="BJ368" i="3"/>
  <c r="BF368" i="3"/>
  <c r="BC368" i="3"/>
  <c r="AZ368" i="3"/>
  <c r="AW368" i="3"/>
  <c r="AT368" i="3"/>
  <c r="AQ368" i="3"/>
  <c r="AN368" i="3"/>
  <c r="AK368" i="3"/>
  <c r="AH368" i="3"/>
  <c r="AE368" i="3"/>
  <c r="AD368" i="3"/>
  <c r="V368" i="3"/>
  <c r="T368" i="3"/>
  <c r="S368" i="3"/>
  <c r="BC368" i="4" s="1"/>
  <c r="P368" i="3"/>
  <c r="O368" i="3"/>
  <c r="L368" i="3"/>
  <c r="K368" i="3"/>
  <c r="BA368" i="4" s="1"/>
  <c r="H368" i="3"/>
  <c r="G368" i="3"/>
  <c r="BB368" i="4" s="1"/>
  <c r="BK367" i="3"/>
  <c r="BJ367" i="3"/>
  <c r="BF367" i="3"/>
  <c r="BC367" i="3"/>
  <c r="AZ367" i="3"/>
  <c r="AW367" i="3"/>
  <c r="AT367" i="3"/>
  <c r="AQ367" i="3"/>
  <c r="AN367" i="3"/>
  <c r="AK367" i="3"/>
  <c r="AH367" i="3"/>
  <c r="AD367" i="3"/>
  <c r="AE367" i="3" s="1"/>
  <c r="V367" i="3"/>
  <c r="T367" i="3"/>
  <c r="S367" i="3"/>
  <c r="BC367" i="4" s="1"/>
  <c r="P367" i="3"/>
  <c r="O367" i="3"/>
  <c r="L367" i="3"/>
  <c r="K367" i="3"/>
  <c r="BA367" i="4" s="1"/>
  <c r="H367" i="3"/>
  <c r="G367" i="3"/>
  <c r="BB367" i="4" s="1"/>
  <c r="BK366" i="3"/>
  <c r="BJ366" i="3"/>
  <c r="BF366" i="3"/>
  <c r="BC366" i="3"/>
  <c r="AZ366" i="3"/>
  <c r="AW366" i="3"/>
  <c r="AT366" i="3"/>
  <c r="AQ366" i="3"/>
  <c r="AN366" i="3"/>
  <c r="AK366" i="3"/>
  <c r="AH366" i="3"/>
  <c r="AE366" i="3"/>
  <c r="AD366" i="3"/>
  <c r="V366" i="3"/>
  <c r="S366" i="3"/>
  <c r="BC366" i="4" s="1"/>
  <c r="O366" i="3"/>
  <c r="P366" i="3" s="1"/>
  <c r="K366" i="3"/>
  <c r="BA366" i="4" s="1"/>
  <c r="G366" i="3"/>
  <c r="BB366" i="4" s="1"/>
  <c r="BK365" i="3"/>
  <c r="BJ365" i="3"/>
  <c r="BF365" i="3"/>
  <c r="BC365" i="3"/>
  <c r="AZ365" i="3"/>
  <c r="AW365" i="3"/>
  <c r="AT365" i="3"/>
  <c r="AQ365" i="3"/>
  <c r="AN365" i="3"/>
  <c r="AK365" i="3"/>
  <c r="AH365" i="3"/>
  <c r="AD365" i="3"/>
  <c r="AE365" i="3" s="1"/>
  <c r="V365" i="3"/>
  <c r="T365" i="3"/>
  <c r="S365" i="3"/>
  <c r="BC365" i="4" s="1"/>
  <c r="P365" i="3"/>
  <c r="O365" i="3"/>
  <c r="L365" i="3"/>
  <c r="K365" i="3"/>
  <c r="BA365" i="4" s="1"/>
  <c r="H365" i="3"/>
  <c r="G365" i="3"/>
  <c r="BB365" i="4" s="1"/>
  <c r="BK364" i="3"/>
  <c r="BJ364" i="3"/>
  <c r="BF364" i="3"/>
  <c r="BC364" i="3"/>
  <c r="AZ364" i="3"/>
  <c r="AW364" i="3"/>
  <c r="AT364" i="3"/>
  <c r="AQ364" i="3"/>
  <c r="AN364" i="3"/>
  <c r="AK364" i="3"/>
  <c r="AH364" i="3"/>
  <c r="AE364" i="3"/>
  <c r="AD364" i="3"/>
  <c r="V364" i="3"/>
  <c r="S364" i="3"/>
  <c r="BC364" i="4" s="1"/>
  <c r="O364" i="3"/>
  <c r="P364" i="3" s="1"/>
  <c r="K364" i="3"/>
  <c r="BA364" i="4" s="1"/>
  <c r="G364" i="3"/>
  <c r="BB364" i="4" s="1"/>
  <c r="BK363" i="3"/>
  <c r="BJ363" i="3"/>
  <c r="BF363" i="3"/>
  <c r="BC363" i="3"/>
  <c r="AZ363" i="3"/>
  <c r="AW363" i="3"/>
  <c r="AT363" i="3"/>
  <c r="AQ363" i="3"/>
  <c r="AN363" i="3"/>
  <c r="AK363" i="3"/>
  <c r="AH363" i="3"/>
  <c r="AD363" i="3"/>
  <c r="AE363" i="3" s="1"/>
  <c r="V363" i="3"/>
  <c r="T363" i="3"/>
  <c r="S363" i="3"/>
  <c r="BC363" i="4" s="1"/>
  <c r="P363" i="3"/>
  <c r="O363" i="3"/>
  <c r="L363" i="3"/>
  <c r="K363" i="3"/>
  <c r="BA363" i="4" s="1"/>
  <c r="H363" i="3"/>
  <c r="G363" i="3"/>
  <c r="BB363" i="4" s="1"/>
  <c r="BK362" i="3"/>
  <c r="BJ362" i="3"/>
  <c r="BF362" i="3"/>
  <c r="BC362" i="3"/>
  <c r="AZ362" i="3"/>
  <c r="AW362" i="3"/>
  <c r="AT362" i="3"/>
  <c r="AQ362" i="3"/>
  <c r="AN362" i="3"/>
  <c r="AK362" i="3"/>
  <c r="AH362" i="3"/>
  <c r="AE362" i="3"/>
  <c r="AD362" i="3"/>
  <c r="V362" i="3"/>
  <c r="T362" i="3"/>
  <c r="S362" i="3"/>
  <c r="BC362" i="4" s="1"/>
  <c r="P362" i="3"/>
  <c r="O362" i="3"/>
  <c r="L362" i="3"/>
  <c r="K362" i="3"/>
  <c r="BA362" i="4" s="1"/>
  <c r="H362" i="3"/>
  <c r="G362" i="3"/>
  <c r="BB362" i="4" s="1"/>
  <c r="BK361" i="3"/>
  <c r="BJ361" i="3"/>
  <c r="BF361" i="3"/>
  <c r="BC361" i="3"/>
  <c r="AZ361" i="3"/>
  <c r="AW361" i="3"/>
  <c r="AT361" i="3"/>
  <c r="AQ361" i="3"/>
  <c r="AN361" i="3"/>
  <c r="AK361" i="3"/>
  <c r="AH361" i="3"/>
  <c r="AE361" i="3"/>
  <c r="AD361" i="3"/>
  <c r="V361" i="3"/>
  <c r="T361" i="3"/>
  <c r="S361" i="3"/>
  <c r="BC361" i="4" s="1"/>
  <c r="P361" i="3"/>
  <c r="O361" i="3"/>
  <c r="L361" i="3"/>
  <c r="K361" i="3"/>
  <c r="BA361" i="4" s="1"/>
  <c r="H361" i="3"/>
  <c r="G361" i="3"/>
  <c r="BB361" i="4" s="1"/>
  <c r="BK360" i="3"/>
  <c r="BJ360" i="3"/>
  <c r="BF360" i="3"/>
  <c r="BC360" i="3"/>
  <c r="AZ360" i="3"/>
  <c r="AW360" i="3"/>
  <c r="AT360" i="3"/>
  <c r="AQ360" i="3"/>
  <c r="AN360" i="3"/>
  <c r="AK360" i="3"/>
  <c r="AH360" i="3"/>
  <c r="AE360" i="3"/>
  <c r="AD360" i="3"/>
  <c r="V360" i="3"/>
  <c r="S360" i="3"/>
  <c r="BC360" i="4" s="1"/>
  <c r="O360" i="3"/>
  <c r="P360" i="3" s="1"/>
  <c r="K360" i="3"/>
  <c r="BA360" i="4" s="1"/>
  <c r="G360" i="3"/>
  <c r="BB360" i="4" s="1"/>
  <c r="BK359" i="3"/>
  <c r="BJ359" i="3"/>
  <c r="BF359" i="3"/>
  <c r="BC359" i="3"/>
  <c r="AZ359" i="3"/>
  <c r="AW359" i="3"/>
  <c r="AT359" i="3"/>
  <c r="AQ359" i="3"/>
  <c r="AN359" i="3"/>
  <c r="AK359" i="3"/>
  <c r="AH359" i="3"/>
  <c r="AD359" i="3"/>
  <c r="AE359" i="3" s="1"/>
  <c r="V359" i="3"/>
  <c r="T359" i="3"/>
  <c r="S359" i="3"/>
  <c r="BC359" i="4" s="1"/>
  <c r="P359" i="3"/>
  <c r="O359" i="3"/>
  <c r="L359" i="3"/>
  <c r="K359" i="3"/>
  <c r="BA359" i="4" s="1"/>
  <c r="H359" i="3"/>
  <c r="G359" i="3"/>
  <c r="BB359" i="4" s="1"/>
  <c r="BK358" i="3"/>
  <c r="BJ358" i="3"/>
  <c r="BF358" i="3"/>
  <c r="BC358" i="3"/>
  <c r="AZ358" i="3"/>
  <c r="AW358" i="3"/>
  <c r="AT358" i="3"/>
  <c r="AQ358" i="3"/>
  <c r="AN358" i="3"/>
  <c r="AK358" i="3"/>
  <c r="AH358" i="3"/>
  <c r="AE358" i="3"/>
  <c r="AD358" i="3"/>
  <c r="V358" i="3"/>
  <c r="S358" i="3"/>
  <c r="BC358" i="4" s="1"/>
  <c r="O358" i="3"/>
  <c r="P358" i="3" s="1"/>
  <c r="K358" i="3"/>
  <c r="BA358" i="4" s="1"/>
  <c r="G358" i="3"/>
  <c r="BB358" i="4" s="1"/>
  <c r="BK357" i="3"/>
  <c r="BJ357" i="3"/>
  <c r="BF357" i="3"/>
  <c r="BC357" i="3"/>
  <c r="AZ357" i="3"/>
  <c r="AW357" i="3"/>
  <c r="AT357" i="3"/>
  <c r="AQ357" i="3"/>
  <c r="AN357" i="3"/>
  <c r="AK357" i="3"/>
  <c r="AH357" i="3"/>
  <c r="AD357" i="3"/>
  <c r="AE357" i="3" s="1"/>
  <c r="V357" i="3"/>
  <c r="T357" i="3"/>
  <c r="S357" i="3"/>
  <c r="BC357" i="4" s="1"/>
  <c r="P357" i="3"/>
  <c r="O357" i="3"/>
  <c r="L357" i="3"/>
  <c r="K357" i="3"/>
  <c r="BA357" i="4" s="1"/>
  <c r="H357" i="3"/>
  <c r="G357" i="3"/>
  <c r="BB357" i="4" s="1"/>
  <c r="BK356" i="3"/>
  <c r="BJ356" i="3"/>
  <c r="BF356" i="3"/>
  <c r="BC356" i="3"/>
  <c r="AZ356" i="3"/>
  <c r="AW356" i="3"/>
  <c r="AT356" i="3"/>
  <c r="AQ356" i="3"/>
  <c r="AN356" i="3"/>
  <c r="AK356" i="3"/>
  <c r="AH356" i="3"/>
  <c r="AE356" i="3"/>
  <c r="AD356" i="3"/>
  <c r="V356" i="3"/>
  <c r="S356" i="3"/>
  <c r="BC356" i="4" s="1"/>
  <c r="O356" i="3"/>
  <c r="P356" i="3" s="1"/>
  <c r="K356" i="3"/>
  <c r="BA356" i="4" s="1"/>
  <c r="G356" i="3"/>
  <c r="BB356" i="4" s="1"/>
  <c r="BK355" i="3"/>
  <c r="BJ355" i="3"/>
  <c r="BF355" i="3"/>
  <c r="BC355" i="3"/>
  <c r="AZ355" i="3"/>
  <c r="AW355" i="3"/>
  <c r="AT355" i="3"/>
  <c r="AQ355" i="3"/>
  <c r="AN355" i="3"/>
  <c r="AK355" i="3"/>
  <c r="AH355" i="3"/>
  <c r="AE355" i="3"/>
  <c r="AD355" i="3"/>
  <c r="V355" i="3"/>
  <c r="T355" i="3"/>
  <c r="S355" i="3"/>
  <c r="BC355" i="4" s="1"/>
  <c r="P355" i="3"/>
  <c r="O355" i="3"/>
  <c r="L355" i="3"/>
  <c r="K355" i="3"/>
  <c r="BA355" i="4" s="1"/>
  <c r="H355" i="3"/>
  <c r="G355" i="3"/>
  <c r="BB355" i="4" s="1"/>
  <c r="BK354" i="3"/>
  <c r="BJ354" i="3"/>
  <c r="BF354" i="3"/>
  <c r="BC354" i="3"/>
  <c r="AZ354" i="3"/>
  <c r="AW354" i="3"/>
  <c r="AT354" i="3"/>
  <c r="AQ354" i="3"/>
  <c r="AN354" i="3"/>
  <c r="AK354" i="3"/>
  <c r="AH354" i="3"/>
  <c r="AE354" i="3"/>
  <c r="AD354" i="3"/>
  <c r="V354" i="3"/>
  <c r="T354" i="3"/>
  <c r="S354" i="3"/>
  <c r="BC354" i="4" s="1"/>
  <c r="P354" i="3"/>
  <c r="O354" i="3"/>
  <c r="L354" i="3"/>
  <c r="K354" i="3"/>
  <c r="BA354" i="4" s="1"/>
  <c r="H354" i="3"/>
  <c r="G354" i="3"/>
  <c r="BB354" i="4" s="1"/>
  <c r="BK353" i="3"/>
  <c r="BJ353" i="3"/>
  <c r="BF353" i="3"/>
  <c r="BC353" i="3"/>
  <c r="AZ353" i="3"/>
  <c r="AW353" i="3"/>
  <c r="AT353" i="3"/>
  <c r="AQ353" i="3"/>
  <c r="AN353" i="3"/>
  <c r="AK353" i="3"/>
  <c r="AH353" i="3"/>
  <c r="AD353" i="3"/>
  <c r="AE353" i="3" s="1"/>
  <c r="V353" i="3"/>
  <c r="T353" i="3"/>
  <c r="S353" i="3"/>
  <c r="BC353" i="4" s="1"/>
  <c r="P353" i="3"/>
  <c r="O353" i="3"/>
  <c r="L353" i="3"/>
  <c r="K353" i="3"/>
  <c r="BA353" i="4" s="1"/>
  <c r="H353" i="3"/>
  <c r="G353" i="3"/>
  <c r="BB353" i="4" s="1"/>
  <c r="BK352" i="3"/>
  <c r="BJ352" i="3"/>
  <c r="BF352" i="3"/>
  <c r="BC352" i="3"/>
  <c r="AZ352" i="3"/>
  <c r="AW352" i="3"/>
  <c r="AT352" i="3"/>
  <c r="AQ352" i="3"/>
  <c r="AN352" i="3"/>
  <c r="AK352" i="3"/>
  <c r="AH352" i="3"/>
  <c r="AE352" i="3"/>
  <c r="AD352" i="3"/>
  <c r="V352" i="3"/>
  <c r="S352" i="3"/>
  <c r="BC352" i="4" s="1"/>
  <c r="O352" i="3"/>
  <c r="P352" i="3" s="1"/>
  <c r="K352" i="3"/>
  <c r="BA352" i="4" s="1"/>
  <c r="G352" i="3"/>
  <c r="BB352" i="4" s="1"/>
  <c r="BK351" i="3"/>
  <c r="BJ351" i="3"/>
  <c r="BF351" i="3"/>
  <c r="BC351" i="3"/>
  <c r="AZ351" i="3"/>
  <c r="AW351" i="3"/>
  <c r="AT351" i="3"/>
  <c r="AQ351" i="3"/>
  <c r="AN351" i="3"/>
  <c r="AK351" i="3"/>
  <c r="AH351" i="3"/>
  <c r="AD351" i="3"/>
  <c r="AE351" i="3" s="1"/>
  <c r="V351" i="3"/>
  <c r="T351" i="3"/>
  <c r="S351" i="3"/>
  <c r="BC351" i="4" s="1"/>
  <c r="P351" i="3"/>
  <c r="O351" i="3"/>
  <c r="L351" i="3"/>
  <c r="K351" i="3"/>
  <c r="BA351" i="4" s="1"/>
  <c r="H351" i="3"/>
  <c r="G351" i="3"/>
  <c r="BB351" i="4" s="1"/>
  <c r="BK350" i="3"/>
  <c r="BJ350" i="3"/>
  <c r="BF350" i="3"/>
  <c r="BC350" i="3"/>
  <c r="AZ350" i="3"/>
  <c r="AW350" i="3"/>
  <c r="AT350" i="3"/>
  <c r="AQ350" i="3"/>
  <c r="AN350" i="3"/>
  <c r="AK350" i="3"/>
  <c r="AH350" i="3"/>
  <c r="AE350" i="3"/>
  <c r="AD350" i="3"/>
  <c r="V350" i="3"/>
  <c r="S350" i="3"/>
  <c r="BC350" i="4" s="1"/>
  <c r="O350" i="3"/>
  <c r="P350" i="3" s="1"/>
  <c r="K350" i="3"/>
  <c r="BA350" i="4" s="1"/>
  <c r="G350" i="3"/>
  <c r="BB350" i="4" s="1"/>
  <c r="BK349" i="3"/>
  <c r="BJ349" i="3"/>
  <c r="BF349" i="3"/>
  <c r="BC349" i="3"/>
  <c r="AZ349" i="3"/>
  <c r="AW349" i="3"/>
  <c r="AT349" i="3"/>
  <c r="AQ349" i="3"/>
  <c r="AN349" i="3"/>
  <c r="AK349" i="3"/>
  <c r="AH349" i="3"/>
  <c r="AD349" i="3"/>
  <c r="AE349" i="3" s="1"/>
  <c r="V349" i="3"/>
  <c r="T349" i="3"/>
  <c r="S349" i="3"/>
  <c r="BC349" i="4" s="1"/>
  <c r="P349" i="3"/>
  <c r="O349" i="3"/>
  <c r="L349" i="3"/>
  <c r="K349" i="3"/>
  <c r="BA349" i="4" s="1"/>
  <c r="H349" i="3"/>
  <c r="G349" i="3"/>
  <c r="BB349" i="4" s="1"/>
  <c r="BK348" i="3"/>
  <c r="BJ348" i="3"/>
  <c r="BF348" i="3"/>
  <c r="BC348" i="3"/>
  <c r="AZ348" i="3"/>
  <c r="AW348" i="3"/>
  <c r="AT348" i="3"/>
  <c r="AQ348" i="3"/>
  <c r="AN348" i="3"/>
  <c r="AK348" i="3"/>
  <c r="AH348" i="3"/>
  <c r="AE348" i="3"/>
  <c r="AD348" i="3"/>
  <c r="V348" i="3"/>
  <c r="T348" i="3"/>
  <c r="S348" i="3"/>
  <c r="BC348" i="4" s="1"/>
  <c r="P348" i="3"/>
  <c r="O348" i="3"/>
  <c r="L348" i="3"/>
  <c r="K348" i="3"/>
  <c r="BA348" i="4" s="1"/>
  <c r="H348" i="3"/>
  <c r="G348" i="3"/>
  <c r="BB348" i="4" s="1"/>
  <c r="BK347" i="3"/>
  <c r="BJ347" i="3"/>
  <c r="BF347" i="3"/>
  <c r="BC347" i="3"/>
  <c r="AZ347" i="3"/>
  <c r="AW347" i="3"/>
  <c r="AT347" i="3"/>
  <c r="AQ347" i="3"/>
  <c r="AN347" i="3"/>
  <c r="AK347" i="3"/>
  <c r="AH347" i="3"/>
  <c r="AD347" i="3"/>
  <c r="AE347" i="3" s="1"/>
  <c r="V347" i="3"/>
  <c r="T347" i="3"/>
  <c r="S347" i="3"/>
  <c r="BC347" i="4" s="1"/>
  <c r="P347" i="3"/>
  <c r="O347" i="3"/>
  <c r="L347" i="3"/>
  <c r="K347" i="3"/>
  <c r="BA347" i="4" s="1"/>
  <c r="H347" i="3"/>
  <c r="G347" i="3"/>
  <c r="BB347" i="4" s="1"/>
  <c r="BK346" i="3"/>
  <c r="BJ346" i="3"/>
  <c r="BF346" i="3"/>
  <c r="BC346" i="3"/>
  <c r="AZ346" i="3"/>
  <c r="AW346" i="3"/>
  <c r="AT346" i="3"/>
  <c r="AQ346" i="3"/>
  <c r="AN346" i="3"/>
  <c r="AK346" i="3"/>
  <c r="AH346" i="3"/>
  <c r="AE346" i="3"/>
  <c r="AD346" i="3"/>
  <c r="V346" i="3"/>
  <c r="S346" i="3"/>
  <c r="BC346" i="4" s="1"/>
  <c r="O346" i="3"/>
  <c r="P346" i="3" s="1"/>
  <c r="K346" i="3"/>
  <c r="BA346" i="4" s="1"/>
  <c r="G346" i="3"/>
  <c r="BB346" i="4" s="1"/>
  <c r="BK345" i="3"/>
  <c r="BJ345" i="3"/>
  <c r="BF345" i="3"/>
  <c r="BC345" i="3"/>
  <c r="AZ345" i="3"/>
  <c r="AW345" i="3"/>
  <c r="AT345" i="3"/>
  <c r="AQ345" i="3"/>
  <c r="AN345" i="3"/>
  <c r="AK345" i="3"/>
  <c r="AH345" i="3"/>
  <c r="AD345" i="3"/>
  <c r="AE345" i="3" s="1"/>
  <c r="V345" i="3"/>
  <c r="T345" i="3"/>
  <c r="S345" i="3"/>
  <c r="BC345" i="4" s="1"/>
  <c r="P345" i="3"/>
  <c r="O345" i="3"/>
  <c r="L345" i="3"/>
  <c r="K345" i="3"/>
  <c r="BA345" i="4" s="1"/>
  <c r="H345" i="3"/>
  <c r="G345" i="3"/>
  <c r="BB345" i="4" s="1"/>
  <c r="BK344" i="3"/>
  <c r="BJ344" i="3"/>
  <c r="BF344" i="3"/>
  <c r="BC344" i="3"/>
  <c r="AZ344" i="3"/>
  <c r="AW344" i="3"/>
  <c r="AT344" i="3"/>
  <c r="AQ344" i="3"/>
  <c r="AN344" i="3"/>
  <c r="AK344" i="3"/>
  <c r="AH344" i="3"/>
  <c r="AE344" i="3"/>
  <c r="AD344" i="3"/>
  <c r="V344" i="3"/>
  <c r="S344" i="3"/>
  <c r="BC344" i="4" s="1"/>
  <c r="O344" i="3"/>
  <c r="P344" i="3" s="1"/>
  <c r="K344" i="3"/>
  <c r="BA344" i="4" s="1"/>
  <c r="G344" i="3"/>
  <c r="BB344" i="4" s="1"/>
  <c r="BK343" i="3"/>
  <c r="BJ343" i="3"/>
  <c r="BF343" i="3"/>
  <c r="BC343" i="3"/>
  <c r="AZ343" i="3"/>
  <c r="AW343" i="3"/>
  <c r="AT343" i="3"/>
  <c r="AQ343" i="3"/>
  <c r="AN343" i="3"/>
  <c r="AK343" i="3"/>
  <c r="AH343" i="3"/>
  <c r="AD343" i="3"/>
  <c r="AE343" i="3" s="1"/>
  <c r="V343" i="3"/>
  <c r="T343" i="3"/>
  <c r="S343" i="3"/>
  <c r="BC343" i="4" s="1"/>
  <c r="P343" i="3"/>
  <c r="O343" i="3"/>
  <c r="L343" i="3"/>
  <c r="K343" i="3"/>
  <c r="BA343" i="4" s="1"/>
  <c r="H343" i="3"/>
  <c r="G343" i="3"/>
  <c r="BB343" i="4" s="1"/>
  <c r="BK342" i="3"/>
  <c r="BJ342" i="3"/>
  <c r="BF342" i="3"/>
  <c r="BC342" i="3"/>
  <c r="AZ342" i="3"/>
  <c r="AW342" i="3"/>
  <c r="AT342" i="3"/>
  <c r="AQ342" i="3"/>
  <c r="AN342" i="3"/>
  <c r="AK342" i="3"/>
  <c r="AH342" i="3"/>
  <c r="AE342" i="3"/>
  <c r="AD342" i="3"/>
  <c r="V342" i="3"/>
  <c r="S342" i="3"/>
  <c r="BC342" i="4" s="1"/>
  <c r="O342" i="3"/>
  <c r="P342" i="3" s="1"/>
  <c r="K342" i="3"/>
  <c r="BA342" i="4" s="1"/>
  <c r="G342" i="3"/>
  <c r="BB342" i="4" s="1"/>
  <c r="BK341" i="3"/>
  <c r="BJ341" i="3"/>
  <c r="BF341" i="3"/>
  <c r="BC341" i="3"/>
  <c r="AZ341" i="3"/>
  <c r="AW341" i="3"/>
  <c r="AT341" i="3"/>
  <c r="AQ341" i="3"/>
  <c r="AN341" i="3"/>
  <c r="AK341" i="3"/>
  <c r="AH341" i="3"/>
  <c r="AE341" i="3"/>
  <c r="AD341" i="3"/>
  <c r="V341" i="3"/>
  <c r="T341" i="3"/>
  <c r="S341" i="3"/>
  <c r="BC341" i="4" s="1"/>
  <c r="P341" i="3"/>
  <c r="O341" i="3"/>
  <c r="L341" i="3"/>
  <c r="K341" i="3"/>
  <c r="BA341" i="4" s="1"/>
  <c r="H341" i="3"/>
  <c r="G341" i="3"/>
  <c r="BB341" i="4" s="1"/>
  <c r="BK340" i="3"/>
  <c r="BJ340" i="3"/>
  <c r="BF340" i="3"/>
  <c r="BC340" i="3"/>
  <c r="AZ340" i="3"/>
  <c r="AW340" i="3"/>
  <c r="AT340" i="3"/>
  <c r="AQ340" i="3"/>
  <c r="AN340" i="3"/>
  <c r="AK340" i="3"/>
  <c r="AH340" i="3"/>
  <c r="AE340" i="3"/>
  <c r="AD340" i="3"/>
  <c r="V340" i="3"/>
  <c r="S340" i="3"/>
  <c r="BC340" i="4" s="1"/>
  <c r="O340" i="3"/>
  <c r="P340" i="3" s="1"/>
  <c r="K340" i="3"/>
  <c r="BA340" i="4" s="1"/>
  <c r="G340" i="3"/>
  <c r="BB340" i="4" s="1"/>
  <c r="BK339" i="3"/>
  <c r="BJ339" i="3"/>
  <c r="BF339" i="3"/>
  <c r="BC339" i="3"/>
  <c r="AZ339" i="3"/>
  <c r="AW339" i="3"/>
  <c r="AT339" i="3"/>
  <c r="AQ339" i="3"/>
  <c r="AN339" i="3"/>
  <c r="AK339" i="3"/>
  <c r="AH339" i="3"/>
  <c r="AD339" i="3"/>
  <c r="AE339" i="3" s="1"/>
  <c r="V339" i="3"/>
  <c r="T339" i="3"/>
  <c r="S339" i="3"/>
  <c r="BC339" i="4" s="1"/>
  <c r="P339" i="3"/>
  <c r="O339" i="3"/>
  <c r="L339" i="3"/>
  <c r="K339" i="3"/>
  <c r="BA339" i="4" s="1"/>
  <c r="H339" i="3"/>
  <c r="G339" i="3"/>
  <c r="BB339" i="4" s="1"/>
  <c r="BK338" i="3"/>
  <c r="BJ338" i="3"/>
  <c r="BF338" i="3"/>
  <c r="BC338" i="3"/>
  <c r="AZ338" i="3"/>
  <c r="AW338" i="3"/>
  <c r="AT338" i="3"/>
  <c r="AQ338" i="3"/>
  <c r="AN338" i="3"/>
  <c r="AK338" i="3"/>
  <c r="AH338" i="3"/>
  <c r="AE338" i="3"/>
  <c r="AD338" i="3"/>
  <c r="V338" i="3"/>
  <c r="S338" i="3"/>
  <c r="BC338" i="4" s="1"/>
  <c r="O338" i="3"/>
  <c r="P338" i="3" s="1"/>
  <c r="K338" i="3"/>
  <c r="BA338" i="4" s="1"/>
  <c r="G338" i="3"/>
  <c r="BB338" i="4" s="1"/>
  <c r="BK337" i="3"/>
  <c r="BJ337" i="3"/>
  <c r="BF337" i="3"/>
  <c r="BC337" i="3"/>
  <c r="AZ337" i="3"/>
  <c r="AW337" i="3"/>
  <c r="AT337" i="3"/>
  <c r="AQ337" i="3"/>
  <c r="AN337" i="3"/>
  <c r="AK337" i="3"/>
  <c r="AH337" i="3"/>
  <c r="AD337" i="3"/>
  <c r="AE337" i="3" s="1"/>
  <c r="V337" i="3"/>
  <c r="T337" i="3"/>
  <c r="S337" i="3"/>
  <c r="BC337" i="4" s="1"/>
  <c r="P337" i="3"/>
  <c r="O337" i="3"/>
  <c r="L337" i="3"/>
  <c r="K337" i="3"/>
  <c r="BA337" i="4" s="1"/>
  <c r="H337" i="3"/>
  <c r="G337" i="3"/>
  <c r="BB337" i="4" s="1"/>
  <c r="BK336" i="3"/>
  <c r="BJ336" i="3"/>
  <c r="BF336" i="3"/>
  <c r="BC336" i="3"/>
  <c r="AZ336" i="3"/>
  <c r="AW336" i="3"/>
  <c r="AT336" i="3"/>
  <c r="AQ336" i="3"/>
  <c r="AN336" i="3"/>
  <c r="AK336" i="3"/>
  <c r="AH336" i="3"/>
  <c r="AE336" i="3"/>
  <c r="AD336" i="3"/>
  <c r="V336" i="3"/>
  <c r="S336" i="3"/>
  <c r="BC336" i="4" s="1"/>
  <c r="O336" i="3"/>
  <c r="P336" i="3" s="1"/>
  <c r="K336" i="3"/>
  <c r="BA336" i="4" s="1"/>
  <c r="G336" i="3"/>
  <c r="BB336" i="4" s="1"/>
  <c r="BK335" i="3"/>
  <c r="BJ335" i="3"/>
  <c r="BF335" i="3"/>
  <c r="BC335" i="3"/>
  <c r="AZ335" i="3"/>
  <c r="AW335" i="3"/>
  <c r="AT335" i="3"/>
  <c r="AQ335" i="3"/>
  <c r="AN335" i="3"/>
  <c r="AK335" i="3"/>
  <c r="AH335" i="3"/>
  <c r="AE335" i="3"/>
  <c r="AD335" i="3"/>
  <c r="V335" i="3"/>
  <c r="T335" i="3"/>
  <c r="S335" i="3"/>
  <c r="BC335" i="4" s="1"/>
  <c r="P335" i="3"/>
  <c r="O335" i="3"/>
  <c r="L335" i="3"/>
  <c r="K335" i="3"/>
  <c r="BA335" i="4" s="1"/>
  <c r="H335" i="3"/>
  <c r="G335" i="3"/>
  <c r="BB335" i="4" s="1"/>
  <c r="BK334" i="3"/>
  <c r="BJ334" i="3"/>
  <c r="BF334" i="3"/>
  <c r="BC334" i="3"/>
  <c r="AZ334" i="3"/>
  <c r="AW334" i="3"/>
  <c r="AT334" i="3"/>
  <c r="AQ334" i="3"/>
  <c r="AN334" i="3"/>
  <c r="AK334" i="3"/>
  <c r="AH334" i="3"/>
  <c r="AE334" i="3"/>
  <c r="AD334" i="3"/>
  <c r="V334" i="3"/>
  <c r="S334" i="3"/>
  <c r="BC334" i="4" s="1"/>
  <c r="O334" i="3"/>
  <c r="P334" i="3" s="1"/>
  <c r="K334" i="3"/>
  <c r="BA334" i="4" s="1"/>
  <c r="G334" i="3"/>
  <c r="BB334" i="4" s="1"/>
  <c r="BK333" i="3"/>
  <c r="BJ333" i="3"/>
  <c r="BF333" i="3"/>
  <c r="BC333" i="3"/>
  <c r="AZ333" i="3"/>
  <c r="AW333" i="3"/>
  <c r="AT333" i="3"/>
  <c r="AQ333" i="3"/>
  <c r="AN333" i="3"/>
  <c r="AK333" i="3"/>
  <c r="AH333" i="3"/>
  <c r="AE333" i="3"/>
  <c r="AD333" i="3"/>
  <c r="V333" i="3"/>
  <c r="T333" i="3"/>
  <c r="S333" i="3"/>
  <c r="BC333" i="4" s="1"/>
  <c r="P333" i="3"/>
  <c r="O333" i="3"/>
  <c r="L333" i="3"/>
  <c r="K333" i="3"/>
  <c r="BA333" i="4" s="1"/>
  <c r="H333" i="3"/>
  <c r="G333" i="3"/>
  <c r="BB333" i="4" s="1"/>
  <c r="BK332" i="3"/>
  <c r="BJ332" i="3"/>
  <c r="BF332" i="3"/>
  <c r="BC332" i="3"/>
  <c r="AZ332" i="3"/>
  <c r="AW332" i="3"/>
  <c r="AT332" i="3"/>
  <c r="AQ332" i="3"/>
  <c r="AN332" i="3"/>
  <c r="AK332" i="3"/>
  <c r="AH332" i="3"/>
  <c r="AE332" i="3"/>
  <c r="AD332" i="3"/>
  <c r="V332" i="3"/>
  <c r="S332" i="3"/>
  <c r="BC332" i="4" s="1"/>
  <c r="O332" i="3"/>
  <c r="P332" i="3" s="1"/>
  <c r="K332" i="3"/>
  <c r="BA332" i="4" s="1"/>
  <c r="G332" i="3"/>
  <c r="BB332" i="4" s="1"/>
  <c r="BK331" i="3"/>
  <c r="BJ331" i="3"/>
  <c r="BF331" i="3"/>
  <c r="BC331" i="3"/>
  <c r="AZ331" i="3"/>
  <c r="AW331" i="3"/>
  <c r="AT331" i="3"/>
  <c r="AQ331" i="3"/>
  <c r="AN331" i="3"/>
  <c r="AK331" i="3"/>
  <c r="AH331" i="3"/>
  <c r="AD331" i="3"/>
  <c r="AE331" i="3" s="1"/>
  <c r="V331" i="3"/>
  <c r="T331" i="3"/>
  <c r="S331" i="3"/>
  <c r="BC331" i="4" s="1"/>
  <c r="P331" i="3"/>
  <c r="O331" i="3"/>
  <c r="L331" i="3"/>
  <c r="K331" i="3"/>
  <c r="BA331" i="4" s="1"/>
  <c r="H331" i="3"/>
  <c r="G331" i="3"/>
  <c r="BB331" i="4" s="1"/>
  <c r="BK330" i="3"/>
  <c r="BJ330" i="3"/>
  <c r="BF330" i="3"/>
  <c r="BC330" i="3"/>
  <c r="AZ330" i="3"/>
  <c r="AW330" i="3"/>
  <c r="AT330" i="3"/>
  <c r="AQ330" i="3"/>
  <c r="AN330" i="3"/>
  <c r="AK330" i="3"/>
  <c r="AH330" i="3"/>
  <c r="AE330" i="3"/>
  <c r="AD330" i="3"/>
  <c r="V330" i="3"/>
  <c r="S330" i="3"/>
  <c r="BC330" i="4" s="1"/>
  <c r="O330" i="3"/>
  <c r="P330" i="3" s="1"/>
  <c r="K330" i="3"/>
  <c r="BA330" i="4" s="1"/>
  <c r="G330" i="3"/>
  <c r="BB330" i="4" s="1"/>
  <c r="BK329" i="3"/>
  <c r="BJ329" i="3"/>
  <c r="BF329" i="3"/>
  <c r="BC329" i="3"/>
  <c r="AZ329" i="3"/>
  <c r="AW329" i="3"/>
  <c r="AT329" i="3"/>
  <c r="AQ329" i="3"/>
  <c r="AN329" i="3"/>
  <c r="AK329" i="3"/>
  <c r="AH329" i="3"/>
  <c r="AE329" i="3"/>
  <c r="AD329" i="3"/>
  <c r="V329" i="3"/>
  <c r="T329" i="3"/>
  <c r="S329" i="3"/>
  <c r="BC329" i="4" s="1"/>
  <c r="P329" i="3"/>
  <c r="O329" i="3"/>
  <c r="L329" i="3"/>
  <c r="K329" i="3"/>
  <c r="BA329" i="4" s="1"/>
  <c r="H329" i="3"/>
  <c r="G329" i="3"/>
  <c r="BB329" i="4" s="1"/>
  <c r="BK328" i="3"/>
  <c r="BJ328" i="3"/>
  <c r="BF328" i="3"/>
  <c r="BC328" i="3"/>
  <c r="AZ328" i="3"/>
  <c r="AW328" i="3"/>
  <c r="AT328" i="3"/>
  <c r="AQ328" i="3"/>
  <c r="AN328" i="3"/>
  <c r="AK328" i="3"/>
  <c r="AH328" i="3"/>
  <c r="AE328" i="3"/>
  <c r="AD328" i="3"/>
  <c r="V328" i="3"/>
  <c r="T328" i="3"/>
  <c r="S328" i="3"/>
  <c r="BC328" i="4" s="1"/>
  <c r="P328" i="3"/>
  <c r="O328" i="3"/>
  <c r="L328" i="3"/>
  <c r="K328" i="3"/>
  <c r="BA328" i="4" s="1"/>
  <c r="H328" i="3"/>
  <c r="G328" i="3"/>
  <c r="BB328" i="4" s="1"/>
  <c r="BK327" i="3"/>
  <c r="BJ327" i="3"/>
  <c r="BF327" i="3"/>
  <c r="BC327" i="3"/>
  <c r="AZ327" i="3"/>
  <c r="AW327" i="3"/>
  <c r="AT327" i="3"/>
  <c r="AQ327" i="3"/>
  <c r="AN327" i="3"/>
  <c r="AK327" i="3"/>
  <c r="AH327" i="3"/>
  <c r="AE327" i="3"/>
  <c r="AD327" i="3"/>
  <c r="V327" i="3"/>
  <c r="T327" i="3"/>
  <c r="S327" i="3"/>
  <c r="BC327" i="4" s="1"/>
  <c r="P327" i="3"/>
  <c r="O327" i="3"/>
  <c r="L327" i="3"/>
  <c r="K327" i="3"/>
  <c r="BA327" i="4" s="1"/>
  <c r="H327" i="3"/>
  <c r="G327" i="3"/>
  <c r="BB327" i="4" s="1"/>
  <c r="BK326" i="3"/>
  <c r="BJ326" i="3"/>
  <c r="BF326" i="3"/>
  <c r="BC326" i="3"/>
  <c r="AZ326" i="3"/>
  <c r="AW326" i="3"/>
  <c r="AT326" i="3"/>
  <c r="AQ326" i="3"/>
  <c r="AN326" i="3"/>
  <c r="AK326" i="3"/>
  <c r="AH326" i="3"/>
  <c r="AE326" i="3"/>
  <c r="AD326" i="3"/>
  <c r="V326" i="3"/>
  <c r="S326" i="3"/>
  <c r="BC326" i="4" s="1"/>
  <c r="O326" i="3"/>
  <c r="P326" i="3" s="1"/>
  <c r="K326" i="3"/>
  <c r="BA326" i="4" s="1"/>
  <c r="G326" i="3"/>
  <c r="BB326" i="4" s="1"/>
  <c r="BK325" i="3"/>
  <c r="BJ325" i="3"/>
  <c r="BF325" i="3"/>
  <c r="BC325" i="3"/>
  <c r="AZ325" i="3"/>
  <c r="AW325" i="3"/>
  <c r="AT325" i="3"/>
  <c r="AQ325" i="3"/>
  <c r="AN325" i="3"/>
  <c r="AK325" i="3"/>
  <c r="AH325" i="3"/>
  <c r="AD325" i="3"/>
  <c r="AE325" i="3" s="1"/>
  <c r="V325" i="3"/>
  <c r="T325" i="3"/>
  <c r="S325" i="3"/>
  <c r="BC325" i="4" s="1"/>
  <c r="P325" i="3"/>
  <c r="O325" i="3"/>
  <c r="L325" i="3"/>
  <c r="K325" i="3"/>
  <c r="BA325" i="4" s="1"/>
  <c r="H325" i="3"/>
  <c r="G325" i="3"/>
  <c r="BB325" i="4" s="1"/>
  <c r="BK324" i="3"/>
  <c r="BJ324" i="3"/>
  <c r="BF324" i="3"/>
  <c r="BC324" i="3"/>
  <c r="AZ324" i="3"/>
  <c r="AW324" i="3"/>
  <c r="AT324" i="3"/>
  <c r="AQ324" i="3"/>
  <c r="AN324" i="3"/>
  <c r="AK324" i="3"/>
  <c r="AH324" i="3"/>
  <c r="AE324" i="3"/>
  <c r="AD324" i="3"/>
  <c r="V324" i="3"/>
  <c r="S324" i="3"/>
  <c r="BC324" i="4" s="1"/>
  <c r="O324" i="3"/>
  <c r="P324" i="3" s="1"/>
  <c r="K324" i="3"/>
  <c r="BA324" i="4" s="1"/>
  <c r="G324" i="3"/>
  <c r="BB324" i="4" s="1"/>
  <c r="BK323" i="3"/>
  <c r="BJ323" i="3"/>
  <c r="BF323" i="3"/>
  <c r="BC323" i="3"/>
  <c r="AZ323" i="3"/>
  <c r="AW323" i="3"/>
  <c r="AT323" i="3"/>
  <c r="AQ323" i="3"/>
  <c r="AN323" i="3"/>
  <c r="AK323" i="3"/>
  <c r="AH323" i="3"/>
  <c r="AD323" i="3"/>
  <c r="AE323" i="3" s="1"/>
  <c r="V323" i="3"/>
  <c r="T323" i="3"/>
  <c r="S323" i="3"/>
  <c r="BC323" i="4" s="1"/>
  <c r="P323" i="3"/>
  <c r="O323" i="3"/>
  <c r="L323" i="3"/>
  <c r="K323" i="3"/>
  <c r="BA323" i="4" s="1"/>
  <c r="H323" i="3"/>
  <c r="G323" i="3"/>
  <c r="BB323" i="4" s="1"/>
  <c r="BK322" i="3"/>
  <c r="BJ322" i="3"/>
  <c r="BF322" i="3"/>
  <c r="BC322" i="3"/>
  <c r="AZ322" i="3"/>
  <c r="AW322" i="3"/>
  <c r="AT322" i="3"/>
  <c r="AQ322" i="3"/>
  <c r="AN322" i="3"/>
  <c r="AK322" i="3"/>
  <c r="AH322" i="3"/>
  <c r="AE322" i="3"/>
  <c r="AD322" i="3"/>
  <c r="V322" i="3"/>
  <c r="S322" i="3"/>
  <c r="BC322" i="4" s="1"/>
  <c r="O322" i="3"/>
  <c r="P322" i="3" s="1"/>
  <c r="K322" i="3"/>
  <c r="BA322" i="4" s="1"/>
  <c r="G322" i="3"/>
  <c r="BB322" i="4" s="1"/>
  <c r="BK321" i="3"/>
  <c r="BJ321" i="3"/>
  <c r="BF321" i="3"/>
  <c r="BC321" i="3"/>
  <c r="AZ321" i="3"/>
  <c r="AW321" i="3"/>
  <c r="AT321" i="3"/>
  <c r="AQ321" i="3"/>
  <c r="AN321" i="3"/>
  <c r="AK321" i="3"/>
  <c r="AH321" i="3"/>
  <c r="AD321" i="3"/>
  <c r="AE321" i="3" s="1"/>
  <c r="V321" i="3"/>
  <c r="T321" i="3"/>
  <c r="S321" i="3"/>
  <c r="BC321" i="4" s="1"/>
  <c r="P321" i="3"/>
  <c r="O321" i="3"/>
  <c r="L321" i="3"/>
  <c r="K321" i="3"/>
  <c r="BA321" i="4" s="1"/>
  <c r="H321" i="3"/>
  <c r="G321" i="3"/>
  <c r="BB321" i="4" s="1"/>
  <c r="BK320" i="3"/>
  <c r="BJ320" i="3"/>
  <c r="BF320" i="3"/>
  <c r="BC320" i="3"/>
  <c r="AZ320" i="3"/>
  <c r="AW320" i="3"/>
  <c r="AT320" i="3"/>
  <c r="AQ320" i="3"/>
  <c r="AN320" i="3"/>
  <c r="AK320" i="3"/>
  <c r="AH320" i="3"/>
  <c r="AE320" i="3"/>
  <c r="AD320" i="3"/>
  <c r="V320" i="3"/>
  <c r="T320" i="3"/>
  <c r="S320" i="3"/>
  <c r="BC320" i="4" s="1"/>
  <c r="P320" i="3"/>
  <c r="O320" i="3"/>
  <c r="L320" i="3"/>
  <c r="K320" i="3"/>
  <c r="BA320" i="4" s="1"/>
  <c r="H320" i="3"/>
  <c r="G320" i="3"/>
  <c r="BB320" i="4" s="1"/>
  <c r="BK319" i="3"/>
  <c r="BJ319" i="3"/>
  <c r="BF319" i="3"/>
  <c r="BC319" i="3"/>
  <c r="AZ319" i="3"/>
  <c r="AW319" i="3"/>
  <c r="AT319" i="3"/>
  <c r="AQ319" i="3"/>
  <c r="AN319" i="3"/>
  <c r="AK319" i="3"/>
  <c r="AH319" i="3"/>
  <c r="AE319" i="3"/>
  <c r="AD319" i="3"/>
  <c r="V319" i="3"/>
  <c r="T319" i="3"/>
  <c r="S319" i="3"/>
  <c r="BC319" i="4" s="1"/>
  <c r="P319" i="3"/>
  <c r="O319" i="3"/>
  <c r="L319" i="3"/>
  <c r="K319" i="3"/>
  <c r="BA319" i="4" s="1"/>
  <c r="H319" i="3"/>
  <c r="G319" i="3"/>
  <c r="BB319" i="4" s="1"/>
  <c r="BK318" i="3"/>
  <c r="BJ318" i="3"/>
  <c r="BF318" i="3"/>
  <c r="BC318" i="3"/>
  <c r="AZ318" i="3"/>
  <c r="AW318" i="3"/>
  <c r="AT318" i="3"/>
  <c r="AQ318" i="3"/>
  <c r="AN318" i="3"/>
  <c r="AK318" i="3"/>
  <c r="AH318" i="3"/>
  <c r="AE318" i="3"/>
  <c r="AD318" i="3"/>
  <c r="V318" i="3"/>
  <c r="T318" i="3"/>
  <c r="S318" i="3"/>
  <c r="BC318" i="4" s="1"/>
  <c r="P318" i="3"/>
  <c r="O318" i="3"/>
  <c r="L318" i="3"/>
  <c r="K318" i="3"/>
  <c r="BA318" i="4" s="1"/>
  <c r="H318" i="3"/>
  <c r="G318" i="3"/>
  <c r="BB318" i="4" s="1"/>
  <c r="BK317" i="3"/>
  <c r="BJ317" i="3"/>
  <c r="BF317" i="3"/>
  <c r="BC317" i="3"/>
  <c r="AZ317" i="3"/>
  <c r="AW317" i="3"/>
  <c r="AT317" i="3"/>
  <c r="AQ317" i="3"/>
  <c r="AN317" i="3"/>
  <c r="AK317" i="3"/>
  <c r="AH317" i="3"/>
  <c r="AD317" i="3"/>
  <c r="AE317" i="3" s="1"/>
  <c r="V317" i="3"/>
  <c r="T317" i="3"/>
  <c r="S317" i="3"/>
  <c r="BC317" i="4" s="1"/>
  <c r="P317" i="3"/>
  <c r="O317" i="3"/>
  <c r="L317" i="3"/>
  <c r="K317" i="3"/>
  <c r="BA317" i="4" s="1"/>
  <c r="H317" i="3"/>
  <c r="G317" i="3"/>
  <c r="BB317" i="4" s="1"/>
  <c r="BK316" i="3"/>
  <c r="BJ316" i="3"/>
  <c r="BF316" i="3"/>
  <c r="BC316" i="3"/>
  <c r="AZ316" i="3"/>
  <c r="AW316" i="3"/>
  <c r="AT316" i="3"/>
  <c r="AQ316" i="3"/>
  <c r="AN316" i="3"/>
  <c r="AK316" i="3"/>
  <c r="AH316" i="3"/>
  <c r="AE316" i="3"/>
  <c r="AD316" i="3"/>
  <c r="V316" i="3"/>
  <c r="S316" i="3"/>
  <c r="BC316" i="4" s="1"/>
  <c r="O316" i="3"/>
  <c r="P316" i="3" s="1"/>
  <c r="K316" i="3"/>
  <c r="BA316" i="4" s="1"/>
  <c r="G316" i="3"/>
  <c r="BB316" i="4" s="1"/>
  <c r="BK315" i="3"/>
  <c r="BJ315" i="3"/>
  <c r="BF315" i="3"/>
  <c r="BC315" i="3"/>
  <c r="AZ315" i="3"/>
  <c r="AW315" i="3"/>
  <c r="AT315" i="3"/>
  <c r="AQ315" i="3"/>
  <c r="AN315" i="3"/>
  <c r="AK315" i="3"/>
  <c r="AH315" i="3"/>
  <c r="AD315" i="3"/>
  <c r="AE315" i="3" s="1"/>
  <c r="V315" i="3"/>
  <c r="T315" i="3"/>
  <c r="S315" i="3"/>
  <c r="BC315" i="4" s="1"/>
  <c r="P315" i="3"/>
  <c r="O315" i="3"/>
  <c r="L315" i="3"/>
  <c r="K315" i="3"/>
  <c r="BA315" i="4" s="1"/>
  <c r="H315" i="3"/>
  <c r="G315" i="3"/>
  <c r="BB315" i="4" s="1"/>
  <c r="BK314" i="3"/>
  <c r="BJ314" i="3"/>
  <c r="BF314" i="3"/>
  <c r="BC314" i="3"/>
  <c r="AZ314" i="3"/>
  <c r="AW314" i="3"/>
  <c r="AT314" i="3"/>
  <c r="AQ314" i="3"/>
  <c r="AN314" i="3"/>
  <c r="AK314" i="3"/>
  <c r="AH314" i="3"/>
  <c r="AE314" i="3"/>
  <c r="AD314" i="3"/>
  <c r="V314" i="3"/>
  <c r="S314" i="3"/>
  <c r="BC314" i="4" s="1"/>
  <c r="O314" i="3"/>
  <c r="P314" i="3" s="1"/>
  <c r="K314" i="3"/>
  <c r="BA314" i="4" s="1"/>
  <c r="G314" i="3"/>
  <c r="BB314" i="4" s="1"/>
  <c r="BK313" i="3"/>
  <c r="BJ313" i="3"/>
  <c r="BF313" i="3"/>
  <c r="BC313" i="3"/>
  <c r="AZ313" i="3"/>
  <c r="AW313" i="3"/>
  <c r="AT313" i="3"/>
  <c r="AQ313" i="3"/>
  <c r="AN313" i="3"/>
  <c r="AK313" i="3"/>
  <c r="AH313" i="3"/>
  <c r="AE313" i="3"/>
  <c r="AD313" i="3"/>
  <c r="V313" i="3"/>
  <c r="T313" i="3"/>
  <c r="S313" i="3"/>
  <c r="BC313" i="4" s="1"/>
  <c r="P313" i="3"/>
  <c r="O313" i="3"/>
  <c r="L313" i="3"/>
  <c r="K313" i="3"/>
  <c r="BA313" i="4" s="1"/>
  <c r="H313" i="3"/>
  <c r="G313" i="3"/>
  <c r="BB313" i="4" s="1"/>
  <c r="BK312" i="3"/>
  <c r="BJ312" i="3"/>
  <c r="BF312" i="3"/>
  <c r="BC312" i="3"/>
  <c r="AZ312" i="3"/>
  <c r="AW312" i="3"/>
  <c r="AT312" i="3"/>
  <c r="AQ312" i="3"/>
  <c r="AN312" i="3"/>
  <c r="AK312" i="3"/>
  <c r="AH312" i="3"/>
  <c r="AE312" i="3"/>
  <c r="AD312" i="3"/>
  <c r="V312" i="3"/>
  <c r="S312" i="3"/>
  <c r="BC312" i="4" s="1"/>
  <c r="O312" i="3"/>
  <c r="P312" i="3" s="1"/>
  <c r="K312" i="3"/>
  <c r="BA312" i="4" s="1"/>
  <c r="G312" i="3"/>
  <c r="BB312" i="4" s="1"/>
  <c r="BK311" i="3"/>
  <c r="BJ311" i="3"/>
  <c r="BF311" i="3"/>
  <c r="BC311" i="3"/>
  <c r="AZ311" i="3"/>
  <c r="AW311" i="3"/>
  <c r="AT311" i="3"/>
  <c r="AQ311" i="3"/>
  <c r="AN311" i="3"/>
  <c r="AK311" i="3"/>
  <c r="AH311" i="3"/>
  <c r="AD311" i="3"/>
  <c r="AE311" i="3" s="1"/>
  <c r="V311" i="3"/>
  <c r="T311" i="3"/>
  <c r="S311" i="3"/>
  <c r="BC311" i="4" s="1"/>
  <c r="P311" i="3"/>
  <c r="O311" i="3"/>
  <c r="L311" i="3"/>
  <c r="K311" i="3"/>
  <c r="BA311" i="4" s="1"/>
  <c r="H311" i="3"/>
  <c r="G311" i="3"/>
  <c r="BB311" i="4" s="1"/>
  <c r="BK310" i="3"/>
  <c r="BJ310" i="3"/>
  <c r="BF310" i="3"/>
  <c r="BC310" i="3"/>
  <c r="AZ310" i="3"/>
  <c r="AW310" i="3"/>
  <c r="AT310" i="3"/>
  <c r="AQ310" i="3"/>
  <c r="AN310" i="3"/>
  <c r="AK310" i="3"/>
  <c r="AH310" i="3"/>
  <c r="AE310" i="3"/>
  <c r="AD310" i="3"/>
  <c r="V310" i="3"/>
  <c r="S310" i="3"/>
  <c r="BC310" i="4" s="1"/>
  <c r="O310" i="3"/>
  <c r="P310" i="3" s="1"/>
  <c r="K310" i="3"/>
  <c r="BA310" i="4" s="1"/>
  <c r="G310" i="3"/>
  <c r="BB310" i="4" s="1"/>
  <c r="BK309" i="3"/>
  <c r="BJ309" i="3"/>
  <c r="BF309" i="3"/>
  <c r="BC309" i="3"/>
  <c r="AZ309" i="3"/>
  <c r="AW309" i="3"/>
  <c r="AT309" i="3"/>
  <c r="AQ309" i="3"/>
  <c r="AN309" i="3"/>
  <c r="AK309" i="3"/>
  <c r="AH309" i="3"/>
  <c r="AD309" i="3"/>
  <c r="AE309" i="3" s="1"/>
  <c r="V309" i="3"/>
  <c r="T309" i="3"/>
  <c r="S309" i="3"/>
  <c r="BC309" i="4" s="1"/>
  <c r="P309" i="3"/>
  <c r="O309" i="3"/>
  <c r="L309" i="3"/>
  <c r="K309" i="3"/>
  <c r="BA309" i="4" s="1"/>
  <c r="H309" i="3"/>
  <c r="G309" i="3"/>
  <c r="BB309" i="4" s="1"/>
  <c r="BK308" i="3"/>
  <c r="BJ308" i="3"/>
  <c r="BF308" i="3"/>
  <c r="BC308" i="3"/>
  <c r="AZ308" i="3"/>
  <c r="AW308" i="3"/>
  <c r="AT308" i="3"/>
  <c r="AQ308" i="3"/>
  <c r="AN308" i="3"/>
  <c r="AK308" i="3"/>
  <c r="AH308" i="3"/>
  <c r="AE308" i="3"/>
  <c r="AD308" i="3"/>
  <c r="V308" i="3"/>
  <c r="S308" i="3"/>
  <c r="BC308" i="4" s="1"/>
  <c r="O308" i="3"/>
  <c r="P308" i="3" s="1"/>
  <c r="K308" i="3"/>
  <c r="BA308" i="4" s="1"/>
  <c r="G308" i="3"/>
  <c r="BB308" i="4" s="1"/>
  <c r="BK307" i="3"/>
  <c r="BJ307" i="3"/>
  <c r="BF307" i="3"/>
  <c r="BC307" i="3"/>
  <c r="AZ307" i="3"/>
  <c r="AW307" i="3"/>
  <c r="AT307" i="3"/>
  <c r="AQ307" i="3"/>
  <c r="AN307" i="3"/>
  <c r="AK307" i="3"/>
  <c r="AH307" i="3"/>
  <c r="AD307" i="3"/>
  <c r="AE307" i="3" s="1"/>
  <c r="V307" i="3"/>
  <c r="T307" i="3"/>
  <c r="S307" i="3"/>
  <c r="BC307" i="4" s="1"/>
  <c r="P307" i="3"/>
  <c r="O307" i="3"/>
  <c r="L307" i="3"/>
  <c r="K307" i="3"/>
  <c r="BA307" i="4" s="1"/>
  <c r="H307" i="3"/>
  <c r="G307" i="3"/>
  <c r="BB307" i="4" s="1"/>
  <c r="BK306" i="3"/>
  <c r="BJ306" i="3"/>
  <c r="BF306" i="3"/>
  <c r="BC306" i="3"/>
  <c r="AZ306" i="3"/>
  <c r="AW306" i="3"/>
  <c r="AT306" i="3"/>
  <c r="AQ306" i="3"/>
  <c r="AN306" i="3"/>
  <c r="AK306" i="3"/>
  <c r="AH306" i="3"/>
  <c r="AE306" i="3"/>
  <c r="AD306" i="3"/>
  <c r="V306" i="3"/>
  <c r="T306" i="3"/>
  <c r="S306" i="3"/>
  <c r="BC306" i="4" s="1"/>
  <c r="P306" i="3"/>
  <c r="O306" i="3"/>
  <c r="L306" i="3"/>
  <c r="K306" i="3"/>
  <c r="BA306" i="4" s="1"/>
  <c r="H306" i="3"/>
  <c r="G306" i="3"/>
  <c r="BB306" i="4" s="1"/>
  <c r="BK305" i="3"/>
  <c r="BJ305" i="3"/>
  <c r="BF305" i="3"/>
  <c r="BC305" i="3"/>
  <c r="AZ305" i="3"/>
  <c r="AW305" i="3"/>
  <c r="AT305" i="3"/>
  <c r="AQ305" i="3"/>
  <c r="AN305" i="3"/>
  <c r="AK305" i="3"/>
  <c r="AH305" i="3"/>
  <c r="AD305" i="3"/>
  <c r="AE305" i="3" s="1"/>
  <c r="V305" i="3"/>
  <c r="T305" i="3"/>
  <c r="S305" i="3"/>
  <c r="BC305" i="4" s="1"/>
  <c r="P305" i="3"/>
  <c r="O305" i="3"/>
  <c r="L305" i="3"/>
  <c r="K305" i="3"/>
  <c r="BA305" i="4" s="1"/>
  <c r="H305" i="3"/>
  <c r="G305" i="3"/>
  <c r="BB305" i="4" s="1"/>
  <c r="BK304" i="3"/>
  <c r="BJ304" i="3"/>
  <c r="BF304" i="3"/>
  <c r="BC304" i="3"/>
  <c r="AZ304" i="3"/>
  <c r="AW304" i="3"/>
  <c r="AT304" i="3"/>
  <c r="AQ304" i="3"/>
  <c r="AN304" i="3"/>
  <c r="AK304" i="3"/>
  <c r="AH304" i="3"/>
  <c r="AE304" i="3"/>
  <c r="AD304" i="3"/>
  <c r="V304" i="3"/>
  <c r="S304" i="3"/>
  <c r="BC304" i="4" s="1"/>
  <c r="O304" i="3"/>
  <c r="P304" i="3" s="1"/>
  <c r="K304" i="3"/>
  <c r="BA304" i="4" s="1"/>
  <c r="G304" i="3"/>
  <c r="BB304" i="4" s="1"/>
  <c r="BK303" i="3"/>
  <c r="BJ303" i="3"/>
  <c r="BF303" i="3"/>
  <c r="BC303" i="3"/>
  <c r="AZ303" i="3"/>
  <c r="AW303" i="3"/>
  <c r="AT303" i="3"/>
  <c r="AQ303" i="3"/>
  <c r="AN303" i="3"/>
  <c r="AK303" i="3"/>
  <c r="AH303" i="3"/>
  <c r="AD303" i="3"/>
  <c r="AE303" i="3" s="1"/>
  <c r="V303" i="3"/>
  <c r="T303" i="3"/>
  <c r="S303" i="3"/>
  <c r="BC303" i="4" s="1"/>
  <c r="P303" i="3"/>
  <c r="O303" i="3"/>
  <c r="L303" i="3"/>
  <c r="K303" i="3"/>
  <c r="BA303" i="4" s="1"/>
  <c r="H303" i="3"/>
  <c r="G303" i="3"/>
  <c r="BB303" i="4" s="1"/>
  <c r="BK302" i="3"/>
  <c r="BJ302" i="3"/>
  <c r="BF302" i="3"/>
  <c r="BC302" i="3"/>
  <c r="AZ302" i="3"/>
  <c r="AW302" i="3"/>
  <c r="AT302" i="3"/>
  <c r="AQ302" i="3"/>
  <c r="AN302" i="3"/>
  <c r="AK302" i="3"/>
  <c r="AH302" i="3"/>
  <c r="AE302" i="3"/>
  <c r="AD302" i="3"/>
  <c r="V302" i="3"/>
  <c r="S302" i="3"/>
  <c r="BC302" i="4" s="1"/>
  <c r="O302" i="3"/>
  <c r="P302" i="3" s="1"/>
  <c r="K302" i="3"/>
  <c r="BA302" i="4" s="1"/>
  <c r="G302" i="3"/>
  <c r="BB302" i="4" s="1"/>
  <c r="BK301" i="3"/>
  <c r="BJ301" i="3"/>
  <c r="BF301" i="3"/>
  <c r="BC301" i="3"/>
  <c r="AZ301" i="3"/>
  <c r="AW301" i="3"/>
  <c r="AT301" i="3"/>
  <c r="AQ301" i="3"/>
  <c r="AN301" i="3"/>
  <c r="AK301" i="3"/>
  <c r="AH301" i="3"/>
  <c r="AD301" i="3"/>
  <c r="AE301" i="3" s="1"/>
  <c r="V301" i="3"/>
  <c r="T301" i="3"/>
  <c r="S301" i="3"/>
  <c r="BC301" i="4" s="1"/>
  <c r="P301" i="3"/>
  <c r="O301" i="3"/>
  <c r="L301" i="3"/>
  <c r="K301" i="3"/>
  <c r="BA301" i="4" s="1"/>
  <c r="H301" i="3"/>
  <c r="G301" i="3"/>
  <c r="BB301" i="4" s="1"/>
  <c r="BK300" i="3"/>
  <c r="BJ300" i="3"/>
  <c r="BF300" i="3"/>
  <c r="BC300" i="3"/>
  <c r="AZ300" i="3"/>
  <c r="AW300" i="3"/>
  <c r="AT300" i="3"/>
  <c r="AQ300" i="3"/>
  <c r="AN300" i="3"/>
  <c r="AK300" i="3"/>
  <c r="AH300" i="3"/>
  <c r="AE300" i="3"/>
  <c r="AD300" i="3"/>
  <c r="V300" i="3"/>
  <c r="S300" i="3"/>
  <c r="BC300" i="4" s="1"/>
  <c r="O300" i="3"/>
  <c r="P300" i="3" s="1"/>
  <c r="K300" i="3"/>
  <c r="BA300" i="4" s="1"/>
  <c r="G300" i="3"/>
  <c r="BB300" i="4" s="1"/>
  <c r="BK299" i="3"/>
  <c r="BJ299" i="3"/>
  <c r="BF299" i="3"/>
  <c r="BC299" i="3"/>
  <c r="AZ299" i="3"/>
  <c r="AW299" i="3"/>
  <c r="AT299" i="3"/>
  <c r="AQ299" i="3"/>
  <c r="AN299" i="3"/>
  <c r="AK299" i="3"/>
  <c r="AH299" i="3"/>
  <c r="AE299" i="3"/>
  <c r="AD299" i="3"/>
  <c r="V299" i="3"/>
  <c r="T299" i="3"/>
  <c r="S299" i="3"/>
  <c r="BC299" i="4" s="1"/>
  <c r="P299" i="3"/>
  <c r="O299" i="3"/>
  <c r="L299" i="3"/>
  <c r="K299" i="3"/>
  <c r="BA299" i="4" s="1"/>
  <c r="H299" i="3"/>
  <c r="G299" i="3"/>
  <c r="BB299" i="4" s="1"/>
  <c r="BK298" i="3"/>
  <c r="BJ298" i="3"/>
  <c r="BF298" i="3"/>
  <c r="BC298" i="3"/>
  <c r="AZ298" i="3"/>
  <c r="AW298" i="3"/>
  <c r="AT298" i="3"/>
  <c r="AQ298" i="3"/>
  <c r="AN298" i="3"/>
  <c r="AK298" i="3"/>
  <c r="AH298" i="3"/>
  <c r="AE298" i="3"/>
  <c r="AD298" i="3"/>
  <c r="V298" i="3"/>
  <c r="S298" i="3"/>
  <c r="BC298" i="4" s="1"/>
  <c r="O298" i="3"/>
  <c r="P298" i="3" s="1"/>
  <c r="K298" i="3"/>
  <c r="BA298" i="4" s="1"/>
  <c r="G298" i="3"/>
  <c r="BB298" i="4" s="1"/>
  <c r="BK297" i="3"/>
  <c r="BJ297" i="3"/>
  <c r="BF297" i="3"/>
  <c r="BC297" i="3"/>
  <c r="AZ297" i="3"/>
  <c r="AW297" i="3"/>
  <c r="AT297" i="3"/>
  <c r="AQ297" i="3"/>
  <c r="AN297" i="3"/>
  <c r="AK297" i="3"/>
  <c r="AH297" i="3"/>
  <c r="AD297" i="3"/>
  <c r="AE297" i="3" s="1"/>
  <c r="V297" i="3"/>
  <c r="T297" i="3"/>
  <c r="S297" i="3"/>
  <c r="BC297" i="4" s="1"/>
  <c r="P297" i="3"/>
  <c r="O297" i="3"/>
  <c r="L297" i="3"/>
  <c r="K297" i="3"/>
  <c r="BA297" i="4" s="1"/>
  <c r="H297" i="3"/>
  <c r="G297" i="3"/>
  <c r="BB297" i="4" s="1"/>
  <c r="BK296" i="3"/>
  <c r="BJ296" i="3"/>
  <c r="BF296" i="3"/>
  <c r="BC296" i="3"/>
  <c r="AZ296" i="3"/>
  <c r="AW296" i="3"/>
  <c r="AT296" i="3"/>
  <c r="AQ296" i="3"/>
  <c r="AN296" i="3"/>
  <c r="AK296" i="3"/>
  <c r="AH296" i="3"/>
  <c r="AE296" i="3"/>
  <c r="AD296" i="3"/>
  <c r="V296" i="3"/>
  <c r="S296" i="3"/>
  <c r="BC296" i="4" s="1"/>
  <c r="O296" i="3"/>
  <c r="P296" i="3" s="1"/>
  <c r="K296" i="3"/>
  <c r="BA296" i="4" s="1"/>
  <c r="G296" i="3"/>
  <c r="BB296" i="4" s="1"/>
  <c r="BK295" i="3"/>
  <c r="BJ295" i="3"/>
  <c r="BF295" i="3"/>
  <c r="BC295" i="3"/>
  <c r="AZ295" i="3"/>
  <c r="AW295" i="3"/>
  <c r="AT295" i="3"/>
  <c r="AQ295" i="3"/>
  <c r="AN295" i="3"/>
  <c r="AK295" i="3"/>
  <c r="AH295" i="3"/>
  <c r="AD295" i="3"/>
  <c r="AE295" i="3" s="1"/>
  <c r="V295" i="3"/>
  <c r="T295" i="3"/>
  <c r="S295" i="3"/>
  <c r="BC295" i="4" s="1"/>
  <c r="P295" i="3"/>
  <c r="O295" i="3"/>
  <c r="L295" i="3"/>
  <c r="K295" i="3"/>
  <c r="BA295" i="4" s="1"/>
  <c r="H295" i="3"/>
  <c r="G295" i="3"/>
  <c r="BB295" i="4" s="1"/>
  <c r="BK294" i="3"/>
  <c r="BJ294" i="3"/>
  <c r="BF294" i="3"/>
  <c r="BC294" i="3"/>
  <c r="AZ294" i="3"/>
  <c r="AW294" i="3"/>
  <c r="AT294" i="3"/>
  <c r="AQ294" i="3"/>
  <c r="AN294" i="3"/>
  <c r="AK294" i="3"/>
  <c r="AH294" i="3"/>
  <c r="AE294" i="3"/>
  <c r="AD294" i="3"/>
  <c r="V294" i="3"/>
  <c r="S294" i="3"/>
  <c r="BC294" i="4" s="1"/>
  <c r="O294" i="3"/>
  <c r="P294" i="3" s="1"/>
  <c r="K294" i="3"/>
  <c r="BA294" i="4" s="1"/>
  <c r="G294" i="3"/>
  <c r="BB294" i="4" s="1"/>
  <c r="BK293" i="3"/>
  <c r="BJ293" i="3"/>
  <c r="BF293" i="3"/>
  <c r="BC293" i="3"/>
  <c r="AZ293" i="3"/>
  <c r="AW293" i="3"/>
  <c r="AT293" i="3"/>
  <c r="AQ293" i="3"/>
  <c r="AN293" i="3"/>
  <c r="AK293" i="3"/>
  <c r="AH293" i="3"/>
  <c r="AD293" i="3"/>
  <c r="AE293" i="3" s="1"/>
  <c r="V293" i="3"/>
  <c r="T293" i="3"/>
  <c r="S293" i="3"/>
  <c r="BC293" i="4" s="1"/>
  <c r="P293" i="3"/>
  <c r="O293" i="3"/>
  <c r="L293" i="3"/>
  <c r="K293" i="3"/>
  <c r="BA293" i="4" s="1"/>
  <c r="H293" i="3"/>
  <c r="G293" i="3"/>
  <c r="BB293" i="4" s="1"/>
  <c r="BK292" i="3"/>
  <c r="BJ292" i="3"/>
  <c r="BF292" i="3"/>
  <c r="BC292" i="3"/>
  <c r="AZ292" i="3"/>
  <c r="AW292" i="3"/>
  <c r="AT292" i="3"/>
  <c r="AQ292" i="3"/>
  <c r="AN292" i="3"/>
  <c r="AK292" i="3"/>
  <c r="AH292" i="3"/>
  <c r="AE292" i="3"/>
  <c r="AD292" i="3"/>
  <c r="V292" i="3"/>
  <c r="T292" i="3"/>
  <c r="S292" i="3"/>
  <c r="BC292" i="4" s="1"/>
  <c r="P292" i="3"/>
  <c r="O292" i="3"/>
  <c r="L292" i="3"/>
  <c r="K292" i="3"/>
  <c r="BA292" i="4" s="1"/>
  <c r="H292" i="3"/>
  <c r="G292" i="3"/>
  <c r="BB292" i="4" s="1"/>
  <c r="BK291" i="3"/>
  <c r="BJ291" i="3"/>
  <c r="BF291" i="3"/>
  <c r="BC291" i="3"/>
  <c r="AZ291" i="3"/>
  <c r="AW291" i="3"/>
  <c r="AT291" i="3"/>
  <c r="AQ291" i="3"/>
  <c r="AN291" i="3"/>
  <c r="AK291" i="3"/>
  <c r="AH291" i="3"/>
  <c r="AD291" i="3"/>
  <c r="AE291" i="3" s="1"/>
  <c r="V291" i="3"/>
  <c r="T291" i="3"/>
  <c r="S291" i="3"/>
  <c r="BC291" i="4" s="1"/>
  <c r="P291" i="3"/>
  <c r="O291" i="3"/>
  <c r="L291" i="3"/>
  <c r="K291" i="3"/>
  <c r="BA291" i="4" s="1"/>
  <c r="H291" i="3"/>
  <c r="G291" i="3"/>
  <c r="BB291" i="4" s="1"/>
  <c r="BK290" i="3"/>
  <c r="BJ290" i="3"/>
  <c r="BF290" i="3"/>
  <c r="BC290" i="3"/>
  <c r="AZ290" i="3"/>
  <c r="AW290" i="3"/>
  <c r="AT290" i="3"/>
  <c r="AQ290" i="3"/>
  <c r="AN290" i="3"/>
  <c r="AK290" i="3"/>
  <c r="AH290" i="3"/>
  <c r="AE290" i="3"/>
  <c r="AD290" i="3"/>
  <c r="V290" i="3"/>
  <c r="S290" i="3"/>
  <c r="BC290" i="4" s="1"/>
  <c r="O290" i="3"/>
  <c r="P290" i="3" s="1"/>
  <c r="K290" i="3"/>
  <c r="BA290" i="4" s="1"/>
  <c r="G290" i="3"/>
  <c r="BB290" i="4" s="1"/>
  <c r="BK289" i="3"/>
  <c r="BJ289" i="3"/>
  <c r="BF289" i="3"/>
  <c r="BC289" i="3"/>
  <c r="AZ289" i="3"/>
  <c r="AW289" i="3"/>
  <c r="AT289" i="3"/>
  <c r="AQ289" i="3"/>
  <c r="AN289" i="3"/>
  <c r="AK289" i="3"/>
  <c r="AH289" i="3"/>
  <c r="AD289" i="3"/>
  <c r="AE289" i="3" s="1"/>
  <c r="V289" i="3"/>
  <c r="T289" i="3"/>
  <c r="S289" i="3"/>
  <c r="BC289" i="4" s="1"/>
  <c r="P289" i="3"/>
  <c r="O289" i="3"/>
  <c r="L289" i="3"/>
  <c r="K289" i="3"/>
  <c r="BA289" i="4" s="1"/>
  <c r="H289" i="3"/>
  <c r="G289" i="3"/>
  <c r="BB289" i="4" s="1"/>
  <c r="BK288" i="3"/>
  <c r="BJ288" i="3"/>
  <c r="BF288" i="3"/>
  <c r="BC288" i="3"/>
  <c r="AZ288" i="3"/>
  <c r="AW288" i="3"/>
  <c r="AT288" i="3"/>
  <c r="AQ288" i="3"/>
  <c r="AN288" i="3"/>
  <c r="AK288" i="3"/>
  <c r="AH288" i="3"/>
  <c r="AE288" i="3"/>
  <c r="AD288" i="3"/>
  <c r="V288" i="3"/>
  <c r="S288" i="3"/>
  <c r="BC288" i="4" s="1"/>
  <c r="O288" i="3"/>
  <c r="P288" i="3" s="1"/>
  <c r="K288" i="3"/>
  <c r="BA288" i="4" s="1"/>
  <c r="G288" i="3"/>
  <c r="BB288" i="4" s="1"/>
  <c r="BK287" i="3"/>
  <c r="BJ287" i="3"/>
  <c r="BF287" i="3"/>
  <c r="BC287" i="3"/>
  <c r="AZ287" i="3"/>
  <c r="AW287" i="3"/>
  <c r="AT287" i="3"/>
  <c r="AQ287" i="3"/>
  <c r="AN287" i="3"/>
  <c r="AK287" i="3"/>
  <c r="AH287" i="3"/>
  <c r="AD287" i="3"/>
  <c r="AE287" i="3" s="1"/>
  <c r="V287" i="3"/>
  <c r="T287" i="3"/>
  <c r="S287" i="3"/>
  <c r="BC287" i="4" s="1"/>
  <c r="P287" i="3"/>
  <c r="O287" i="3"/>
  <c r="L287" i="3"/>
  <c r="K287" i="3"/>
  <c r="BA287" i="4" s="1"/>
  <c r="H287" i="3"/>
  <c r="G287" i="3"/>
  <c r="BB287" i="4" s="1"/>
  <c r="BK286" i="3"/>
  <c r="BJ286" i="3"/>
  <c r="BF286" i="3"/>
  <c r="BC286" i="3"/>
  <c r="AZ286" i="3"/>
  <c r="AW286" i="3"/>
  <c r="AT286" i="3"/>
  <c r="AQ286" i="3"/>
  <c r="AN286" i="3"/>
  <c r="AK286" i="3"/>
  <c r="AH286" i="3"/>
  <c r="AE286" i="3"/>
  <c r="AD286" i="3"/>
  <c r="V286" i="3"/>
  <c r="S286" i="3"/>
  <c r="BC286" i="4" s="1"/>
  <c r="O286" i="3"/>
  <c r="P286" i="3" s="1"/>
  <c r="K286" i="3"/>
  <c r="BA286" i="4" s="1"/>
  <c r="G286" i="3"/>
  <c r="BB286" i="4" s="1"/>
  <c r="BK285" i="3"/>
  <c r="BJ285" i="3"/>
  <c r="BF285" i="3"/>
  <c r="BC285" i="3"/>
  <c r="AZ285" i="3"/>
  <c r="AW285" i="3"/>
  <c r="AT285" i="3"/>
  <c r="AQ285" i="3"/>
  <c r="AN285" i="3"/>
  <c r="AK285" i="3"/>
  <c r="AH285" i="3"/>
  <c r="AE285" i="3"/>
  <c r="AD285" i="3"/>
  <c r="V285" i="3"/>
  <c r="T285" i="3"/>
  <c r="S285" i="3"/>
  <c r="BC285" i="4" s="1"/>
  <c r="P285" i="3"/>
  <c r="O285" i="3"/>
  <c r="L285" i="3"/>
  <c r="K285" i="3"/>
  <c r="BA285" i="4" s="1"/>
  <c r="H285" i="3"/>
  <c r="G285" i="3"/>
  <c r="BB285" i="4" s="1"/>
  <c r="BK284" i="3"/>
  <c r="BJ284" i="3"/>
  <c r="BF284" i="3"/>
  <c r="BC284" i="3"/>
  <c r="AZ284" i="3"/>
  <c r="AW284" i="3"/>
  <c r="AT284" i="3"/>
  <c r="AQ284" i="3"/>
  <c r="AN284" i="3"/>
  <c r="AK284" i="3"/>
  <c r="AH284" i="3"/>
  <c r="AE284" i="3"/>
  <c r="AD284" i="3"/>
  <c r="V284" i="3"/>
  <c r="S284" i="3"/>
  <c r="BC284" i="4" s="1"/>
  <c r="O284" i="3"/>
  <c r="P284" i="3" s="1"/>
  <c r="K284" i="3"/>
  <c r="BA284" i="4" s="1"/>
  <c r="G284" i="3"/>
  <c r="BB284" i="4" s="1"/>
  <c r="BK283" i="3"/>
  <c r="BJ283" i="3"/>
  <c r="BF283" i="3"/>
  <c r="BC283" i="3"/>
  <c r="AZ283" i="3"/>
  <c r="AW283" i="3"/>
  <c r="AT283" i="3"/>
  <c r="AQ283" i="3"/>
  <c r="AN283" i="3"/>
  <c r="AK283" i="3"/>
  <c r="AH283" i="3"/>
  <c r="AD283" i="3"/>
  <c r="AE283" i="3" s="1"/>
  <c r="V283" i="3"/>
  <c r="T283" i="3"/>
  <c r="S283" i="3"/>
  <c r="BC283" i="4" s="1"/>
  <c r="P283" i="3"/>
  <c r="O283" i="3"/>
  <c r="L283" i="3"/>
  <c r="K283" i="3"/>
  <c r="BA283" i="4" s="1"/>
  <c r="H283" i="3"/>
  <c r="G283" i="3"/>
  <c r="BB283" i="4" s="1"/>
  <c r="BK282" i="3"/>
  <c r="BJ282" i="3"/>
  <c r="BF282" i="3"/>
  <c r="BC282" i="3"/>
  <c r="AZ282" i="3"/>
  <c r="AW282" i="3"/>
  <c r="AT282" i="3"/>
  <c r="AQ282" i="3"/>
  <c r="AN282" i="3"/>
  <c r="AK282" i="3"/>
  <c r="AH282" i="3"/>
  <c r="AE282" i="3"/>
  <c r="AD282" i="3"/>
  <c r="V282" i="3"/>
  <c r="S282" i="3"/>
  <c r="BC282" i="4" s="1"/>
  <c r="O282" i="3"/>
  <c r="P282" i="3" s="1"/>
  <c r="K282" i="3"/>
  <c r="BA282" i="4" s="1"/>
  <c r="G282" i="3"/>
  <c r="BB282" i="4" s="1"/>
  <c r="BK281" i="3"/>
  <c r="BJ281" i="3"/>
  <c r="BF281" i="3"/>
  <c r="BC281" i="3"/>
  <c r="AZ281" i="3"/>
  <c r="AW281" i="3"/>
  <c r="AT281" i="3"/>
  <c r="AQ281" i="3"/>
  <c r="AN281" i="3"/>
  <c r="AK281" i="3"/>
  <c r="AH281" i="3"/>
  <c r="AD281" i="3"/>
  <c r="AE281" i="3" s="1"/>
  <c r="V281" i="3"/>
  <c r="T281" i="3"/>
  <c r="S281" i="3"/>
  <c r="BC281" i="4" s="1"/>
  <c r="P281" i="3"/>
  <c r="O281" i="3"/>
  <c r="L281" i="3"/>
  <c r="K281" i="3"/>
  <c r="BA281" i="4" s="1"/>
  <c r="H281" i="3"/>
  <c r="G281" i="3"/>
  <c r="BB281" i="4" s="1"/>
  <c r="BK280" i="3"/>
  <c r="BJ280" i="3"/>
  <c r="BF280" i="3"/>
  <c r="BC280" i="3"/>
  <c r="AZ280" i="3"/>
  <c r="AW280" i="3"/>
  <c r="AT280" i="3"/>
  <c r="AQ280" i="3"/>
  <c r="AN280" i="3"/>
  <c r="AK280" i="3"/>
  <c r="AH280" i="3"/>
  <c r="AE280" i="3"/>
  <c r="AD280" i="3"/>
  <c r="V280" i="3"/>
  <c r="S280" i="3"/>
  <c r="BC280" i="4" s="1"/>
  <c r="O280" i="3"/>
  <c r="P280" i="3" s="1"/>
  <c r="K280" i="3"/>
  <c r="BA280" i="4" s="1"/>
  <c r="G280" i="3"/>
  <c r="BB280" i="4" s="1"/>
  <c r="BK279" i="3"/>
  <c r="BJ279" i="3"/>
  <c r="BF279" i="3"/>
  <c r="BC279" i="3"/>
  <c r="AZ279" i="3"/>
  <c r="AW279" i="3"/>
  <c r="AT279" i="3"/>
  <c r="AQ279" i="3"/>
  <c r="AN279" i="3"/>
  <c r="AK279" i="3"/>
  <c r="AH279" i="3"/>
  <c r="AD279" i="3"/>
  <c r="AE279" i="3" s="1"/>
  <c r="V279" i="3"/>
  <c r="T279" i="3"/>
  <c r="S279" i="3"/>
  <c r="BC279" i="4" s="1"/>
  <c r="P279" i="3"/>
  <c r="O279" i="3"/>
  <c r="L279" i="3"/>
  <c r="K279" i="3"/>
  <c r="BA279" i="4" s="1"/>
  <c r="H279" i="3"/>
  <c r="G279" i="3"/>
  <c r="BB279" i="4" s="1"/>
  <c r="BK278" i="3"/>
  <c r="BJ278" i="3"/>
  <c r="BF278" i="3"/>
  <c r="BC278" i="3"/>
  <c r="AZ278" i="3"/>
  <c r="AW278" i="3"/>
  <c r="AT278" i="3"/>
  <c r="AQ278" i="3"/>
  <c r="AN278" i="3"/>
  <c r="AK278" i="3"/>
  <c r="AH278" i="3"/>
  <c r="AE278" i="3"/>
  <c r="AD278" i="3"/>
  <c r="V278" i="3"/>
  <c r="T278" i="3"/>
  <c r="S278" i="3"/>
  <c r="BC278" i="4" s="1"/>
  <c r="P278" i="3"/>
  <c r="O278" i="3"/>
  <c r="L278" i="3"/>
  <c r="K278" i="3"/>
  <c r="BA278" i="4" s="1"/>
  <c r="H278" i="3"/>
  <c r="G278" i="3"/>
  <c r="BB278" i="4" s="1"/>
  <c r="BK277" i="3"/>
  <c r="BJ277" i="3"/>
  <c r="BF277" i="3"/>
  <c r="BC277" i="3"/>
  <c r="AZ277" i="3"/>
  <c r="AW277" i="3"/>
  <c r="AT277" i="3"/>
  <c r="AQ277" i="3"/>
  <c r="AN277" i="3"/>
  <c r="AK277" i="3"/>
  <c r="AH277" i="3"/>
  <c r="AD277" i="3"/>
  <c r="AE277" i="3" s="1"/>
  <c r="V277" i="3"/>
  <c r="T277" i="3"/>
  <c r="S277" i="3"/>
  <c r="BC277" i="4" s="1"/>
  <c r="P277" i="3"/>
  <c r="O277" i="3"/>
  <c r="L277" i="3"/>
  <c r="K277" i="3"/>
  <c r="BA277" i="4" s="1"/>
  <c r="H277" i="3"/>
  <c r="G277" i="3"/>
  <c r="BB277" i="4" s="1"/>
  <c r="BK276" i="3"/>
  <c r="BJ276" i="3"/>
  <c r="BF276" i="3"/>
  <c r="BC276" i="3"/>
  <c r="AZ276" i="3"/>
  <c r="AW276" i="3"/>
  <c r="AT276" i="3"/>
  <c r="AQ276" i="3"/>
  <c r="AN276" i="3"/>
  <c r="AK276" i="3"/>
  <c r="AH276" i="3"/>
  <c r="AE276" i="3"/>
  <c r="AD276" i="3"/>
  <c r="V276" i="3"/>
  <c r="S276" i="3"/>
  <c r="BC276" i="4" s="1"/>
  <c r="O276" i="3"/>
  <c r="P276" i="3" s="1"/>
  <c r="K276" i="3"/>
  <c r="BA276" i="4" s="1"/>
  <c r="G276" i="3"/>
  <c r="BB276" i="4" s="1"/>
  <c r="BK275" i="3"/>
  <c r="BJ275" i="3"/>
  <c r="BF275" i="3"/>
  <c r="BC275" i="3"/>
  <c r="AZ275" i="3"/>
  <c r="AW275" i="3"/>
  <c r="AT275" i="3"/>
  <c r="AQ275" i="3"/>
  <c r="AN275" i="3"/>
  <c r="AK275" i="3"/>
  <c r="AH275" i="3"/>
  <c r="AD275" i="3"/>
  <c r="AE275" i="3" s="1"/>
  <c r="V275" i="3"/>
  <c r="T275" i="3"/>
  <c r="S275" i="3"/>
  <c r="BC275" i="4" s="1"/>
  <c r="P275" i="3"/>
  <c r="O275" i="3"/>
  <c r="L275" i="3"/>
  <c r="K275" i="3"/>
  <c r="BA275" i="4" s="1"/>
  <c r="H275" i="3"/>
  <c r="G275" i="3"/>
  <c r="BB275" i="4" s="1"/>
  <c r="BK274" i="3"/>
  <c r="BJ274" i="3"/>
  <c r="BF274" i="3"/>
  <c r="BC274" i="3"/>
  <c r="AZ274" i="3"/>
  <c r="AW274" i="3"/>
  <c r="AT274" i="3"/>
  <c r="AQ274" i="3"/>
  <c r="AN274" i="3"/>
  <c r="AK274" i="3"/>
  <c r="AH274" i="3"/>
  <c r="AE274" i="3"/>
  <c r="AD274" i="3"/>
  <c r="V274" i="3"/>
  <c r="S274" i="3"/>
  <c r="BC274" i="4" s="1"/>
  <c r="O274" i="3"/>
  <c r="P274" i="3" s="1"/>
  <c r="K274" i="3"/>
  <c r="BA274" i="4" s="1"/>
  <c r="G274" i="3"/>
  <c r="BB274" i="4" s="1"/>
  <c r="BK273" i="3"/>
  <c r="BJ273" i="3"/>
  <c r="BF273" i="3"/>
  <c r="BC273" i="3"/>
  <c r="AZ273" i="3"/>
  <c r="AW273" i="3"/>
  <c r="AT273" i="3"/>
  <c r="AQ273" i="3"/>
  <c r="AN273" i="3"/>
  <c r="AK273" i="3"/>
  <c r="AH273" i="3"/>
  <c r="AD273" i="3"/>
  <c r="AE273" i="3" s="1"/>
  <c r="V273" i="3"/>
  <c r="T273" i="3"/>
  <c r="S273" i="3"/>
  <c r="BC273" i="4" s="1"/>
  <c r="P273" i="3"/>
  <c r="O273" i="3"/>
  <c r="L273" i="3"/>
  <c r="K273" i="3"/>
  <c r="BA273" i="4" s="1"/>
  <c r="H273" i="3"/>
  <c r="G273" i="3"/>
  <c r="BB273" i="4" s="1"/>
  <c r="BK272" i="3"/>
  <c r="BJ272" i="3"/>
  <c r="BF272" i="3"/>
  <c r="BC272" i="3"/>
  <c r="AZ272" i="3"/>
  <c r="AW272" i="3"/>
  <c r="AT272" i="3"/>
  <c r="AQ272" i="3"/>
  <c r="AN272" i="3"/>
  <c r="AK272" i="3"/>
  <c r="AH272" i="3"/>
  <c r="AE272" i="3"/>
  <c r="AD272" i="3"/>
  <c r="V272" i="3"/>
  <c r="S272" i="3"/>
  <c r="BC272" i="4" s="1"/>
  <c r="O272" i="3"/>
  <c r="P272" i="3" s="1"/>
  <c r="K272" i="3"/>
  <c r="BA272" i="4" s="1"/>
  <c r="G272" i="3"/>
  <c r="BB272" i="4" s="1"/>
  <c r="BK271" i="3"/>
  <c r="BJ271" i="3"/>
  <c r="BF271" i="3"/>
  <c r="BC271" i="3"/>
  <c r="AZ271" i="3"/>
  <c r="AW271" i="3"/>
  <c r="AT271" i="3"/>
  <c r="AQ271" i="3"/>
  <c r="AN271" i="3"/>
  <c r="AK271" i="3"/>
  <c r="AH271" i="3"/>
  <c r="AE271" i="3"/>
  <c r="AD271" i="3"/>
  <c r="V271" i="3"/>
  <c r="T271" i="3"/>
  <c r="S271" i="3"/>
  <c r="BC271" i="4" s="1"/>
  <c r="P271" i="3"/>
  <c r="O271" i="3"/>
  <c r="L271" i="3"/>
  <c r="K271" i="3"/>
  <c r="BA271" i="4" s="1"/>
  <c r="H271" i="3"/>
  <c r="G271" i="3"/>
  <c r="BB271" i="4" s="1"/>
  <c r="BK270" i="3"/>
  <c r="BJ270" i="3"/>
  <c r="BF270" i="3"/>
  <c r="BC270" i="3"/>
  <c r="AZ270" i="3"/>
  <c r="AW270" i="3"/>
  <c r="AT270" i="3"/>
  <c r="AQ270" i="3"/>
  <c r="AN270" i="3"/>
  <c r="AK270" i="3"/>
  <c r="AH270" i="3"/>
  <c r="AE270" i="3"/>
  <c r="AD270" i="3"/>
  <c r="V270" i="3"/>
  <c r="S270" i="3"/>
  <c r="BC270" i="4" s="1"/>
  <c r="O270" i="3"/>
  <c r="P270" i="3" s="1"/>
  <c r="K270" i="3"/>
  <c r="BA270" i="4" s="1"/>
  <c r="G270" i="3"/>
  <c r="BB270" i="4" s="1"/>
  <c r="BK269" i="3"/>
  <c r="BJ269" i="3"/>
  <c r="BF269" i="3"/>
  <c r="BC269" i="3"/>
  <c r="AZ269" i="3"/>
  <c r="AW269" i="3"/>
  <c r="AT269" i="3"/>
  <c r="AQ269" i="3"/>
  <c r="AN269" i="3"/>
  <c r="AK269" i="3"/>
  <c r="AH269" i="3"/>
  <c r="AD269" i="3"/>
  <c r="AE269" i="3" s="1"/>
  <c r="V269" i="3"/>
  <c r="T269" i="3"/>
  <c r="S269" i="3"/>
  <c r="BC269" i="4" s="1"/>
  <c r="P269" i="3"/>
  <c r="O269" i="3"/>
  <c r="L269" i="3"/>
  <c r="K269" i="3"/>
  <c r="BA269" i="4" s="1"/>
  <c r="H269" i="3"/>
  <c r="G269" i="3"/>
  <c r="BB269" i="4" s="1"/>
  <c r="BK268" i="3"/>
  <c r="BJ268" i="3"/>
  <c r="BF268" i="3"/>
  <c r="BC268" i="3"/>
  <c r="AZ268" i="3"/>
  <c r="AW268" i="3"/>
  <c r="AT268" i="3"/>
  <c r="AQ268" i="3"/>
  <c r="AN268" i="3"/>
  <c r="AK268" i="3"/>
  <c r="AH268" i="3"/>
  <c r="AE268" i="3"/>
  <c r="AD268" i="3"/>
  <c r="V268" i="3"/>
  <c r="S268" i="3"/>
  <c r="BC268" i="4" s="1"/>
  <c r="O268" i="3"/>
  <c r="P268" i="3" s="1"/>
  <c r="K268" i="3"/>
  <c r="BA268" i="4" s="1"/>
  <c r="G268" i="3"/>
  <c r="BB268" i="4" s="1"/>
  <c r="BK267" i="3"/>
  <c r="BJ267" i="3"/>
  <c r="BF267" i="3"/>
  <c r="BC267" i="3"/>
  <c r="AZ267" i="3"/>
  <c r="AW267" i="3"/>
  <c r="AT267" i="3"/>
  <c r="AQ267" i="3"/>
  <c r="AN267" i="3"/>
  <c r="AK267" i="3"/>
  <c r="AH267" i="3"/>
  <c r="AD267" i="3"/>
  <c r="AE267" i="3" s="1"/>
  <c r="V267" i="3"/>
  <c r="T267" i="3"/>
  <c r="S267" i="3"/>
  <c r="BC267" i="4" s="1"/>
  <c r="P267" i="3"/>
  <c r="O267" i="3"/>
  <c r="L267" i="3"/>
  <c r="K267" i="3"/>
  <c r="BA267" i="4" s="1"/>
  <c r="H267" i="3"/>
  <c r="G267" i="3"/>
  <c r="BB267" i="4" s="1"/>
  <c r="BK266" i="3"/>
  <c r="BJ266" i="3"/>
  <c r="BF266" i="3"/>
  <c r="BC266" i="3"/>
  <c r="AZ266" i="3"/>
  <c r="AW266" i="3"/>
  <c r="AT266" i="3"/>
  <c r="AQ266" i="3"/>
  <c r="AN266" i="3"/>
  <c r="AK266" i="3"/>
  <c r="AH266" i="3"/>
  <c r="AE266" i="3"/>
  <c r="AD266" i="3"/>
  <c r="V266" i="3"/>
  <c r="S266" i="3"/>
  <c r="BC266" i="4" s="1"/>
  <c r="O266" i="3"/>
  <c r="P266" i="3" s="1"/>
  <c r="K266" i="3"/>
  <c r="BA266" i="4" s="1"/>
  <c r="G266" i="3"/>
  <c r="BB266" i="4" s="1"/>
  <c r="BK265" i="3"/>
  <c r="BJ265" i="3"/>
  <c r="BF265" i="3"/>
  <c r="BC265" i="3"/>
  <c r="AZ265" i="3"/>
  <c r="AW265" i="3"/>
  <c r="AT265" i="3"/>
  <c r="AQ265" i="3"/>
  <c r="AN265" i="3"/>
  <c r="AK265" i="3"/>
  <c r="AH265" i="3"/>
  <c r="AD265" i="3"/>
  <c r="AE265" i="3" s="1"/>
  <c r="V265" i="3"/>
  <c r="T265" i="3"/>
  <c r="S265" i="3"/>
  <c r="BC265" i="4" s="1"/>
  <c r="P265" i="3"/>
  <c r="O265" i="3"/>
  <c r="L265" i="3"/>
  <c r="K265" i="3"/>
  <c r="BA265" i="4" s="1"/>
  <c r="H265" i="3"/>
  <c r="G265" i="3"/>
  <c r="BB265" i="4" s="1"/>
  <c r="BK264" i="3"/>
  <c r="BJ264" i="3"/>
  <c r="BF264" i="3"/>
  <c r="BC264" i="3"/>
  <c r="AZ264" i="3"/>
  <c r="AW264" i="3"/>
  <c r="AT264" i="3"/>
  <c r="AQ264" i="3"/>
  <c r="AN264" i="3"/>
  <c r="AK264" i="3"/>
  <c r="AH264" i="3"/>
  <c r="AE264" i="3"/>
  <c r="AD264" i="3"/>
  <c r="V264" i="3"/>
  <c r="T264" i="3"/>
  <c r="S264" i="3"/>
  <c r="BC264" i="4" s="1"/>
  <c r="P264" i="3"/>
  <c r="O264" i="3"/>
  <c r="L264" i="3"/>
  <c r="K264" i="3"/>
  <c r="BA264" i="4" s="1"/>
  <c r="H264" i="3"/>
  <c r="G264" i="3"/>
  <c r="BB264" i="4" s="1"/>
  <c r="BK263" i="3"/>
  <c r="BJ263" i="3"/>
  <c r="BF263" i="3"/>
  <c r="BC263" i="3"/>
  <c r="AZ263" i="3"/>
  <c r="AW263" i="3"/>
  <c r="AT263" i="3"/>
  <c r="AQ263" i="3"/>
  <c r="AN263" i="3"/>
  <c r="AK263" i="3"/>
  <c r="AH263" i="3"/>
  <c r="AE263" i="3"/>
  <c r="AD263" i="3"/>
  <c r="V263" i="3"/>
  <c r="T263" i="3"/>
  <c r="S263" i="3"/>
  <c r="BC263" i="4" s="1"/>
  <c r="P263" i="3"/>
  <c r="O263" i="3"/>
  <c r="L263" i="3"/>
  <c r="K263" i="3"/>
  <c r="BA263" i="4" s="1"/>
  <c r="H263" i="3"/>
  <c r="G263" i="3"/>
  <c r="BB263" i="4" s="1"/>
  <c r="BK262" i="3"/>
  <c r="BJ262" i="3"/>
  <c r="BF262" i="3"/>
  <c r="BC262" i="3"/>
  <c r="AZ262" i="3"/>
  <c r="AW262" i="3"/>
  <c r="AT262" i="3"/>
  <c r="AQ262" i="3"/>
  <c r="AN262" i="3"/>
  <c r="AK262" i="3"/>
  <c r="AH262" i="3"/>
  <c r="AE262" i="3"/>
  <c r="AD262" i="3"/>
  <c r="V262" i="3"/>
  <c r="S262" i="3"/>
  <c r="BC262" i="4" s="1"/>
  <c r="O262" i="3"/>
  <c r="P262" i="3" s="1"/>
  <c r="K262" i="3"/>
  <c r="BA262" i="4" s="1"/>
  <c r="G262" i="3"/>
  <c r="BB262" i="4" s="1"/>
  <c r="BK261" i="3"/>
  <c r="BJ261" i="3"/>
  <c r="BF261" i="3"/>
  <c r="BC261" i="3"/>
  <c r="AZ261" i="3"/>
  <c r="AW261" i="3"/>
  <c r="AT261" i="3"/>
  <c r="AQ261" i="3"/>
  <c r="AN261" i="3"/>
  <c r="AK261" i="3"/>
  <c r="AH261" i="3"/>
  <c r="AD261" i="3"/>
  <c r="AE261" i="3" s="1"/>
  <c r="V261" i="3"/>
  <c r="T261" i="3"/>
  <c r="S261" i="3"/>
  <c r="BC261" i="4" s="1"/>
  <c r="P261" i="3"/>
  <c r="O261" i="3"/>
  <c r="L261" i="3"/>
  <c r="K261" i="3"/>
  <c r="BA261" i="4" s="1"/>
  <c r="H261" i="3"/>
  <c r="G261" i="3"/>
  <c r="BB261" i="4" s="1"/>
  <c r="BK260" i="3"/>
  <c r="BJ260" i="3"/>
  <c r="BF260" i="3"/>
  <c r="BC260" i="3"/>
  <c r="AZ260" i="3"/>
  <c r="AW260" i="3"/>
  <c r="AT260" i="3"/>
  <c r="AQ260" i="3"/>
  <c r="AN260" i="3"/>
  <c r="AK260" i="3"/>
  <c r="AH260" i="3"/>
  <c r="AE260" i="3"/>
  <c r="AD260" i="3"/>
  <c r="V260" i="3"/>
  <c r="S260" i="3"/>
  <c r="BC260" i="4" s="1"/>
  <c r="O260" i="3"/>
  <c r="P260" i="3" s="1"/>
  <c r="K260" i="3"/>
  <c r="BA260" i="4" s="1"/>
  <c r="G260" i="3"/>
  <c r="BB260" i="4" s="1"/>
  <c r="BK259" i="3"/>
  <c r="BJ259" i="3"/>
  <c r="BF259" i="3"/>
  <c r="BC259" i="3"/>
  <c r="AZ259" i="3"/>
  <c r="AW259" i="3"/>
  <c r="AT259" i="3"/>
  <c r="AQ259" i="3"/>
  <c r="AN259" i="3"/>
  <c r="AK259" i="3"/>
  <c r="AH259" i="3"/>
  <c r="AD259" i="3"/>
  <c r="AE259" i="3" s="1"/>
  <c r="V259" i="3"/>
  <c r="T259" i="3"/>
  <c r="S259" i="3"/>
  <c r="BC259" i="4" s="1"/>
  <c r="P259" i="3"/>
  <c r="O259" i="3"/>
  <c r="L259" i="3"/>
  <c r="K259" i="3"/>
  <c r="BA259" i="4" s="1"/>
  <c r="H259" i="3"/>
  <c r="G259" i="3"/>
  <c r="BB259" i="4" s="1"/>
  <c r="BK258" i="3"/>
  <c r="BJ258" i="3"/>
  <c r="BF258" i="3"/>
  <c r="BC258" i="3"/>
  <c r="AZ258" i="3"/>
  <c r="AW258" i="3"/>
  <c r="AT258" i="3"/>
  <c r="AQ258" i="3"/>
  <c r="AN258" i="3"/>
  <c r="AK258" i="3"/>
  <c r="AH258" i="3"/>
  <c r="AE258" i="3"/>
  <c r="AD258" i="3"/>
  <c r="V258" i="3"/>
  <c r="S258" i="3"/>
  <c r="BC258" i="4" s="1"/>
  <c r="O258" i="3"/>
  <c r="P258" i="3" s="1"/>
  <c r="K258" i="3"/>
  <c r="BA258" i="4" s="1"/>
  <c r="G258" i="3"/>
  <c r="BB258" i="4" s="1"/>
  <c r="BK257" i="3"/>
  <c r="BJ257" i="3"/>
  <c r="BF257" i="3"/>
  <c r="BC257" i="3"/>
  <c r="AZ257" i="3"/>
  <c r="AW257" i="3"/>
  <c r="AT257" i="3"/>
  <c r="AQ257" i="3"/>
  <c r="AN257" i="3"/>
  <c r="AK257" i="3"/>
  <c r="AH257" i="3"/>
  <c r="AE257" i="3"/>
  <c r="AD257" i="3"/>
  <c r="V257" i="3"/>
  <c r="T257" i="3"/>
  <c r="S257" i="3"/>
  <c r="BC257" i="4" s="1"/>
  <c r="P257" i="3"/>
  <c r="O257" i="3"/>
  <c r="L257" i="3"/>
  <c r="K257" i="3"/>
  <c r="BA257" i="4" s="1"/>
  <c r="H257" i="3"/>
  <c r="G257" i="3"/>
  <c r="BB257" i="4" s="1"/>
  <c r="BK256" i="3"/>
  <c r="BJ256" i="3"/>
  <c r="BF256" i="3"/>
  <c r="BC256" i="3"/>
  <c r="AZ256" i="3"/>
  <c r="AW256" i="3"/>
  <c r="AT256" i="3"/>
  <c r="AQ256" i="3"/>
  <c r="AN256" i="3"/>
  <c r="AK256" i="3"/>
  <c r="AH256" i="3"/>
  <c r="AE256" i="3"/>
  <c r="AD256" i="3"/>
  <c r="V256" i="3"/>
  <c r="S256" i="3"/>
  <c r="BC256" i="4" s="1"/>
  <c r="O256" i="3"/>
  <c r="P256" i="3" s="1"/>
  <c r="K256" i="3"/>
  <c r="BA256" i="4" s="1"/>
  <c r="G256" i="3"/>
  <c r="BB256" i="4" s="1"/>
  <c r="BK255" i="3"/>
  <c r="BJ255" i="3"/>
  <c r="BF255" i="3"/>
  <c r="BC255" i="3"/>
  <c r="AZ255" i="3"/>
  <c r="AW255" i="3"/>
  <c r="AT255" i="3"/>
  <c r="AQ255" i="3"/>
  <c r="AN255" i="3"/>
  <c r="AK255" i="3"/>
  <c r="AH255" i="3"/>
  <c r="AD255" i="3"/>
  <c r="AE255" i="3" s="1"/>
  <c r="V255" i="3"/>
  <c r="T255" i="3"/>
  <c r="S255" i="3"/>
  <c r="BC255" i="4" s="1"/>
  <c r="P255" i="3"/>
  <c r="O255" i="3"/>
  <c r="L255" i="3"/>
  <c r="K255" i="3"/>
  <c r="BA255" i="4" s="1"/>
  <c r="H255" i="3"/>
  <c r="G255" i="3"/>
  <c r="BB255" i="4" s="1"/>
  <c r="BK254" i="3"/>
  <c r="BJ254" i="3"/>
  <c r="BF254" i="3"/>
  <c r="BC254" i="3"/>
  <c r="AZ254" i="3"/>
  <c r="AW254" i="3"/>
  <c r="AT254" i="3"/>
  <c r="AQ254" i="3"/>
  <c r="AN254" i="3"/>
  <c r="AK254" i="3"/>
  <c r="AH254" i="3"/>
  <c r="AE254" i="3"/>
  <c r="AD254" i="3"/>
  <c r="V254" i="3"/>
  <c r="S254" i="3"/>
  <c r="BC254" i="4" s="1"/>
  <c r="O254" i="3"/>
  <c r="P254" i="3" s="1"/>
  <c r="K254" i="3"/>
  <c r="BA254" i="4" s="1"/>
  <c r="G254" i="3"/>
  <c r="BB254" i="4" s="1"/>
  <c r="BK253" i="3"/>
  <c r="BJ253" i="3"/>
  <c r="BF253" i="3"/>
  <c r="BC253" i="3"/>
  <c r="AZ253" i="3"/>
  <c r="AW253" i="3"/>
  <c r="AT253" i="3"/>
  <c r="AQ253" i="3"/>
  <c r="AN253" i="3"/>
  <c r="AK253" i="3"/>
  <c r="AH253" i="3"/>
  <c r="AD253" i="3"/>
  <c r="AE253" i="3" s="1"/>
  <c r="V253" i="3"/>
  <c r="T253" i="3"/>
  <c r="S253" i="3"/>
  <c r="BC253" i="4" s="1"/>
  <c r="P253" i="3"/>
  <c r="O253" i="3"/>
  <c r="L253" i="3"/>
  <c r="K253" i="3"/>
  <c r="BA253" i="4" s="1"/>
  <c r="H253" i="3"/>
  <c r="G253" i="3"/>
  <c r="BB253" i="4" s="1"/>
  <c r="BK252" i="3"/>
  <c r="BJ252" i="3"/>
  <c r="BF252" i="3"/>
  <c r="BC252" i="3"/>
  <c r="AZ252" i="3"/>
  <c r="AW252" i="3"/>
  <c r="AT252" i="3"/>
  <c r="AQ252" i="3"/>
  <c r="AN252" i="3"/>
  <c r="AK252" i="3"/>
  <c r="AH252" i="3"/>
  <c r="AE252" i="3"/>
  <c r="AD252" i="3"/>
  <c r="V252" i="3"/>
  <c r="S252" i="3"/>
  <c r="BC252" i="4" s="1"/>
  <c r="O252" i="3"/>
  <c r="P252" i="3" s="1"/>
  <c r="K252" i="3"/>
  <c r="BA252" i="4" s="1"/>
  <c r="G252" i="3"/>
  <c r="BB252" i="4" s="1"/>
  <c r="BK251" i="3"/>
  <c r="BJ251" i="3"/>
  <c r="BF251" i="3"/>
  <c r="BC251" i="3"/>
  <c r="AZ251" i="3"/>
  <c r="AW251" i="3"/>
  <c r="AT251" i="3"/>
  <c r="AQ251" i="3"/>
  <c r="AN251" i="3"/>
  <c r="AK251" i="3"/>
  <c r="AH251" i="3"/>
  <c r="AD251" i="3"/>
  <c r="AE251" i="3" s="1"/>
  <c r="V251" i="3"/>
  <c r="T251" i="3"/>
  <c r="S251" i="3"/>
  <c r="BC251" i="4" s="1"/>
  <c r="P251" i="3"/>
  <c r="O251" i="3"/>
  <c r="L251" i="3"/>
  <c r="K251" i="3"/>
  <c r="BA251" i="4" s="1"/>
  <c r="H251" i="3"/>
  <c r="G251" i="3"/>
  <c r="BB251" i="4" s="1"/>
  <c r="BK250" i="3"/>
  <c r="BJ250" i="3"/>
  <c r="BF250" i="3"/>
  <c r="BC250" i="3"/>
  <c r="AZ250" i="3"/>
  <c r="AW250" i="3"/>
  <c r="AT250" i="3"/>
  <c r="AQ250" i="3"/>
  <c r="AN250" i="3"/>
  <c r="AK250" i="3"/>
  <c r="AH250" i="3"/>
  <c r="AE250" i="3"/>
  <c r="AD250" i="3"/>
  <c r="V250" i="3"/>
  <c r="T250" i="3"/>
  <c r="S250" i="3"/>
  <c r="BC250" i="4" s="1"/>
  <c r="P250" i="3"/>
  <c r="O250" i="3"/>
  <c r="L250" i="3"/>
  <c r="K250" i="3"/>
  <c r="BA250" i="4" s="1"/>
  <c r="H250" i="3"/>
  <c r="G250" i="3"/>
  <c r="BB250" i="4" s="1"/>
  <c r="BK249" i="3"/>
  <c r="BJ249" i="3"/>
  <c r="BF249" i="3"/>
  <c r="BC249" i="3"/>
  <c r="AZ249" i="3"/>
  <c r="AW249" i="3"/>
  <c r="AT249" i="3"/>
  <c r="AQ249" i="3"/>
  <c r="AN249" i="3"/>
  <c r="AK249" i="3"/>
  <c r="AH249" i="3"/>
  <c r="AD249" i="3"/>
  <c r="AE249" i="3" s="1"/>
  <c r="V249" i="3"/>
  <c r="T249" i="3"/>
  <c r="S249" i="3"/>
  <c r="BC249" i="4" s="1"/>
  <c r="P249" i="3"/>
  <c r="O249" i="3"/>
  <c r="L249" i="3"/>
  <c r="K249" i="3"/>
  <c r="BA249" i="4" s="1"/>
  <c r="H249" i="3"/>
  <c r="G249" i="3"/>
  <c r="BB249" i="4" s="1"/>
  <c r="BK248" i="3"/>
  <c r="BJ248" i="3"/>
  <c r="BF248" i="3"/>
  <c r="BC248" i="3"/>
  <c r="AZ248" i="3"/>
  <c r="AW248" i="3"/>
  <c r="AT248" i="3"/>
  <c r="AQ248" i="3"/>
  <c r="AN248" i="3"/>
  <c r="AK248" i="3"/>
  <c r="AH248" i="3"/>
  <c r="AE248" i="3"/>
  <c r="AD248" i="3"/>
  <c r="V248" i="3"/>
  <c r="S248" i="3"/>
  <c r="BC248" i="4" s="1"/>
  <c r="O248" i="3"/>
  <c r="P248" i="3" s="1"/>
  <c r="K248" i="3"/>
  <c r="BA248" i="4" s="1"/>
  <c r="G248" i="3"/>
  <c r="BB248" i="4" s="1"/>
  <c r="BK247" i="3"/>
  <c r="BJ247" i="3"/>
  <c r="BF247" i="3"/>
  <c r="BC247" i="3"/>
  <c r="AZ247" i="3"/>
  <c r="AW247" i="3"/>
  <c r="AT247" i="3"/>
  <c r="AQ247" i="3"/>
  <c r="AN247" i="3"/>
  <c r="AK247" i="3"/>
  <c r="AH247" i="3"/>
  <c r="AD247" i="3"/>
  <c r="AE247" i="3" s="1"/>
  <c r="V247" i="3"/>
  <c r="T247" i="3"/>
  <c r="S247" i="3"/>
  <c r="BC247" i="4" s="1"/>
  <c r="P247" i="3"/>
  <c r="O247" i="3"/>
  <c r="L247" i="3"/>
  <c r="K247" i="3"/>
  <c r="BA247" i="4" s="1"/>
  <c r="H247" i="3"/>
  <c r="G247" i="3"/>
  <c r="BB247" i="4" s="1"/>
  <c r="BK246" i="3"/>
  <c r="BJ246" i="3"/>
  <c r="BF246" i="3"/>
  <c r="BC246" i="3"/>
  <c r="AZ246" i="3"/>
  <c r="AW246" i="3"/>
  <c r="AT246" i="3"/>
  <c r="AQ246" i="3"/>
  <c r="AN246" i="3"/>
  <c r="AK246" i="3"/>
  <c r="AH246" i="3"/>
  <c r="AE246" i="3"/>
  <c r="AD246" i="3"/>
  <c r="V246" i="3"/>
  <c r="S246" i="3"/>
  <c r="BC246" i="4" s="1"/>
  <c r="O246" i="3"/>
  <c r="P246" i="3" s="1"/>
  <c r="K246" i="3"/>
  <c r="BA246" i="4" s="1"/>
  <c r="G246" i="3"/>
  <c r="BB246" i="4" s="1"/>
  <c r="BK245" i="3"/>
  <c r="BJ245" i="3"/>
  <c r="BF245" i="3"/>
  <c r="BC245" i="3"/>
  <c r="AZ245" i="3"/>
  <c r="AW245" i="3"/>
  <c r="AT245" i="3"/>
  <c r="AQ245" i="3"/>
  <c r="AN245" i="3"/>
  <c r="AK245" i="3"/>
  <c r="AH245" i="3"/>
  <c r="AE245" i="3"/>
  <c r="AD245" i="3"/>
  <c r="V245" i="3"/>
  <c r="T245" i="3"/>
  <c r="S245" i="3"/>
  <c r="BC245" i="4" s="1"/>
  <c r="P245" i="3"/>
  <c r="O245" i="3"/>
  <c r="L245" i="3"/>
  <c r="K245" i="3"/>
  <c r="BA245" i="4" s="1"/>
  <c r="H245" i="3"/>
  <c r="G245" i="3"/>
  <c r="BB245" i="4" s="1"/>
  <c r="BK244" i="3"/>
  <c r="BJ244" i="3"/>
  <c r="BF244" i="3"/>
  <c r="BC244" i="3"/>
  <c r="AZ244" i="3"/>
  <c r="AW244" i="3"/>
  <c r="AT244" i="3"/>
  <c r="AQ244" i="3"/>
  <c r="AN244" i="3"/>
  <c r="AK244" i="3"/>
  <c r="AH244" i="3"/>
  <c r="AE244" i="3"/>
  <c r="AD244" i="3"/>
  <c r="V244" i="3"/>
  <c r="T244" i="3"/>
  <c r="S244" i="3"/>
  <c r="BC244" i="4" s="1"/>
  <c r="P244" i="3"/>
  <c r="O244" i="3"/>
  <c r="L244" i="3"/>
  <c r="K244" i="3"/>
  <c r="BA244" i="4" s="1"/>
  <c r="H244" i="3"/>
  <c r="G244" i="3"/>
  <c r="BB244" i="4" s="1"/>
  <c r="BK243" i="3"/>
  <c r="BJ243" i="3"/>
  <c r="BF243" i="3"/>
  <c r="BC243" i="3"/>
  <c r="AZ243" i="3"/>
  <c r="AW243" i="3"/>
  <c r="AT243" i="3"/>
  <c r="AQ243" i="3"/>
  <c r="AN243" i="3"/>
  <c r="AK243" i="3"/>
  <c r="AH243" i="3"/>
  <c r="AE243" i="3"/>
  <c r="AD243" i="3"/>
  <c r="V243" i="3"/>
  <c r="T243" i="3"/>
  <c r="S243" i="3"/>
  <c r="BC243" i="4" s="1"/>
  <c r="P243" i="3"/>
  <c r="O243" i="3"/>
  <c r="L243" i="3"/>
  <c r="K243" i="3"/>
  <c r="BA243" i="4" s="1"/>
  <c r="H243" i="3"/>
  <c r="G243" i="3"/>
  <c r="BB243" i="4" s="1"/>
  <c r="BK242" i="3"/>
  <c r="BJ242" i="3"/>
  <c r="BF242" i="3"/>
  <c r="BC242" i="3"/>
  <c r="AZ242" i="3"/>
  <c r="AW242" i="3"/>
  <c r="AT242" i="3"/>
  <c r="AQ242" i="3"/>
  <c r="AN242" i="3"/>
  <c r="AK242" i="3"/>
  <c r="AH242" i="3"/>
  <c r="AE242" i="3"/>
  <c r="AD242" i="3"/>
  <c r="V242" i="3"/>
  <c r="S242" i="3"/>
  <c r="BC242" i="4" s="1"/>
  <c r="O242" i="3"/>
  <c r="P242" i="3" s="1"/>
  <c r="K242" i="3"/>
  <c r="BA242" i="4" s="1"/>
  <c r="G242" i="3"/>
  <c r="BB242" i="4" s="1"/>
  <c r="BK241" i="3"/>
  <c r="BJ241" i="3"/>
  <c r="BF241" i="3"/>
  <c r="BC241" i="3"/>
  <c r="AZ241" i="3"/>
  <c r="AW241" i="3"/>
  <c r="AT241" i="3"/>
  <c r="AQ241" i="3"/>
  <c r="AN241" i="3"/>
  <c r="AK241" i="3"/>
  <c r="AH241" i="3"/>
  <c r="AD241" i="3"/>
  <c r="AE241" i="3" s="1"/>
  <c r="V241" i="3"/>
  <c r="T241" i="3"/>
  <c r="S241" i="3"/>
  <c r="BC241" i="4" s="1"/>
  <c r="P241" i="3"/>
  <c r="O241" i="3"/>
  <c r="L241" i="3"/>
  <c r="K241" i="3"/>
  <c r="BA241" i="4" s="1"/>
  <c r="H241" i="3"/>
  <c r="G241" i="3"/>
  <c r="BB241" i="4" s="1"/>
  <c r="BK240" i="3"/>
  <c r="BJ240" i="3"/>
  <c r="BF240" i="3"/>
  <c r="BC240" i="3"/>
  <c r="AZ240" i="3"/>
  <c r="AW240" i="3"/>
  <c r="AT240" i="3"/>
  <c r="AQ240" i="3"/>
  <c r="AN240" i="3"/>
  <c r="AK240" i="3"/>
  <c r="AH240" i="3"/>
  <c r="AE240" i="3"/>
  <c r="AD240" i="3"/>
  <c r="V240" i="3"/>
  <c r="T240" i="3"/>
  <c r="S240" i="3"/>
  <c r="BC240" i="4" s="1"/>
  <c r="P240" i="3"/>
  <c r="O240" i="3"/>
  <c r="L240" i="3"/>
  <c r="K240" i="3"/>
  <c r="BA240" i="4" s="1"/>
  <c r="H240" i="3"/>
  <c r="G240" i="3"/>
  <c r="BB240" i="4" s="1"/>
  <c r="BK239" i="3"/>
  <c r="BJ239" i="3"/>
  <c r="BF239" i="3"/>
  <c r="BC239" i="3"/>
  <c r="AZ239" i="3"/>
  <c r="AW239" i="3"/>
  <c r="AT239" i="3"/>
  <c r="AQ239" i="3"/>
  <c r="AN239" i="3"/>
  <c r="AK239" i="3"/>
  <c r="AH239" i="3"/>
  <c r="AE239" i="3"/>
  <c r="AD239" i="3"/>
  <c r="V239" i="3"/>
  <c r="T239" i="3"/>
  <c r="S239" i="3"/>
  <c r="BC239" i="4" s="1"/>
  <c r="P239" i="3"/>
  <c r="O239" i="3"/>
  <c r="L239" i="3"/>
  <c r="K239" i="3"/>
  <c r="BA239" i="4" s="1"/>
  <c r="H239" i="3"/>
  <c r="G239" i="3"/>
  <c r="BB239" i="4" s="1"/>
  <c r="BK238" i="3"/>
  <c r="BJ238" i="3"/>
  <c r="BF238" i="3"/>
  <c r="BC238" i="3"/>
  <c r="AZ238" i="3"/>
  <c r="AW238" i="3"/>
  <c r="AT238" i="3"/>
  <c r="AQ238" i="3"/>
  <c r="AN238" i="3"/>
  <c r="AK238" i="3"/>
  <c r="AH238" i="3"/>
  <c r="AE238" i="3"/>
  <c r="AD238" i="3"/>
  <c r="V238" i="3"/>
  <c r="S238" i="3"/>
  <c r="BC238" i="4" s="1"/>
  <c r="O238" i="3"/>
  <c r="P238" i="3" s="1"/>
  <c r="K238" i="3"/>
  <c r="BA238" i="4" s="1"/>
  <c r="G238" i="3"/>
  <c r="BB238" i="4" s="1"/>
  <c r="BK237" i="3"/>
  <c r="BJ237" i="3"/>
  <c r="BF237" i="3"/>
  <c r="BC237" i="3"/>
  <c r="AZ237" i="3"/>
  <c r="AW237" i="3"/>
  <c r="AT237" i="3"/>
  <c r="AQ237" i="3"/>
  <c r="AN237" i="3"/>
  <c r="AK237" i="3"/>
  <c r="AH237" i="3"/>
  <c r="AD237" i="3"/>
  <c r="AE237" i="3" s="1"/>
  <c r="V237" i="3"/>
  <c r="T237" i="3"/>
  <c r="S237" i="3"/>
  <c r="BC237" i="4" s="1"/>
  <c r="P237" i="3"/>
  <c r="O237" i="3"/>
  <c r="L237" i="3"/>
  <c r="K237" i="3"/>
  <c r="BA237" i="4" s="1"/>
  <c r="H237" i="3"/>
  <c r="G237" i="3"/>
  <c r="BB237" i="4" s="1"/>
  <c r="BK236" i="3"/>
  <c r="BJ236" i="3"/>
  <c r="BF236" i="3"/>
  <c r="BC236" i="3"/>
  <c r="AZ236" i="3"/>
  <c r="AW236" i="3"/>
  <c r="AT236" i="3"/>
  <c r="AQ236" i="3"/>
  <c r="AN236" i="3"/>
  <c r="AK236" i="3"/>
  <c r="AH236" i="3"/>
  <c r="AE236" i="3"/>
  <c r="AD236" i="3"/>
  <c r="V236" i="3"/>
  <c r="T236" i="3"/>
  <c r="S236" i="3"/>
  <c r="BC236" i="4" s="1"/>
  <c r="P236" i="3"/>
  <c r="O236" i="3"/>
  <c r="L236" i="3"/>
  <c r="K236" i="3"/>
  <c r="BA236" i="4" s="1"/>
  <c r="H236" i="3"/>
  <c r="G236" i="3"/>
  <c r="BB236" i="4" s="1"/>
  <c r="BK235" i="3"/>
  <c r="BJ235" i="3"/>
  <c r="BF235" i="3"/>
  <c r="BC235" i="3"/>
  <c r="AZ235" i="3"/>
  <c r="AW235" i="3"/>
  <c r="AT235" i="3"/>
  <c r="AQ235" i="3"/>
  <c r="AN235" i="3"/>
  <c r="AK235" i="3"/>
  <c r="AH235" i="3"/>
  <c r="AE235" i="3"/>
  <c r="AD235" i="3"/>
  <c r="V235" i="3"/>
  <c r="T235" i="3"/>
  <c r="S235" i="3"/>
  <c r="BC235" i="4" s="1"/>
  <c r="P235" i="3"/>
  <c r="O235" i="3"/>
  <c r="L235" i="3"/>
  <c r="K235" i="3"/>
  <c r="BA235" i="4" s="1"/>
  <c r="H235" i="3"/>
  <c r="G235" i="3"/>
  <c r="BB235" i="4" s="1"/>
  <c r="BK234" i="3"/>
  <c r="BJ234" i="3"/>
  <c r="BF234" i="3"/>
  <c r="BC234" i="3"/>
  <c r="AZ234" i="3"/>
  <c r="AW234" i="3"/>
  <c r="AT234" i="3"/>
  <c r="AQ234" i="3"/>
  <c r="AN234" i="3"/>
  <c r="AK234" i="3"/>
  <c r="AH234" i="3"/>
  <c r="AE234" i="3"/>
  <c r="AD234" i="3"/>
  <c r="V234" i="3"/>
  <c r="T234" i="3"/>
  <c r="S234" i="3"/>
  <c r="BC234" i="4" s="1"/>
  <c r="P234" i="3"/>
  <c r="O234" i="3"/>
  <c r="L234" i="3"/>
  <c r="K234" i="3"/>
  <c r="BA234" i="4" s="1"/>
  <c r="H234" i="3"/>
  <c r="G234" i="3"/>
  <c r="BB234" i="4" s="1"/>
  <c r="BK233" i="3"/>
  <c r="BJ233" i="3"/>
  <c r="BF233" i="3"/>
  <c r="BC233" i="3"/>
  <c r="AZ233" i="3"/>
  <c r="AW233" i="3"/>
  <c r="AT233" i="3"/>
  <c r="AQ233" i="3"/>
  <c r="AN233" i="3"/>
  <c r="AK233" i="3"/>
  <c r="AH233" i="3"/>
  <c r="AD233" i="3"/>
  <c r="AE233" i="3" s="1"/>
  <c r="V233" i="3"/>
  <c r="T233" i="3"/>
  <c r="S233" i="3"/>
  <c r="BC233" i="4" s="1"/>
  <c r="P233" i="3"/>
  <c r="O233" i="3"/>
  <c r="L233" i="3"/>
  <c r="K233" i="3"/>
  <c r="BA233" i="4" s="1"/>
  <c r="H233" i="3"/>
  <c r="G233" i="3"/>
  <c r="BB233" i="4" s="1"/>
  <c r="BK232" i="3"/>
  <c r="BJ232" i="3"/>
  <c r="BF232" i="3"/>
  <c r="BC232" i="3"/>
  <c r="AZ232" i="3"/>
  <c r="AW232" i="3"/>
  <c r="AT232" i="3"/>
  <c r="AQ232" i="3"/>
  <c r="AN232" i="3"/>
  <c r="AK232" i="3"/>
  <c r="AH232" i="3"/>
  <c r="AE232" i="3"/>
  <c r="AD232" i="3"/>
  <c r="V232" i="3"/>
  <c r="S232" i="3"/>
  <c r="BC232" i="4" s="1"/>
  <c r="O232" i="3"/>
  <c r="P232" i="3" s="1"/>
  <c r="K232" i="3"/>
  <c r="BA232" i="4" s="1"/>
  <c r="G232" i="3"/>
  <c r="BB232" i="4" s="1"/>
  <c r="BK231" i="3"/>
  <c r="BJ231" i="3"/>
  <c r="BF231" i="3"/>
  <c r="BC231" i="3"/>
  <c r="AZ231" i="3"/>
  <c r="AW231" i="3"/>
  <c r="AT231" i="3"/>
  <c r="AQ231" i="3"/>
  <c r="AN231" i="3"/>
  <c r="AK231" i="3"/>
  <c r="AH231" i="3"/>
  <c r="AD231" i="3"/>
  <c r="AE231" i="3" s="1"/>
  <c r="V231" i="3"/>
  <c r="T231" i="3"/>
  <c r="S231" i="3"/>
  <c r="BC231" i="4" s="1"/>
  <c r="P231" i="3"/>
  <c r="O231" i="3"/>
  <c r="L231" i="3"/>
  <c r="K231" i="3"/>
  <c r="BA231" i="4" s="1"/>
  <c r="H231" i="3"/>
  <c r="G231" i="3"/>
  <c r="BB231" i="4" s="1"/>
  <c r="BK230" i="3"/>
  <c r="BJ230" i="3"/>
  <c r="BF230" i="3"/>
  <c r="BC230" i="3"/>
  <c r="AZ230" i="3"/>
  <c r="AW230" i="3"/>
  <c r="AT230" i="3"/>
  <c r="AQ230" i="3"/>
  <c r="AN230" i="3"/>
  <c r="AK230" i="3"/>
  <c r="AH230" i="3"/>
  <c r="AE230" i="3"/>
  <c r="AD230" i="3"/>
  <c r="V230" i="3"/>
  <c r="S230" i="3"/>
  <c r="BC230" i="4" s="1"/>
  <c r="O230" i="3"/>
  <c r="P230" i="3" s="1"/>
  <c r="K230" i="3"/>
  <c r="BA230" i="4" s="1"/>
  <c r="G230" i="3"/>
  <c r="BB230" i="4" s="1"/>
  <c r="BK229" i="3"/>
  <c r="BJ229" i="3"/>
  <c r="BF229" i="3"/>
  <c r="BC229" i="3"/>
  <c r="AZ229" i="3"/>
  <c r="AW229" i="3"/>
  <c r="AT229" i="3"/>
  <c r="AQ229" i="3"/>
  <c r="AN229" i="3"/>
  <c r="AK229" i="3"/>
  <c r="AH229" i="3"/>
  <c r="AE229" i="3"/>
  <c r="AD229" i="3"/>
  <c r="V229" i="3"/>
  <c r="T229" i="3"/>
  <c r="S229" i="3"/>
  <c r="BC229" i="4" s="1"/>
  <c r="P229" i="3"/>
  <c r="O229" i="3"/>
  <c r="L229" i="3"/>
  <c r="K229" i="3"/>
  <c r="BA229" i="4" s="1"/>
  <c r="H229" i="3"/>
  <c r="G229" i="3"/>
  <c r="BB229" i="4" s="1"/>
  <c r="BK228" i="3"/>
  <c r="BJ228" i="3"/>
  <c r="BF228" i="3"/>
  <c r="BC228" i="3"/>
  <c r="AZ228" i="3"/>
  <c r="AW228" i="3"/>
  <c r="AT228" i="3"/>
  <c r="AQ228" i="3"/>
  <c r="AN228" i="3"/>
  <c r="AK228" i="3"/>
  <c r="AH228" i="3"/>
  <c r="AE228" i="3"/>
  <c r="AD228" i="3"/>
  <c r="V228" i="3"/>
  <c r="T228" i="3"/>
  <c r="S228" i="3"/>
  <c r="BC228" i="4" s="1"/>
  <c r="P228" i="3"/>
  <c r="O228" i="3"/>
  <c r="L228" i="3"/>
  <c r="K228" i="3"/>
  <c r="BA228" i="4" s="1"/>
  <c r="H228" i="3"/>
  <c r="G228" i="3"/>
  <c r="BB228" i="4" s="1"/>
  <c r="BK227" i="3"/>
  <c r="BJ227" i="3"/>
  <c r="BF227" i="3"/>
  <c r="BC227" i="3"/>
  <c r="AZ227" i="3"/>
  <c r="AW227" i="3"/>
  <c r="AT227" i="3"/>
  <c r="AQ227" i="3"/>
  <c r="AN227" i="3"/>
  <c r="AK227" i="3"/>
  <c r="AH227" i="3"/>
  <c r="AD227" i="3"/>
  <c r="AE227" i="3" s="1"/>
  <c r="V227" i="3"/>
  <c r="T227" i="3"/>
  <c r="S227" i="3"/>
  <c r="BC227" i="4" s="1"/>
  <c r="P227" i="3"/>
  <c r="O227" i="3"/>
  <c r="L227" i="3"/>
  <c r="K227" i="3"/>
  <c r="BA227" i="4" s="1"/>
  <c r="H227" i="3"/>
  <c r="G227" i="3"/>
  <c r="BB227" i="4" s="1"/>
  <c r="BK226" i="3"/>
  <c r="BJ226" i="3"/>
  <c r="BF226" i="3"/>
  <c r="BC226" i="3"/>
  <c r="AZ226" i="3"/>
  <c r="AW226" i="3"/>
  <c r="AT226" i="3"/>
  <c r="AQ226" i="3"/>
  <c r="AN226" i="3"/>
  <c r="AK226" i="3"/>
  <c r="AH226" i="3"/>
  <c r="AE226" i="3"/>
  <c r="AD226" i="3"/>
  <c r="V226" i="3"/>
  <c r="S226" i="3"/>
  <c r="BC226" i="4" s="1"/>
  <c r="O226" i="3"/>
  <c r="P226" i="3" s="1"/>
  <c r="K226" i="3"/>
  <c r="BA226" i="4" s="1"/>
  <c r="G226" i="3"/>
  <c r="BB226" i="4" s="1"/>
  <c r="BK225" i="3"/>
  <c r="BJ225" i="3"/>
  <c r="BF225" i="3"/>
  <c r="BC225" i="3"/>
  <c r="AZ225" i="3"/>
  <c r="AW225" i="3"/>
  <c r="AT225" i="3"/>
  <c r="AQ225" i="3"/>
  <c r="AN225" i="3"/>
  <c r="AK225" i="3"/>
  <c r="AH225" i="3"/>
  <c r="AD225" i="3"/>
  <c r="AE225" i="3" s="1"/>
  <c r="V225" i="3"/>
  <c r="T225" i="3"/>
  <c r="S225" i="3"/>
  <c r="BC225" i="4" s="1"/>
  <c r="P225" i="3"/>
  <c r="O225" i="3"/>
  <c r="L225" i="3"/>
  <c r="K225" i="3"/>
  <c r="BA225" i="4" s="1"/>
  <c r="H225" i="3"/>
  <c r="G225" i="3"/>
  <c r="BB225" i="4" s="1"/>
  <c r="BK224" i="3"/>
  <c r="BJ224" i="3"/>
  <c r="BF224" i="3"/>
  <c r="BC224" i="3"/>
  <c r="AZ224" i="3"/>
  <c r="AW224" i="3"/>
  <c r="AT224" i="3"/>
  <c r="AQ224" i="3"/>
  <c r="AN224" i="3"/>
  <c r="AK224" i="3"/>
  <c r="AH224" i="3"/>
  <c r="AE224" i="3"/>
  <c r="AD224" i="3"/>
  <c r="V224" i="3"/>
  <c r="S224" i="3"/>
  <c r="BC224" i="4" s="1"/>
  <c r="O224" i="3"/>
  <c r="P224" i="3" s="1"/>
  <c r="K224" i="3"/>
  <c r="BA224" i="4" s="1"/>
  <c r="G224" i="3"/>
  <c r="BB224" i="4" s="1"/>
  <c r="BK223" i="3"/>
  <c r="BJ223" i="3"/>
  <c r="BF223" i="3"/>
  <c r="BC223" i="3"/>
  <c r="AZ223" i="3"/>
  <c r="AW223" i="3"/>
  <c r="AT223" i="3"/>
  <c r="AQ223" i="3"/>
  <c r="AN223" i="3"/>
  <c r="AK223" i="3"/>
  <c r="AH223" i="3"/>
  <c r="AD223" i="3"/>
  <c r="AE223" i="3" s="1"/>
  <c r="V223" i="3"/>
  <c r="T223" i="3"/>
  <c r="S223" i="3"/>
  <c r="BC223" i="4" s="1"/>
  <c r="P223" i="3"/>
  <c r="O223" i="3"/>
  <c r="L223" i="3"/>
  <c r="K223" i="3"/>
  <c r="BA223" i="4" s="1"/>
  <c r="H223" i="3"/>
  <c r="G223" i="3"/>
  <c r="BB223" i="4" s="1"/>
  <c r="BK222" i="3"/>
  <c r="BJ222" i="3"/>
  <c r="BF222" i="3"/>
  <c r="BC222" i="3"/>
  <c r="AZ222" i="3"/>
  <c r="AW222" i="3"/>
  <c r="AT222" i="3"/>
  <c r="AQ222" i="3"/>
  <c r="AN222" i="3"/>
  <c r="AK222" i="3"/>
  <c r="AH222" i="3"/>
  <c r="AE222" i="3"/>
  <c r="AD222" i="3"/>
  <c r="V222" i="3"/>
  <c r="T222" i="3"/>
  <c r="S222" i="3"/>
  <c r="BC222" i="4" s="1"/>
  <c r="P222" i="3"/>
  <c r="O222" i="3"/>
  <c r="L222" i="3"/>
  <c r="K222" i="3"/>
  <c r="BA222" i="4" s="1"/>
  <c r="H222" i="3"/>
  <c r="G222" i="3"/>
  <c r="BB222" i="4" s="1"/>
  <c r="BK221" i="3"/>
  <c r="BJ221" i="3"/>
  <c r="BF221" i="3"/>
  <c r="BC221" i="3"/>
  <c r="AZ221" i="3"/>
  <c r="AW221" i="3"/>
  <c r="AT221" i="3"/>
  <c r="AQ221" i="3"/>
  <c r="AN221" i="3"/>
  <c r="AK221" i="3"/>
  <c r="AH221" i="3"/>
  <c r="AD221" i="3"/>
  <c r="AE221" i="3" s="1"/>
  <c r="V221" i="3"/>
  <c r="T221" i="3"/>
  <c r="S221" i="3"/>
  <c r="BC221" i="4" s="1"/>
  <c r="P221" i="3"/>
  <c r="O221" i="3"/>
  <c r="L221" i="3"/>
  <c r="K221" i="3"/>
  <c r="BA221" i="4" s="1"/>
  <c r="H221" i="3"/>
  <c r="G221" i="3"/>
  <c r="BB221" i="4" s="1"/>
  <c r="BK220" i="3"/>
  <c r="BJ220" i="3"/>
  <c r="BF220" i="3"/>
  <c r="BC220" i="3"/>
  <c r="AZ220" i="3"/>
  <c r="AW220" i="3"/>
  <c r="AT220" i="3"/>
  <c r="AQ220" i="3"/>
  <c r="AN220" i="3"/>
  <c r="AK220" i="3"/>
  <c r="AH220" i="3"/>
  <c r="AE220" i="3"/>
  <c r="AD220" i="3"/>
  <c r="V220" i="3"/>
  <c r="S220" i="3"/>
  <c r="BC220" i="4" s="1"/>
  <c r="O220" i="3"/>
  <c r="P220" i="3" s="1"/>
  <c r="K220" i="3"/>
  <c r="BA220" i="4" s="1"/>
  <c r="G220" i="3"/>
  <c r="BB220" i="4" s="1"/>
  <c r="BK219" i="3"/>
  <c r="BJ219" i="3"/>
  <c r="BF219" i="3"/>
  <c r="BC219" i="3"/>
  <c r="AZ219" i="3"/>
  <c r="AW219" i="3"/>
  <c r="AT219" i="3"/>
  <c r="AQ219" i="3"/>
  <c r="AN219" i="3"/>
  <c r="AK219" i="3"/>
  <c r="AH219" i="3"/>
  <c r="AD219" i="3"/>
  <c r="AE219" i="3" s="1"/>
  <c r="V219" i="3"/>
  <c r="T219" i="3"/>
  <c r="S219" i="3"/>
  <c r="BC219" i="4" s="1"/>
  <c r="P219" i="3"/>
  <c r="O219" i="3"/>
  <c r="L219" i="3"/>
  <c r="K219" i="3"/>
  <c r="BA219" i="4" s="1"/>
  <c r="H219" i="3"/>
  <c r="G219" i="3"/>
  <c r="BB219" i="4" s="1"/>
  <c r="BK218" i="3"/>
  <c r="BJ218" i="3"/>
  <c r="BF218" i="3"/>
  <c r="BC218" i="3"/>
  <c r="AZ218" i="3"/>
  <c r="AW218" i="3"/>
  <c r="AT218" i="3"/>
  <c r="AQ218" i="3"/>
  <c r="AN218" i="3"/>
  <c r="AK218" i="3"/>
  <c r="AH218" i="3"/>
  <c r="AE218" i="3"/>
  <c r="AD218" i="3"/>
  <c r="V218" i="3"/>
  <c r="S218" i="3"/>
  <c r="BC218" i="4" s="1"/>
  <c r="O218" i="3"/>
  <c r="P218" i="3" s="1"/>
  <c r="K218" i="3"/>
  <c r="BA218" i="4" s="1"/>
  <c r="G218" i="3"/>
  <c r="BB218" i="4" s="1"/>
  <c r="BK217" i="3"/>
  <c r="BJ217" i="3"/>
  <c r="BF217" i="3"/>
  <c r="BC217" i="3"/>
  <c r="AZ217" i="3"/>
  <c r="AW217" i="3"/>
  <c r="AT217" i="3"/>
  <c r="AQ217" i="3"/>
  <c r="AN217" i="3"/>
  <c r="AK217" i="3"/>
  <c r="AH217" i="3"/>
  <c r="AD217" i="3"/>
  <c r="AE217" i="3" s="1"/>
  <c r="V217" i="3"/>
  <c r="T217" i="3"/>
  <c r="S217" i="3"/>
  <c r="BC217" i="4" s="1"/>
  <c r="P217" i="3"/>
  <c r="O217" i="3"/>
  <c r="L217" i="3"/>
  <c r="K217" i="3"/>
  <c r="BA217" i="4" s="1"/>
  <c r="H217" i="3"/>
  <c r="G217" i="3"/>
  <c r="BB217" i="4" s="1"/>
  <c r="BK216" i="3"/>
  <c r="BJ216" i="3"/>
  <c r="BF216" i="3"/>
  <c r="BC216" i="3"/>
  <c r="AZ216" i="3"/>
  <c r="AW216" i="3"/>
  <c r="AT216" i="3"/>
  <c r="AQ216" i="3"/>
  <c r="AN216" i="3"/>
  <c r="AK216" i="3"/>
  <c r="AH216" i="3"/>
  <c r="AE216" i="3"/>
  <c r="AD216" i="3"/>
  <c r="V216" i="3"/>
  <c r="S216" i="3"/>
  <c r="BC216" i="4" s="1"/>
  <c r="O216" i="3"/>
  <c r="P216" i="3" s="1"/>
  <c r="K216" i="3"/>
  <c r="BA216" i="4" s="1"/>
  <c r="G216" i="3"/>
  <c r="BB216" i="4" s="1"/>
  <c r="BK215" i="3"/>
  <c r="BJ215" i="3"/>
  <c r="BF215" i="3"/>
  <c r="BC215" i="3"/>
  <c r="AZ215" i="3"/>
  <c r="AW215" i="3"/>
  <c r="AT215" i="3"/>
  <c r="AQ215" i="3"/>
  <c r="AN215" i="3"/>
  <c r="AK215" i="3"/>
  <c r="AH215" i="3"/>
  <c r="AE215" i="3"/>
  <c r="AD215" i="3"/>
  <c r="V215" i="3"/>
  <c r="T215" i="3"/>
  <c r="S215" i="3"/>
  <c r="BC215" i="4" s="1"/>
  <c r="P215" i="3"/>
  <c r="O215" i="3"/>
  <c r="L215" i="3"/>
  <c r="K215" i="3"/>
  <c r="BA215" i="4" s="1"/>
  <c r="H215" i="3"/>
  <c r="G215" i="3"/>
  <c r="BB215" i="4" s="1"/>
  <c r="BK214" i="3"/>
  <c r="BJ214" i="3"/>
  <c r="BF214" i="3"/>
  <c r="BC214" i="3"/>
  <c r="AZ214" i="3"/>
  <c r="AW214" i="3"/>
  <c r="AT214" i="3"/>
  <c r="AQ214" i="3"/>
  <c r="AN214" i="3"/>
  <c r="AK214" i="3"/>
  <c r="AH214" i="3"/>
  <c r="AE214" i="3"/>
  <c r="AD214" i="3"/>
  <c r="V214" i="3"/>
  <c r="S214" i="3"/>
  <c r="BC214" i="4" s="1"/>
  <c r="O214" i="3"/>
  <c r="P214" i="3" s="1"/>
  <c r="K214" i="3"/>
  <c r="BA214" i="4" s="1"/>
  <c r="G214" i="3"/>
  <c r="BB214" i="4" s="1"/>
  <c r="BK213" i="3"/>
  <c r="BJ213" i="3"/>
  <c r="BF213" i="3"/>
  <c r="BC213" i="3"/>
  <c r="AZ213" i="3"/>
  <c r="AW213" i="3"/>
  <c r="AT213" i="3"/>
  <c r="AQ213" i="3"/>
  <c r="AN213" i="3"/>
  <c r="AK213" i="3"/>
  <c r="AH213" i="3"/>
  <c r="AD213" i="3"/>
  <c r="AE213" i="3" s="1"/>
  <c r="V213" i="3"/>
  <c r="T213" i="3"/>
  <c r="S213" i="3"/>
  <c r="BC213" i="4" s="1"/>
  <c r="P213" i="3"/>
  <c r="O213" i="3"/>
  <c r="L213" i="3"/>
  <c r="K213" i="3"/>
  <c r="BA213" i="4" s="1"/>
  <c r="H213" i="3"/>
  <c r="G213" i="3"/>
  <c r="BB213" i="4" s="1"/>
  <c r="BK212" i="3"/>
  <c r="BJ212" i="3"/>
  <c r="BF212" i="3"/>
  <c r="BC212" i="3"/>
  <c r="AZ212" i="3"/>
  <c r="AW212" i="3"/>
  <c r="AT212" i="3"/>
  <c r="AQ212" i="3"/>
  <c r="AN212" i="3"/>
  <c r="AK212" i="3"/>
  <c r="AH212" i="3"/>
  <c r="AE212" i="3"/>
  <c r="AD212" i="3"/>
  <c r="V212" i="3"/>
  <c r="S212" i="3"/>
  <c r="BC212" i="4" s="1"/>
  <c r="O212" i="3"/>
  <c r="P212" i="3" s="1"/>
  <c r="K212" i="3"/>
  <c r="BA212" i="4" s="1"/>
  <c r="G212" i="3"/>
  <c r="BB212" i="4" s="1"/>
  <c r="BK211" i="3"/>
  <c r="BJ211" i="3"/>
  <c r="BF211" i="3"/>
  <c r="BC211" i="3"/>
  <c r="AZ211" i="3"/>
  <c r="AW211" i="3"/>
  <c r="AT211" i="3"/>
  <c r="AQ211" i="3"/>
  <c r="AN211" i="3"/>
  <c r="AK211" i="3"/>
  <c r="AH211" i="3"/>
  <c r="AD211" i="3"/>
  <c r="AE211" i="3" s="1"/>
  <c r="V211" i="3"/>
  <c r="T211" i="3"/>
  <c r="S211" i="3"/>
  <c r="BC211" i="4" s="1"/>
  <c r="P211" i="3"/>
  <c r="O211" i="3"/>
  <c r="L211" i="3"/>
  <c r="K211" i="3"/>
  <c r="BA211" i="4" s="1"/>
  <c r="H211" i="3"/>
  <c r="G211" i="3"/>
  <c r="BB211" i="4" s="1"/>
  <c r="BK210" i="3"/>
  <c r="BJ210" i="3"/>
  <c r="BF210" i="3"/>
  <c r="BC210" i="3"/>
  <c r="AZ210" i="3"/>
  <c r="AW210" i="3"/>
  <c r="AT210" i="3"/>
  <c r="AQ210" i="3"/>
  <c r="AN210" i="3"/>
  <c r="AK210" i="3"/>
  <c r="AH210" i="3"/>
  <c r="AE210" i="3"/>
  <c r="AD210" i="3"/>
  <c r="V210" i="3"/>
  <c r="S210" i="3"/>
  <c r="BC210" i="4" s="1"/>
  <c r="O210" i="3"/>
  <c r="P210" i="3" s="1"/>
  <c r="K210" i="3"/>
  <c r="BA210" i="4" s="1"/>
  <c r="G210" i="3"/>
  <c r="BB210" i="4" s="1"/>
  <c r="BK209" i="3"/>
  <c r="BJ209" i="3"/>
  <c r="BF209" i="3"/>
  <c r="BC209" i="3"/>
  <c r="AZ209" i="3"/>
  <c r="AW209" i="3"/>
  <c r="AT209" i="3"/>
  <c r="AQ209" i="3"/>
  <c r="AN209" i="3"/>
  <c r="AK209" i="3"/>
  <c r="AH209" i="3"/>
  <c r="AE209" i="3"/>
  <c r="AD209" i="3"/>
  <c r="V209" i="3"/>
  <c r="T209" i="3"/>
  <c r="S209" i="3"/>
  <c r="BC209" i="4" s="1"/>
  <c r="P209" i="3"/>
  <c r="O209" i="3"/>
  <c r="L209" i="3"/>
  <c r="K209" i="3"/>
  <c r="BA209" i="4" s="1"/>
  <c r="H209" i="3"/>
  <c r="G209" i="3"/>
  <c r="BB209" i="4" s="1"/>
  <c r="BK208" i="3"/>
  <c r="BJ208" i="3"/>
  <c r="BF208" i="3"/>
  <c r="BC208" i="3"/>
  <c r="AZ208" i="3"/>
  <c r="AW208" i="3"/>
  <c r="AT208" i="3"/>
  <c r="AQ208" i="3"/>
  <c r="AN208" i="3"/>
  <c r="AK208" i="3"/>
  <c r="AH208" i="3"/>
  <c r="AE208" i="3"/>
  <c r="AD208" i="3"/>
  <c r="V208" i="3"/>
  <c r="T208" i="3"/>
  <c r="S208" i="3"/>
  <c r="BC208" i="4" s="1"/>
  <c r="P208" i="3"/>
  <c r="O208" i="3"/>
  <c r="L208" i="3"/>
  <c r="K208" i="3"/>
  <c r="BA208" i="4" s="1"/>
  <c r="H208" i="3"/>
  <c r="G208" i="3"/>
  <c r="BB208" i="4" s="1"/>
  <c r="BK207" i="3"/>
  <c r="BJ207" i="3"/>
  <c r="BF207" i="3"/>
  <c r="BC207" i="3"/>
  <c r="AZ207" i="3"/>
  <c r="AW207" i="3"/>
  <c r="AT207" i="3"/>
  <c r="AQ207" i="3"/>
  <c r="AN207" i="3"/>
  <c r="AK207" i="3"/>
  <c r="AH207" i="3"/>
  <c r="AE207" i="3"/>
  <c r="AD207" i="3"/>
  <c r="V207" i="3"/>
  <c r="T207" i="3"/>
  <c r="S207" i="3"/>
  <c r="BC207" i="4" s="1"/>
  <c r="P207" i="3"/>
  <c r="O207" i="3"/>
  <c r="L207" i="3"/>
  <c r="K207" i="3"/>
  <c r="BA207" i="4" s="1"/>
  <c r="H207" i="3"/>
  <c r="G207" i="3"/>
  <c r="BB207" i="4" s="1"/>
  <c r="BK206" i="3"/>
  <c r="BJ206" i="3"/>
  <c r="BF206" i="3"/>
  <c r="BC206" i="3"/>
  <c r="AZ206" i="3"/>
  <c r="AW206" i="3"/>
  <c r="AT206" i="3"/>
  <c r="AQ206" i="3"/>
  <c r="AN206" i="3"/>
  <c r="AK206" i="3"/>
  <c r="AH206" i="3"/>
  <c r="AE206" i="3"/>
  <c r="AD206" i="3"/>
  <c r="V206" i="3"/>
  <c r="T206" i="3"/>
  <c r="S206" i="3"/>
  <c r="BC206" i="4" s="1"/>
  <c r="P206" i="3"/>
  <c r="O206" i="3"/>
  <c r="L206" i="3"/>
  <c r="K206" i="3"/>
  <c r="BA206" i="4" s="1"/>
  <c r="H206" i="3"/>
  <c r="G206" i="3"/>
  <c r="BB206" i="4" s="1"/>
  <c r="BK205" i="3"/>
  <c r="BJ205" i="3"/>
  <c r="BF205" i="3"/>
  <c r="BC205" i="3"/>
  <c r="AZ205" i="3"/>
  <c r="AW205" i="3"/>
  <c r="AT205" i="3"/>
  <c r="AQ205" i="3"/>
  <c r="AN205" i="3"/>
  <c r="AK205" i="3"/>
  <c r="AH205" i="3"/>
  <c r="AE205" i="3"/>
  <c r="AD205" i="3"/>
  <c r="V205" i="3"/>
  <c r="T205" i="3"/>
  <c r="S205" i="3"/>
  <c r="BC205" i="4" s="1"/>
  <c r="P205" i="3"/>
  <c r="O205" i="3"/>
  <c r="L205" i="3"/>
  <c r="K205" i="3"/>
  <c r="BA205" i="4" s="1"/>
  <c r="H205" i="3"/>
  <c r="G205" i="3"/>
  <c r="BB205" i="4" s="1"/>
  <c r="BK204" i="3"/>
  <c r="BJ204" i="3"/>
  <c r="BF204" i="3"/>
  <c r="BC204" i="3"/>
  <c r="AZ204" i="3"/>
  <c r="AW204" i="3"/>
  <c r="AT204" i="3"/>
  <c r="AQ204" i="3"/>
  <c r="AN204" i="3"/>
  <c r="AK204" i="3"/>
  <c r="AH204" i="3"/>
  <c r="AE204" i="3"/>
  <c r="AD204" i="3"/>
  <c r="V204" i="3"/>
  <c r="T204" i="3"/>
  <c r="S204" i="3"/>
  <c r="BC204" i="4" s="1"/>
  <c r="P204" i="3"/>
  <c r="O204" i="3"/>
  <c r="L204" i="3"/>
  <c r="K204" i="3"/>
  <c r="BA204" i="4" s="1"/>
  <c r="H204" i="3"/>
  <c r="G204" i="3"/>
  <c r="BB204" i="4" s="1"/>
  <c r="BK203" i="3"/>
  <c r="BJ203" i="3"/>
  <c r="BF203" i="3"/>
  <c r="BC203" i="3"/>
  <c r="AZ203" i="3"/>
  <c r="AW203" i="3"/>
  <c r="AT203" i="3"/>
  <c r="AQ203" i="3"/>
  <c r="AN203" i="3"/>
  <c r="AK203" i="3"/>
  <c r="AH203" i="3"/>
  <c r="AE203" i="3"/>
  <c r="AD203" i="3"/>
  <c r="V203" i="3"/>
  <c r="T203" i="3"/>
  <c r="S203" i="3"/>
  <c r="BC203" i="4" s="1"/>
  <c r="P203" i="3"/>
  <c r="O203" i="3"/>
  <c r="L203" i="3"/>
  <c r="K203" i="3"/>
  <c r="BA203" i="4" s="1"/>
  <c r="H203" i="3"/>
  <c r="G203" i="3"/>
  <c r="BB203" i="4" s="1"/>
  <c r="BK202" i="3"/>
  <c r="BJ202" i="3"/>
  <c r="BF202" i="3"/>
  <c r="BC202" i="3"/>
  <c r="AZ202" i="3"/>
  <c r="AW202" i="3"/>
  <c r="AT202" i="3"/>
  <c r="AQ202" i="3"/>
  <c r="AN202" i="3"/>
  <c r="AK202" i="3"/>
  <c r="AH202" i="3"/>
  <c r="AE202" i="3"/>
  <c r="AD202" i="3"/>
  <c r="V202" i="3"/>
  <c r="T202" i="3"/>
  <c r="S202" i="3"/>
  <c r="BC202" i="4" s="1"/>
  <c r="P202" i="3"/>
  <c r="O202" i="3"/>
  <c r="L202" i="3"/>
  <c r="K202" i="3"/>
  <c r="BA202" i="4" s="1"/>
  <c r="H202" i="3"/>
  <c r="G202" i="3"/>
  <c r="BB202" i="4" s="1"/>
  <c r="BK201" i="3"/>
  <c r="BJ201" i="3"/>
  <c r="BF201" i="3"/>
  <c r="BC201" i="3"/>
  <c r="AZ201" i="3"/>
  <c r="AW201" i="3"/>
  <c r="AT201" i="3"/>
  <c r="AQ201" i="3"/>
  <c r="AN201" i="3"/>
  <c r="AK201" i="3"/>
  <c r="AH201" i="3"/>
  <c r="AE201" i="3"/>
  <c r="AD201" i="3"/>
  <c r="V201" i="3"/>
  <c r="T201" i="3"/>
  <c r="S201" i="3"/>
  <c r="BC201" i="4" s="1"/>
  <c r="P201" i="3"/>
  <c r="O201" i="3"/>
  <c r="L201" i="3"/>
  <c r="K201" i="3"/>
  <c r="BA201" i="4" s="1"/>
  <c r="H201" i="3"/>
  <c r="G201" i="3"/>
  <c r="BB201" i="4" s="1"/>
  <c r="BK200" i="3"/>
  <c r="BJ200" i="3"/>
  <c r="BF200" i="3"/>
  <c r="BC200" i="3"/>
  <c r="AZ200" i="3"/>
  <c r="AW200" i="3"/>
  <c r="AT200" i="3"/>
  <c r="AQ200" i="3"/>
  <c r="AN200" i="3"/>
  <c r="AK200" i="3"/>
  <c r="AH200" i="3"/>
  <c r="AE200" i="3"/>
  <c r="AD200" i="3"/>
  <c r="V200" i="3"/>
  <c r="T200" i="3"/>
  <c r="S200" i="3"/>
  <c r="BC200" i="4" s="1"/>
  <c r="P200" i="3"/>
  <c r="O200" i="3"/>
  <c r="L200" i="3"/>
  <c r="K200" i="3"/>
  <c r="BA200" i="4" s="1"/>
  <c r="H200" i="3"/>
  <c r="G200" i="3"/>
  <c r="BB200" i="4" s="1"/>
  <c r="BK199" i="3"/>
  <c r="BJ199" i="3"/>
  <c r="BF199" i="3"/>
  <c r="BC199" i="3"/>
  <c r="AZ199" i="3"/>
  <c r="AW199" i="3"/>
  <c r="AT199" i="3"/>
  <c r="AQ199" i="3"/>
  <c r="AN199" i="3"/>
  <c r="AK199" i="3"/>
  <c r="AH199" i="3"/>
  <c r="AE199" i="3"/>
  <c r="AD199" i="3"/>
  <c r="V199" i="3"/>
  <c r="T199" i="3"/>
  <c r="S199" i="3"/>
  <c r="BC199" i="4" s="1"/>
  <c r="P199" i="3"/>
  <c r="O199" i="3"/>
  <c r="L199" i="3"/>
  <c r="K199" i="3"/>
  <c r="BA199" i="4" s="1"/>
  <c r="H199" i="3"/>
  <c r="G199" i="3"/>
  <c r="BB199" i="4" s="1"/>
  <c r="BK198" i="3"/>
  <c r="BJ198" i="3"/>
  <c r="BF198" i="3"/>
  <c r="BC198" i="3"/>
  <c r="AZ198" i="3"/>
  <c r="AW198" i="3"/>
  <c r="AT198" i="3"/>
  <c r="AQ198" i="3"/>
  <c r="AN198" i="3"/>
  <c r="AK198" i="3"/>
  <c r="AH198" i="3"/>
  <c r="AE198" i="3"/>
  <c r="AD198" i="3"/>
  <c r="V198" i="3"/>
  <c r="T198" i="3"/>
  <c r="S198" i="3"/>
  <c r="BC198" i="4" s="1"/>
  <c r="P198" i="3"/>
  <c r="O198" i="3"/>
  <c r="L198" i="3"/>
  <c r="K198" i="3"/>
  <c r="BA198" i="4" s="1"/>
  <c r="H198" i="3"/>
  <c r="G198" i="3"/>
  <c r="BB198" i="4" s="1"/>
  <c r="BK197" i="3"/>
  <c r="BJ197" i="3"/>
  <c r="BF197" i="3"/>
  <c r="BC197" i="3"/>
  <c r="AZ197" i="3"/>
  <c r="AW197" i="3"/>
  <c r="AT197" i="3"/>
  <c r="AQ197" i="3"/>
  <c r="AN197" i="3"/>
  <c r="AK197" i="3"/>
  <c r="AH197" i="3"/>
  <c r="AE197" i="3"/>
  <c r="AD197" i="3"/>
  <c r="V197" i="3"/>
  <c r="T197" i="3"/>
  <c r="S197" i="3"/>
  <c r="BC197" i="4" s="1"/>
  <c r="P197" i="3"/>
  <c r="O197" i="3"/>
  <c r="L197" i="3"/>
  <c r="K197" i="3"/>
  <c r="BA197" i="4" s="1"/>
  <c r="H197" i="3"/>
  <c r="G197" i="3"/>
  <c r="BB197" i="4" s="1"/>
  <c r="BK196" i="3"/>
  <c r="BJ196" i="3"/>
  <c r="BF196" i="3"/>
  <c r="BC196" i="3"/>
  <c r="AZ196" i="3"/>
  <c r="AW196" i="3"/>
  <c r="AT196" i="3"/>
  <c r="AQ196" i="3"/>
  <c r="AN196" i="3"/>
  <c r="AK196" i="3"/>
  <c r="AH196" i="3"/>
  <c r="AE196" i="3"/>
  <c r="AD196" i="3"/>
  <c r="V196" i="3"/>
  <c r="T196" i="3"/>
  <c r="S196" i="3"/>
  <c r="BC196" i="4" s="1"/>
  <c r="P196" i="3"/>
  <c r="O196" i="3"/>
  <c r="L196" i="3"/>
  <c r="K196" i="3"/>
  <c r="BA196" i="4" s="1"/>
  <c r="H196" i="3"/>
  <c r="G196" i="3"/>
  <c r="BB196" i="4" s="1"/>
  <c r="BK195" i="3"/>
  <c r="BJ195" i="3"/>
  <c r="BF195" i="3"/>
  <c r="BC195" i="3"/>
  <c r="AZ195" i="3"/>
  <c r="AW195" i="3"/>
  <c r="AT195" i="3"/>
  <c r="AQ195" i="3"/>
  <c r="AN195" i="3"/>
  <c r="AK195" i="3"/>
  <c r="AH195" i="3"/>
  <c r="AE195" i="3"/>
  <c r="AD195" i="3"/>
  <c r="V195" i="3"/>
  <c r="T195" i="3"/>
  <c r="S195" i="3"/>
  <c r="BC195" i="4" s="1"/>
  <c r="P195" i="3"/>
  <c r="O195" i="3"/>
  <c r="L195" i="3"/>
  <c r="K195" i="3"/>
  <c r="BA195" i="4" s="1"/>
  <c r="H195" i="3"/>
  <c r="G195" i="3"/>
  <c r="BB195" i="4" s="1"/>
  <c r="BK194" i="3"/>
  <c r="BJ194" i="3"/>
  <c r="BF194" i="3"/>
  <c r="BC194" i="3"/>
  <c r="AZ194" i="3"/>
  <c r="AW194" i="3"/>
  <c r="AT194" i="3"/>
  <c r="AQ194" i="3"/>
  <c r="AN194" i="3"/>
  <c r="AK194" i="3"/>
  <c r="AH194" i="3"/>
  <c r="AE194" i="3"/>
  <c r="AD194" i="3"/>
  <c r="V194" i="3"/>
  <c r="T194" i="3"/>
  <c r="S194" i="3"/>
  <c r="BC194" i="4" s="1"/>
  <c r="P194" i="3"/>
  <c r="O194" i="3"/>
  <c r="L194" i="3"/>
  <c r="K194" i="3"/>
  <c r="BA194" i="4" s="1"/>
  <c r="H194" i="3"/>
  <c r="G194" i="3"/>
  <c r="BB194" i="4" s="1"/>
  <c r="BK193" i="3"/>
  <c r="BJ193" i="3"/>
  <c r="BF193" i="3"/>
  <c r="BC193" i="3"/>
  <c r="AZ193" i="3"/>
  <c r="AW193" i="3"/>
  <c r="AT193" i="3"/>
  <c r="AQ193" i="3"/>
  <c r="AN193" i="3"/>
  <c r="AK193" i="3"/>
  <c r="AH193" i="3"/>
  <c r="AE193" i="3"/>
  <c r="AD193" i="3"/>
  <c r="V193" i="3"/>
  <c r="T193" i="3"/>
  <c r="S193" i="3"/>
  <c r="BC193" i="4" s="1"/>
  <c r="P193" i="3"/>
  <c r="O193" i="3"/>
  <c r="L193" i="3"/>
  <c r="K193" i="3"/>
  <c r="BA193" i="4" s="1"/>
  <c r="H193" i="3"/>
  <c r="G193" i="3"/>
  <c r="BB193" i="4" s="1"/>
  <c r="BK192" i="3"/>
  <c r="BJ192" i="3"/>
  <c r="BF192" i="3"/>
  <c r="BC192" i="3"/>
  <c r="AZ192" i="3"/>
  <c r="AW192" i="3"/>
  <c r="AT192" i="3"/>
  <c r="AQ192" i="3"/>
  <c r="AN192" i="3"/>
  <c r="AK192" i="3"/>
  <c r="AH192" i="3"/>
  <c r="AE192" i="3"/>
  <c r="AD192" i="3"/>
  <c r="V192" i="3"/>
  <c r="T192" i="3"/>
  <c r="S192" i="3"/>
  <c r="BC192" i="4" s="1"/>
  <c r="P192" i="3"/>
  <c r="O192" i="3"/>
  <c r="L192" i="3"/>
  <c r="K192" i="3"/>
  <c r="BA192" i="4" s="1"/>
  <c r="H192" i="3"/>
  <c r="G192" i="3"/>
  <c r="BB192" i="4" s="1"/>
  <c r="BK191" i="3"/>
  <c r="BJ191" i="3"/>
  <c r="BF191" i="3"/>
  <c r="BC191" i="3"/>
  <c r="AZ191" i="3"/>
  <c r="AW191" i="3"/>
  <c r="AT191" i="3"/>
  <c r="AQ191" i="3"/>
  <c r="AN191" i="3"/>
  <c r="AK191" i="3"/>
  <c r="AH191" i="3"/>
  <c r="AE191" i="3"/>
  <c r="AD191" i="3"/>
  <c r="V191" i="3"/>
  <c r="T191" i="3"/>
  <c r="S191" i="3"/>
  <c r="BC191" i="4" s="1"/>
  <c r="P191" i="3"/>
  <c r="O191" i="3"/>
  <c r="L191" i="3"/>
  <c r="K191" i="3"/>
  <c r="BA191" i="4" s="1"/>
  <c r="H191" i="3"/>
  <c r="G191" i="3"/>
  <c r="BB191" i="4" s="1"/>
  <c r="BK190" i="3"/>
  <c r="BJ190" i="3"/>
  <c r="BF190" i="3"/>
  <c r="BC190" i="3"/>
  <c r="AZ190" i="3"/>
  <c r="AW190" i="3"/>
  <c r="AT190" i="3"/>
  <c r="AQ190" i="3"/>
  <c r="AN190" i="3"/>
  <c r="AK190" i="3"/>
  <c r="AH190" i="3"/>
  <c r="AE190" i="3"/>
  <c r="AD190" i="3"/>
  <c r="V190" i="3"/>
  <c r="T190" i="3"/>
  <c r="S190" i="3"/>
  <c r="BC190" i="4" s="1"/>
  <c r="P190" i="3"/>
  <c r="O190" i="3"/>
  <c r="L190" i="3"/>
  <c r="K190" i="3"/>
  <c r="BA190" i="4" s="1"/>
  <c r="H190" i="3"/>
  <c r="G190" i="3"/>
  <c r="BB190" i="4" s="1"/>
  <c r="BK189" i="3"/>
  <c r="BJ189" i="3"/>
  <c r="BF189" i="3"/>
  <c r="BC189" i="3"/>
  <c r="AZ189" i="3"/>
  <c r="AW189" i="3"/>
  <c r="AT189" i="3"/>
  <c r="AQ189" i="3"/>
  <c r="AN189" i="3"/>
  <c r="AK189" i="3"/>
  <c r="AH189" i="3"/>
  <c r="AE189" i="3"/>
  <c r="AD189" i="3"/>
  <c r="V189" i="3"/>
  <c r="T189" i="3"/>
  <c r="S189" i="3"/>
  <c r="BC189" i="4" s="1"/>
  <c r="P189" i="3"/>
  <c r="O189" i="3"/>
  <c r="L189" i="3"/>
  <c r="K189" i="3"/>
  <c r="BA189" i="4" s="1"/>
  <c r="H189" i="3"/>
  <c r="G189" i="3"/>
  <c r="BB189" i="4" s="1"/>
  <c r="BK188" i="3"/>
  <c r="BJ188" i="3"/>
  <c r="BF188" i="3"/>
  <c r="BC188" i="3"/>
  <c r="AZ188" i="3"/>
  <c r="AW188" i="3"/>
  <c r="AT188" i="3"/>
  <c r="AQ188" i="3"/>
  <c r="AN188" i="3"/>
  <c r="AK188" i="3"/>
  <c r="AH188" i="3"/>
  <c r="AE188" i="3"/>
  <c r="AD188" i="3"/>
  <c r="V188" i="3"/>
  <c r="S188" i="3"/>
  <c r="BC188" i="4" s="1"/>
  <c r="O188" i="3"/>
  <c r="P188" i="3" s="1"/>
  <c r="K188" i="3"/>
  <c r="BA188" i="4" s="1"/>
  <c r="G188" i="3"/>
  <c r="BB188" i="4" s="1"/>
  <c r="BK187" i="3"/>
  <c r="BJ187" i="3"/>
  <c r="BF187" i="3"/>
  <c r="BC187" i="3"/>
  <c r="AZ187" i="3"/>
  <c r="AW187" i="3"/>
  <c r="AT187" i="3"/>
  <c r="AQ187" i="3"/>
  <c r="AN187" i="3"/>
  <c r="AK187" i="3"/>
  <c r="AH187" i="3"/>
  <c r="AE187" i="3"/>
  <c r="AD187" i="3"/>
  <c r="V187" i="3"/>
  <c r="T187" i="3"/>
  <c r="S187" i="3"/>
  <c r="BC187" i="4" s="1"/>
  <c r="P187" i="3"/>
  <c r="O187" i="3"/>
  <c r="L187" i="3"/>
  <c r="K187" i="3"/>
  <c r="BA187" i="4" s="1"/>
  <c r="H187" i="3"/>
  <c r="G187" i="3"/>
  <c r="BB187" i="4" s="1"/>
  <c r="BK186" i="3"/>
  <c r="BJ186" i="3"/>
  <c r="BF186" i="3"/>
  <c r="BC186" i="3"/>
  <c r="AZ186" i="3"/>
  <c r="AW186" i="3"/>
  <c r="AT186" i="3"/>
  <c r="AQ186" i="3"/>
  <c r="AN186" i="3"/>
  <c r="AK186" i="3"/>
  <c r="AH186" i="3"/>
  <c r="AE186" i="3"/>
  <c r="AD186" i="3"/>
  <c r="V186" i="3"/>
  <c r="T186" i="3"/>
  <c r="S186" i="3"/>
  <c r="BC186" i="4" s="1"/>
  <c r="P186" i="3"/>
  <c r="O186" i="3"/>
  <c r="L186" i="3"/>
  <c r="K186" i="3"/>
  <c r="BA186" i="4" s="1"/>
  <c r="H186" i="3"/>
  <c r="G186" i="3"/>
  <c r="BB186" i="4" s="1"/>
  <c r="BK185" i="3"/>
  <c r="BJ185" i="3"/>
  <c r="BF185" i="3"/>
  <c r="BC185" i="3"/>
  <c r="AZ185" i="3"/>
  <c r="AW185" i="3"/>
  <c r="AT185" i="3"/>
  <c r="AQ185" i="3"/>
  <c r="AN185" i="3"/>
  <c r="AK185" i="3"/>
  <c r="AH185" i="3"/>
  <c r="AD185" i="3"/>
  <c r="AE185" i="3" s="1"/>
  <c r="V185" i="3"/>
  <c r="T185" i="3"/>
  <c r="S185" i="3"/>
  <c r="BC185" i="4" s="1"/>
  <c r="P185" i="3"/>
  <c r="O185" i="3"/>
  <c r="L185" i="3"/>
  <c r="K185" i="3"/>
  <c r="BA185" i="4" s="1"/>
  <c r="H185" i="3"/>
  <c r="G185" i="3"/>
  <c r="BB185" i="4" s="1"/>
  <c r="BK184" i="3"/>
  <c r="BJ184" i="3"/>
  <c r="BF184" i="3"/>
  <c r="BC184" i="3"/>
  <c r="AZ184" i="3"/>
  <c r="AW184" i="3"/>
  <c r="AT184" i="3"/>
  <c r="AQ184" i="3"/>
  <c r="AN184" i="3"/>
  <c r="AK184" i="3"/>
  <c r="AH184" i="3"/>
  <c r="AE184" i="3"/>
  <c r="AD184" i="3"/>
  <c r="V184" i="3"/>
  <c r="S184" i="3"/>
  <c r="BC184" i="4" s="1"/>
  <c r="O184" i="3"/>
  <c r="P184" i="3" s="1"/>
  <c r="K184" i="3"/>
  <c r="BA184" i="4" s="1"/>
  <c r="G184" i="3"/>
  <c r="BB184" i="4" s="1"/>
  <c r="BK183" i="3"/>
  <c r="BJ183" i="3"/>
  <c r="BF183" i="3"/>
  <c r="BC183" i="3"/>
  <c r="AZ183" i="3"/>
  <c r="AW183" i="3"/>
  <c r="AT183" i="3"/>
  <c r="AQ183" i="3"/>
  <c r="AN183" i="3"/>
  <c r="AK183" i="3"/>
  <c r="AH183" i="3"/>
  <c r="AD183" i="3"/>
  <c r="AE183" i="3" s="1"/>
  <c r="V183" i="3"/>
  <c r="T183" i="3"/>
  <c r="S183" i="3"/>
  <c r="BC183" i="4" s="1"/>
  <c r="P183" i="3"/>
  <c r="O183" i="3"/>
  <c r="L183" i="3"/>
  <c r="K183" i="3"/>
  <c r="BA183" i="4" s="1"/>
  <c r="H183" i="3"/>
  <c r="G183" i="3"/>
  <c r="BB183" i="4" s="1"/>
  <c r="BK182" i="3"/>
  <c r="BJ182" i="3"/>
  <c r="BF182" i="3"/>
  <c r="BC182" i="3"/>
  <c r="AZ182" i="3"/>
  <c r="AW182" i="3"/>
  <c r="AT182" i="3"/>
  <c r="AQ182" i="3"/>
  <c r="AN182" i="3"/>
  <c r="AK182" i="3"/>
  <c r="AH182" i="3"/>
  <c r="AE182" i="3"/>
  <c r="AD182" i="3"/>
  <c r="V182" i="3"/>
  <c r="S182" i="3"/>
  <c r="BC182" i="4" s="1"/>
  <c r="O182" i="3"/>
  <c r="P182" i="3" s="1"/>
  <c r="K182" i="3"/>
  <c r="BA182" i="4" s="1"/>
  <c r="G182" i="3"/>
  <c r="BB182" i="4" s="1"/>
  <c r="BK181" i="3"/>
  <c r="BJ181" i="3"/>
  <c r="BF181" i="3"/>
  <c r="BC181" i="3"/>
  <c r="AZ181" i="3"/>
  <c r="AW181" i="3"/>
  <c r="AT181" i="3"/>
  <c r="AQ181" i="3"/>
  <c r="AN181" i="3"/>
  <c r="AK181" i="3"/>
  <c r="AH181" i="3"/>
  <c r="AD181" i="3"/>
  <c r="AE181" i="3" s="1"/>
  <c r="V181" i="3"/>
  <c r="T181" i="3"/>
  <c r="S181" i="3"/>
  <c r="BC181" i="4" s="1"/>
  <c r="P181" i="3"/>
  <c r="O181" i="3"/>
  <c r="L181" i="3"/>
  <c r="K181" i="3"/>
  <c r="BA181" i="4" s="1"/>
  <c r="H181" i="3"/>
  <c r="G181" i="3"/>
  <c r="BB181" i="4" s="1"/>
  <c r="BK180" i="3"/>
  <c r="BJ180" i="3"/>
  <c r="BF180" i="3"/>
  <c r="BC180" i="3"/>
  <c r="AZ180" i="3"/>
  <c r="AW180" i="3"/>
  <c r="AT180" i="3"/>
  <c r="AQ180" i="3"/>
  <c r="AN180" i="3"/>
  <c r="AK180" i="3"/>
  <c r="AH180" i="3"/>
  <c r="AE180" i="3"/>
  <c r="AD180" i="3"/>
  <c r="V180" i="3"/>
  <c r="T180" i="3"/>
  <c r="S180" i="3"/>
  <c r="BC180" i="4" s="1"/>
  <c r="P180" i="3"/>
  <c r="O180" i="3"/>
  <c r="L180" i="3"/>
  <c r="K180" i="3"/>
  <c r="BA180" i="4" s="1"/>
  <c r="H180" i="3"/>
  <c r="G180" i="3"/>
  <c r="BB180" i="4" s="1"/>
  <c r="BK179" i="3"/>
  <c r="BJ179" i="3"/>
  <c r="BF179" i="3"/>
  <c r="BC179" i="3"/>
  <c r="AZ179" i="3"/>
  <c r="AW179" i="3"/>
  <c r="AT179" i="3"/>
  <c r="AQ179" i="3"/>
  <c r="AN179" i="3"/>
  <c r="AK179" i="3"/>
  <c r="AH179" i="3"/>
  <c r="AD179" i="3"/>
  <c r="AE179" i="3" s="1"/>
  <c r="V179" i="3"/>
  <c r="T179" i="3"/>
  <c r="S179" i="3"/>
  <c r="BC179" i="4" s="1"/>
  <c r="P179" i="3"/>
  <c r="O179" i="3"/>
  <c r="L179" i="3"/>
  <c r="K179" i="3"/>
  <c r="BA179" i="4" s="1"/>
  <c r="H179" i="3"/>
  <c r="G179" i="3"/>
  <c r="BB179" i="4" s="1"/>
  <c r="BK178" i="3"/>
  <c r="BJ178" i="3"/>
  <c r="BF178" i="3"/>
  <c r="BC178" i="3"/>
  <c r="AZ178" i="3"/>
  <c r="AW178" i="3"/>
  <c r="AT178" i="3"/>
  <c r="AQ178" i="3"/>
  <c r="AN178" i="3"/>
  <c r="AK178" i="3"/>
  <c r="AH178" i="3"/>
  <c r="AE178" i="3"/>
  <c r="AD178" i="3"/>
  <c r="V178" i="3"/>
  <c r="S178" i="3"/>
  <c r="BC178" i="4" s="1"/>
  <c r="O178" i="3"/>
  <c r="P178" i="3" s="1"/>
  <c r="K178" i="3"/>
  <c r="BA178" i="4" s="1"/>
  <c r="G178" i="3"/>
  <c r="BB178" i="4" s="1"/>
  <c r="BK177" i="3"/>
  <c r="BJ177" i="3"/>
  <c r="BF177" i="3"/>
  <c r="BC177" i="3"/>
  <c r="AZ177" i="3"/>
  <c r="AW177" i="3"/>
  <c r="AT177" i="3"/>
  <c r="AQ177" i="3"/>
  <c r="AN177" i="3"/>
  <c r="AK177" i="3"/>
  <c r="AH177" i="3"/>
  <c r="AD177" i="3"/>
  <c r="AE177" i="3" s="1"/>
  <c r="V177" i="3"/>
  <c r="T177" i="3"/>
  <c r="S177" i="3"/>
  <c r="BC177" i="4" s="1"/>
  <c r="P177" i="3"/>
  <c r="O177" i="3"/>
  <c r="L177" i="3"/>
  <c r="K177" i="3"/>
  <c r="BA177" i="4" s="1"/>
  <c r="H177" i="3"/>
  <c r="G177" i="3"/>
  <c r="BB177" i="4" s="1"/>
  <c r="BK176" i="3"/>
  <c r="BJ176" i="3"/>
  <c r="BF176" i="3"/>
  <c r="BC176" i="3"/>
  <c r="AZ176" i="3"/>
  <c r="AW176" i="3"/>
  <c r="AT176" i="3"/>
  <c r="AQ176" i="3"/>
  <c r="AN176" i="3"/>
  <c r="AK176" i="3"/>
  <c r="AH176" i="3"/>
  <c r="AE176" i="3"/>
  <c r="AD176" i="3"/>
  <c r="V176" i="3"/>
  <c r="S176" i="3"/>
  <c r="BC176" i="4" s="1"/>
  <c r="O176" i="3"/>
  <c r="P176" i="3" s="1"/>
  <c r="K176" i="3"/>
  <c r="BA176" i="4" s="1"/>
  <c r="G176" i="3"/>
  <c r="BB176" i="4" s="1"/>
  <c r="BK175" i="3"/>
  <c r="BJ175" i="3"/>
  <c r="BF175" i="3"/>
  <c r="BC175" i="3"/>
  <c r="AZ175" i="3"/>
  <c r="AW175" i="3"/>
  <c r="AT175" i="3"/>
  <c r="AQ175" i="3"/>
  <c r="AN175" i="3"/>
  <c r="AK175" i="3"/>
  <c r="AH175" i="3"/>
  <c r="AD175" i="3"/>
  <c r="AE175" i="3" s="1"/>
  <c r="V175" i="3"/>
  <c r="T175" i="3"/>
  <c r="S175" i="3"/>
  <c r="BC175" i="4" s="1"/>
  <c r="P175" i="3"/>
  <c r="O175" i="3"/>
  <c r="L175" i="3"/>
  <c r="K175" i="3"/>
  <c r="BA175" i="4" s="1"/>
  <c r="H175" i="3"/>
  <c r="G175" i="3"/>
  <c r="BB175" i="4" s="1"/>
  <c r="BK174" i="3"/>
  <c r="BJ174" i="3"/>
  <c r="BF174" i="3"/>
  <c r="BC174" i="3"/>
  <c r="AZ174" i="3"/>
  <c r="AW174" i="3"/>
  <c r="AT174" i="3"/>
  <c r="AQ174" i="3"/>
  <c r="AN174" i="3"/>
  <c r="AK174" i="3"/>
  <c r="AH174" i="3"/>
  <c r="AE174" i="3"/>
  <c r="AD174" i="3"/>
  <c r="V174" i="3"/>
  <c r="T174" i="3"/>
  <c r="S174" i="3"/>
  <c r="BC174" i="4" s="1"/>
  <c r="P174" i="3"/>
  <c r="O174" i="3"/>
  <c r="L174" i="3"/>
  <c r="K174" i="3"/>
  <c r="BA174" i="4" s="1"/>
  <c r="H174" i="3"/>
  <c r="G174" i="3"/>
  <c r="BB174" i="4" s="1"/>
  <c r="BK173" i="3"/>
  <c r="BJ173" i="3"/>
  <c r="BF173" i="3"/>
  <c r="BC173" i="3"/>
  <c r="AZ173" i="3"/>
  <c r="AW173" i="3"/>
  <c r="AT173" i="3"/>
  <c r="AQ173" i="3"/>
  <c r="AN173" i="3"/>
  <c r="AK173" i="3"/>
  <c r="AH173" i="3"/>
  <c r="AE173" i="3"/>
  <c r="AD173" i="3"/>
  <c r="V173" i="3"/>
  <c r="T173" i="3"/>
  <c r="S173" i="3"/>
  <c r="BC173" i="4" s="1"/>
  <c r="P173" i="3"/>
  <c r="O173" i="3"/>
  <c r="L173" i="3"/>
  <c r="K173" i="3"/>
  <c r="BA173" i="4" s="1"/>
  <c r="H173" i="3"/>
  <c r="G173" i="3"/>
  <c r="BB173" i="4" s="1"/>
  <c r="BK172" i="3"/>
  <c r="BJ172" i="3"/>
  <c r="BF172" i="3"/>
  <c r="BC172" i="3"/>
  <c r="AZ172" i="3"/>
  <c r="AW172" i="3"/>
  <c r="AT172" i="3"/>
  <c r="AQ172" i="3"/>
  <c r="AN172" i="3"/>
  <c r="AK172" i="3"/>
  <c r="AH172" i="3"/>
  <c r="AE172" i="3"/>
  <c r="AD172" i="3"/>
  <c r="V172" i="3"/>
  <c r="S172" i="3"/>
  <c r="BC172" i="4" s="1"/>
  <c r="O172" i="3"/>
  <c r="P172" i="3" s="1"/>
  <c r="K172" i="3"/>
  <c r="BA172" i="4" s="1"/>
  <c r="G172" i="3"/>
  <c r="BB172" i="4" s="1"/>
  <c r="BK171" i="3"/>
  <c r="BJ171" i="3"/>
  <c r="BF171" i="3"/>
  <c r="BC171" i="3"/>
  <c r="AZ171" i="3"/>
  <c r="AW171" i="3"/>
  <c r="AT171" i="3"/>
  <c r="AQ171" i="3"/>
  <c r="AN171" i="3"/>
  <c r="AK171" i="3"/>
  <c r="AH171" i="3"/>
  <c r="AD171" i="3"/>
  <c r="AE171" i="3" s="1"/>
  <c r="V171" i="3"/>
  <c r="T171" i="3"/>
  <c r="S171" i="3"/>
  <c r="BC171" i="4" s="1"/>
  <c r="P171" i="3"/>
  <c r="O171" i="3"/>
  <c r="L171" i="3"/>
  <c r="K171" i="3"/>
  <c r="BA171" i="4" s="1"/>
  <c r="H171" i="3"/>
  <c r="G171" i="3"/>
  <c r="BB171" i="4" s="1"/>
  <c r="BK170" i="3"/>
  <c r="BJ170" i="3"/>
  <c r="BF170" i="3"/>
  <c r="BC170" i="3"/>
  <c r="AZ170" i="3"/>
  <c r="AW170" i="3"/>
  <c r="AT170" i="3"/>
  <c r="AQ170" i="3"/>
  <c r="AN170" i="3"/>
  <c r="AK170" i="3"/>
  <c r="AH170" i="3"/>
  <c r="AE170" i="3"/>
  <c r="AD170" i="3"/>
  <c r="V170" i="3"/>
  <c r="S170" i="3"/>
  <c r="BC170" i="4" s="1"/>
  <c r="O170" i="3"/>
  <c r="P170" i="3" s="1"/>
  <c r="K170" i="3"/>
  <c r="BA170" i="4" s="1"/>
  <c r="G170" i="3"/>
  <c r="BB170" i="4" s="1"/>
  <c r="BK169" i="3"/>
  <c r="BJ169" i="3"/>
  <c r="BF169" i="3"/>
  <c r="BC169" i="3"/>
  <c r="AZ169" i="3"/>
  <c r="AW169" i="3"/>
  <c r="AT169" i="3"/>
  <c r="AQ169" i="3"/>
  <c r="AN169" i="3"/>
  <c r="AK169" i="3"/>
  <c r="AH169" i="3"/>
  <c r="AD169" i="3"/>
  <c r="AE169" i="3" s="1"/>
  <c r="V169" i="3"/>
  <c r="T169" i="3"/>
  <c r="S169" i="3"/>
  <c r="BC169" i="4" s="1"/>
  <c r="P169" i="3"/>
  <c r="O169" i="3"/>
  <c r="L169" i="3"/>
  <c r="K169" i="3"/>
  <c r="BA169" i="4" s="1"/>
  <c r="H169" i="3"/>
  <c r="G169" i="3"/>
  <c r="BB169" i="4" s="1"/>
  <c r="BK168" i="3"/>
  <c r="BJ168" i="3"/>
  <c r="BF168" i="3"/>
  <c r="BC168" i="3"/>
  <c r="AZ168" i="3"/>
  <c r="AW168" i="3"/>
  <c r="AT168" i="3"/>
  <c r="AQ168" i="3"/>
  <c r="AN168" i="3"/>
  <c r="AK168" i="3"/>
  <c r="AH168" i="3"/>
  <c r="AE168" i="3"/>
  <c r="AD168" i="3"/>
  <c r="V168" i="3"/>
  <c r="S168" i="3"/>
  <c r="BC168" i="4" s="1"/>
  <c r="O168" i="3"/>
  <c r="P168" i="3" s="1"/>
  <c r="K168" i="3"/>
  <c r="BA168" i="4" s="1"/>
  <c r="G168" i="3"/>
  <c r="BB168" i="4" s="1"/>
  <c r="BK167" i="3"/>
  <c r="BJ167" i="3"/>
  <c r="BF167" i="3"/>
  <c r="BC167" i="3"/>
  <c r="AZ167" i="3"/>
  <c r="AW167" i="3"/>
  <c r="AT167" i="3"/>
  <c r="AQ167" i="3"/>
  <c r="AN167" i="3"/>
  <c r="AK167" i="3"/>
  <c r="AH167" i="3"/>
  <c r="AD167" i="3"/>
  <c r="AE167" i="3" s="1"/>
  <c r="V167" i="3"/>
  <c r="T167" i="3"/>
  <c r="S167" i="3"/>
  <c r="BC167" i="4" s="1"/>
  <c r="P167" i="3"/>
  <c r="O167" i="3"/>
  <c r="L167" i="3"/>
  <c r="K167" i="3"/>
  <c r="BA167" i="4" s="1"/>
  <c r="H167" i="3"/>
  <c r="G167" i="3"/>
  <c r="BB167" i="4" s="1"/>
  <c r="BK166" i="3"/>
  <c r="BJ166" i="3"/>
  <c r="BF166" i="3"/>
  <c r="BC166" i="3"/>
  <c r="AZ166" i="3"/>
  <c r="AW166" i="3"/>
  <c r="AT166" i="3"/>
  <c r="AQ166" i="3"/>
  <c r="AN166" i="3"/>
  <c r="AK166" i="3"/>
  <c r="AH166" i="3"/>
  <c r="AE166" i="3"/>
  <c r="AD166" i="3"/>
  <c r="V166" i="3"/>
  <c r="T166" i="3"/>
  <c r="S166" i="3"/>
  <c r="BC166" i="4" s="1"/>
  <c r="P166" i="3"/>
  <c r="O166" i="3"/>
  <c r="L166" i="3"/>
  <c r="K166" i="3"/>
  <c r="BA166" i="4" s="1"/>
  <c r="H166" i="3"/>
  <c r="G166" i="3"/>
  <c r="BB166" i="4" s="1"/>
  <c r="BK165" i="3"/>
  <c r="BJ165" i="3"/>
  <c r="BF165" i="3"/>
  <c r="BC165" i="3"/>
  <c r="AZ165" i="3"/>
  <c r="AW165" i="3"/>
  <c r="AT165" i="3"/>
  <c r="AQ165" i="3"/>
  <c r="AN165" i="3"/>
  <c r="AK165" i="3"/>
  <c r="AH165" i="3"/>
  <c r="AD165" i="3"/>
  <c r="AE165" i="3" s="1"/>
  <c r="V165" i="3"/>
  <c r="T165" i="3"/>
  <c r="S165" i="3"/>
  <c r="BC165" i="4" s="1"/>
  <c r="P165" i="3"/>
  <c r="O165" i="3"/>
  <c r="L165" i="3"/>
  <c r="K165" i="3"/>
  <c r="BA165" i="4" s="1"/>
  <c r="H165" i="3"/>
  <c r="G165" i="3"/>
  <c r="BB165" i="4" s="1"/>
  <c r="BK164" i="3"/>
  <c r="BJ164" i="3"/>
  <c r="BF164" i="3"/>
  <c r="BC164" i="3"/>
  <c r="AZ164" i="3"/>
  <c r="AW164" i="3"/>
  <c r="AT164" i="3"/>
  <c r="AQ164" i="3"/>
  <c r="AN164" i="3"/>
  <c r="AK164" i="3"/>
  <c r="AH164" i="3"/>
  <c r="AE164" i="3"/>
  <c r="AD164" i="3"/>
  <c r="V164" i="3"/>
  <c r="S164" i="3"/>
  <c r="BC164" i="4" s="1"/>
  <c r="O164" i="3"/>
  <c r="P164" i="3" s="1"/>
  <c r="K164" i="3"/>
  <c r="BA164" i="4" s="1"/>
  <c r="G164" i="3"/>
  <c r="BB164" i="4" s="1"/>
  <c r="BK163" i="3"/>
  <c r="BJ163" i="3"/>
  <c r="BF163" i="3"/>
  <c r="BC163" i="3"/>
  <c r="AZ163" i="3"/>
  <c r="AW163" i="3"/>
  <c r="AT163" i="3"/>
  <c r="AQ163" i="3"/>
  <c r="AN163" i="3"/>
  <c r="AK163" i="3"/>
  <c r="AH163" i="3"/>
  <c r="AD163" i="3"/>
  <c r="AE163" i="3" s="1"/>
  <c r="V163" i="3"/>
  <c r="T163" i="3"/>
  <c r="S163" i="3"/>
  <c r="BC163" i="4" s="1"/>
  <c r="P163" i="3"/>
  <c r="O163" i="3"/>
  <c r="L163" i="3"/>
  <c r="K163" i="3"/>
  <c r="BA163" i="4" s="1"/>
  <c r="H163" i="3"/>
  <c r="G163" i="3"/>
  <c r="BB163" i="4" s="1"/>
  <c r="BK162" i="3"/>
  <c r="BJ162" i="3"/>
  <c r="BF162" i="3"/>
  <c r="BC162" i="3"/>
  <c r="AZ162" i="3"/>
  <c r="AW162" i="3"/>
  <c r="AT162" i="3"/>
  <c r="AQ162" i="3"/>
  <c r="AN162" i="3"/>
  <c r="AK162" i="3"/>
  <c r="AH162" i="3"/>
  <c r="AE162" i="3"/>
  <c r="AD162" i="3"/>
  <c r="V162" i="3"/>
  <c r="S162" i="3"/>
  <c r="BC162" i="4" s="1"/>
  <c r="O162" i="3"/>
  <c r="P162" i="3" s="1"/>
  <c r="K162" i="3"/>
  <c r="BA162" i="4" s="1"/>
  <c r="G162" i="3"/>
  <c r="BB162" i="4" s="1"/>
  <c r="BK161" i="3"/>
  <c r="BJ161" i="3"/>
  <c r="BF161" i="3"/>
  <c r="BC161" i="3"/>
  <c r="AZ161" i="3"/>
  <c r="AW161" i="3"/>
  <c r="AT161" i="3"/>
  <c r="AQ161" i="3"/>
  <c r="AN161" i="3"/>
  <c r="AK161" i="3"/>
  <c r="AH161" i="3"/>
  <c r="AD161" i="3"/>
  <c r="AE161" i="3" s="1"/>
  <c r="V161" i="3"/>
  <c r="T161" i="3"/>
  <c r="S161" i="3"/>
  <c r="BC161" i="4" s="1"/>
  <c r="P161" i="3"/>
  <c r="O161" i="3"/>
  <c r="L161" i="3"/>
  <c r="K161" i="3"/>
  <c r="BA161" i="4" s="1"/>
  <c r="H161" i="3"/>
  <c r="G161" i="3"/>
  <c r="BB161" i="4" s="1"/>
  <c r="BK160" i="3"/>
  <c r="BJ160" i="3"/>
  <c r="BF160" i="3"/>
  <c r="BC160" i="3"/>
  <c r="AZ160" i="3"/>
  <c r="AW160" i="3"/>
  <c r="AT160" i="3"/>
  <c r="AQ160" i="3"/>
  <c r="AN160" i="3"/>
  <c r="AK160" i="3"/>
  <c r="AH160" i="3"/>
  <c r="AE160" i="3"/>
  <c r="AD160" i="3"/>
  <c r="V160" i="3"/>
  <c r="S160" i="3"/>
  <c r="BC160" i="4" s="1"/>
  <c r="O160" i="3"/>
  <c r="P160" i="3" s="1"/>
  <c r="K160" i="3"/>
  <c r="BA160" i="4" s="1"/>
  <c r="G160" i="3"/>
  <c r="BB160" i="4" s="1"/>
  <c r="BK159" i="3"/>
  <c r="BJ159" i="3"/>
  <c r="BF159" i="3"/>
  <c r="BC159" i="3"/>
  <c r="AZ159" i="3"/>
  <c r="AW159" i="3"/>
  <c r="AT159" i="3"/>
  <c r="AQ159" i="3"/>
  <c r="AN159" i="3"/>
  <c r="AK159" i="3"/>
  <c r="AH159" i="3"/>
  <c r="AD159" i="3"/>
  <c r="AE159" i="3" s="1"/>
  <c r="V159" i="3"/>
  <c r="T159" i="3"/>
  <c r="S159" i="3"/>
  <c r="BC159" i="4" s="1"/>
  <c r="P159" i="3"/>
  <c r="O159" i="3"/>
  <c r="L159" i="3"/>
  <c r="K159" i="3"/>
  <c r="BA159" i="4" s="1"/>
  <c r="H159" i="3"/>
  <c r="G159" i="3"/>
  <c r="BB159" i="4" s="1"/>
  <c r="BK158" i="3"/>
  <c r="BJ158" i="3"/>
  <c r="BF158" i="3"/>
  <c r="BC158" i="3"/>
  <c r="AZ158" i="3"/>
  <c r="AW158" i="3"/>
  <c r="AT158" i="3"/>
  <c r="AQ158" i="3"/>
  <c r="AN158" i="3"/>
  <c r="AK158" i="3"/>
  <c r="AH158" i="3"/>
  <c r="AE158" i="3"/>
  <c r="AD158" i="3"/>
  <c r="V158" i="3"/>
  <c r="S158" i="3"/>
  <c r="BC158" i="4" s="1"/>
  <c r="O158" i="3"/>
  <c r="P158" i="3" s="1"/>
  <c r="K158" i="3"/>
  <c r="BA158" i="4" s="1"/>
  <c r="G158" i="3"/>
  <c r="BB158" i="4" s="1"/>
  <c r="BK157" i="3"/>
  <c r="BJ157" i="3"/>
  <c r="BF157" i="3"/>
  <c r="BC157" i="3"/>
  <c r="AZ157" i="3"/>
  <c r="AW157" i="3"/>
  <c r="AT157" i="3"/>
  <c r="AQ157" i="3"/>
  <c r="AN157" i="3"/>
  <c r="AK157" i="3"/>
  <c r="AH157" i="3"/>
  <c r="AD157" i="3"/>
  <c r="AE157" i="3" s="1"/>
  <c r="V157" i="3"/>
  <c r="T157" i="3"/>
  <c r="S157" i="3"/>
  <c r="BC157" i="4" s="1"/>
  <c r="P157" i="3"/>
  <c r="O157" i="3"/>
  <c r="L157" i="3"/>
  <c r="K157" i="3"/>
  <c r="BA157" i="4" s="1"/>
  <c r="H157" i="3"/>
  <c r="G157" i="3"/>
  <c r="BB157" i="4" s="1"/>
  <c r="BK156" i="3"/>
  <c r="BJ156" i="3"/>
  <c r="BF156" i="3"/>
  <c r="BC156" i="3"/>
  <c r="AZ156" i="3"/>
  <c r="AW156" i="3"/>
  <c r="AT156" i="3"/>
  <c r="AQ156" i="3"/>
  <c r="AN156" i="3"/>
  <c r="AK156" i="3"/>
  <c r="AH156" i="3"/>
  <c r="AE156" i="3"/>
  <c r="AD156" i="3"/>
  <c r="V156" i="3"/>
  <c r="S156" i="3"/>
  <c r="BC156" i="4" s="1"/>
  <c r="O156" i="3"/>
  <c r="P156" i="3" s="1"/>
  <c r="K156" i="3"/>
  <c r="BA156" i="4" s="1"/>
  <c r="G156" i="3"/>
  <c r="BB156" i="4" s="1"/>
  <c r="BK155" i="3"/>
  <c r="BJ155" i="3"/>
  <c r="BF155" i="3"/>
  <c r="BC155" i="3"/>
  <c r="AZ155" i="3"/>
  <c r="AW155" i="3"/>
  <c r="AT155" i="3"/>
  <c r="AQ155" i="3"/>
  <c r="AN155" i="3"/>
  <c r="AK155" i="3"/>
  <c r="AH155" i="3"/>
  <c r="AD155" i="3"/>
  <c r="AE155" i="3" s="1"/>
  <c r="V155" i="3"/>
  <c r="T155" i="3"/>
  <c r="S155" i="3"/>
  <c r="BC155" i="4" s="1"/>
  <c r="P155" i="3"/>
  <c r="O155" i="3"/>
  <c r="L155" i="3"/>
  <c r="K155" i="3"/>
  <c r="BA155" i="4" s="1"/>
  <c r="H155" i="3"/>
  <c r="G155" i="3"/>
  <c r="BB155" i="4" s="1"/>
  <c r="BK154" i="3"/>
  <c r="BJ154" i="3"/>
  <c r="BF154" i="3"/>
  <c r="BC154" i="3"/>
  <c r="AZ154" i="3"/>
  <c r="AW154" i="3"/>
  <c r="AT154" i="3"/>
  <c r="AQ154" i="3"/>
  <c r="AN154" i="3"/>
  <c r="AK154" i="3"/>
  <c r="AH154" i="3"/>
  <c r="AE154" i="3"/>
  <c r="AD154" i="3"/>
  <c r="V154" i="3"/>
  <c r="S154" i="3"/>
  <c r="BC154" i="4" s="1"/>
  <c r="O154" i="3"/>
  <c r="P154" i="3" s="1"/>
  <c r="K154" i="3"/>
  <c r="BA154" i="4" s="1"/>
  <c r="G154" i="3"/>
  <c r="BB154" i="4" s="1"/>
  <c r="BK153" i="3"/>
  <c r="BJ153" i="3"/>
  <c r="BF153" i="3"/>
  <c r="BC153" i="3"/>
  <c r="AZ153" i="3"/>
  <c r="AW153" i="3"/>
  <c r="AT153" i="3"/>
  <c r="AQ153" i="3"/>
  <c r="AN153" i="3"/>
  <c r="AK153" i="3"/>
  <c r="AH153" i="3"/>
  <c r="AD153" i="3"/>
  <c r="AE153" i="3" s="1"/>
  <c r="V153" i="3"/>
  <c r="T153" i="3"/>
  <c r="S153" i="3"/>
  <c r="BC153" i="4" s="1"/>
  <c r="P153" i="3"/>
  <c r="O153" i="3"/>
  <c r="L153" i="3"/>
  <c r="K153" i="3"/>
  <c r="BA153" i="4" s="1"/>
  <c r="H153" i="3"/>
  <c r="G153" i="3"/>
  <c r="BB153" i="4" s="1"/>
  <c r="BK152" i="3"/>
  <c r="BJ152" i="3"/>
  <c r="BF152" i="3"/>
  <c r="BC152" i="3"/>
  <c r="AZ152" i="3"/>
  <c r="AW152" i="3"/>
  <c r="AT152" i="3"/>
  <c r="AQ152" i="3"/>
  <c r="AN152" i="3"/>
  <c r="AK152" i="3"/>
  <c r="AH152" i="3"/>
  <c r="AE152" i="3"/>
  <c r="AD152" i="3"/>
  <c r="V152" i="3"/>
  <c r="T152" i="3"/>
  <c r="S152" i="3"/>
  <c r="BC152" i="4" s="1"/>
  <c r="P152" i="3"/>
  <c r="O152" i="3"/>
  <c r="L152" i="3"/>
  <c r="K152" i="3"/>
  <c r="BA152" i="4" s="1"/>
  <c r="H152" i="3"/>
  <c r="G152" i="3"/>
  <c r="BB152" i="4" s="1"/>
  <c r="BK151" i="3"/>
  <c r="BJ151" i="3"/>
  <c r="BF151" i="3"/>
  <c r="BC151" i="3"/>
  <c r="AZ151" i="3"/>
  <c r="AW151" i="3"/>
  <c r="AT151" i="3"/>
  <c r="AQ151" i="3"/>
  <c r="AN151" i="3"/>
  <c r="AK151" i="3"/>
  <c r="AH151" i="3"/>
  <c r="AD151" i="3"/>
  <c r="AE151" i="3" s="1"/>
  <c r="V151" i="3"/>
  <c r="T151" i="3"/>
  <c r="S151" i="3"/>
  <c r="BC151" i="4" s="1"/>
  <c r="P151" i="3"/>
  <c r="O151" i="3"/>
  <c r="L151" i="3"/>
  <c r="K151" i="3"/>
  <c r="BA151" i="4" s="1"/>
  <c r="H151" i="3"/>
  <c r="G151" i="3"/>
  <c r="BB151" i="4" s="1"/>
  <c r="BK150" i="3"/>
  <c r="BJ150" i="3"/>
  <c r="BF150" i="3"/>
  <c r="BC150" i="3"/>
  <c r="AZ150" i="3"/>
  <c r="AW150" i="3"/>
  <c r="AT150" i="3"/>
  <c r="AQ150" i="3"/>
  <c r="AN150" i="3"/>
  <c r="AK150" i="3"/>
  <c r="AH150" i="3"/>
  <c r="AE150" i="3"/>
  <c r="AD150" i="3"/>
  <c r="V150" i="3"/>
  <c r="S150" i="3"/>
  <c r="BC150" i="4" s="1"/>
  <c r="O150" i="3"/>
  <c r="P150" i="3" s="1"/>
  <c r="K150" i="3"/>
  <c r="BA150" i="4" s="1"/>
  <c r="G150" i="3"/>
  <c r="BB150" i="4" s="1"/>
  <c r="BK149" i="3"/>
  <c r="BJ149" i="3"/>
  <c r="BF149" i="3"/>
  <c r="BC149" i="3"/>
  <c r="AZ149" i="3"/>
  <c r="AW149" i="3"/>
  <c r="AT149" i="3"/>
  <c r="AQ149" i="3"/>
  <c r="AN149" i="3"/>
  <c r="AK149" i="3"/>
  <c r="AH149" i="3"/>
  <c r="AD149" i="3"/>
  <c r="AE149" i="3" s="1"/>
  <c r="V149" i="3"/>
  <c r="T149" i="3"/>
  <c r="S149" i="3"/>
  <c r="BC149" i="4" s="1"/>
  <c r="P149" i="3"/>
  <c r="O149" i="3"/>
  <c r="L149" i="3"/>
  <c r="K149" i="3"/>
  <c r="BA149" i="4" s="1"/>
  <c r="H149" i="3"/>
  <c r="G149" i="3"/>
  <c r="BB149" i="4" s="1"/>
  <c r="BK148" i="3"/>
  <c r="BJ148" i="3"/>
  <c r="BF148" i="3"/>
  <c r="BC148" i="3"/>
  <c r="AZ148" i="3"/>
  <c r="AW148" i="3"/>
  <c r="AT148" i="3"/>
  <c r="AQ148" i="3"/>
  <c r="AN148" i="3"/>
  <c r="AK148" i="3"/>
  <c r="AH148" i="3"/>
  <c r="AE148" i="3"/>
  <c r="AD148" i="3"/>
  <c r="V148" i="3"/>
  <c r="S148" i="3"/>
  <c r="BC148" i="4" s="1"/>
  <c r="O148" i="3"/>
  <c r="P148" i="3" s="1"/>
  <c r="K148" i="3"/>
  <c r="BA148" i="4" s="1"/>
  <c r="G148" i="3"/>
  <c r="BB148" i="4" s="1"/>
  <c r="BK147" i="3"/>
  <c r="BJ147" i="3"/>
  <c r="BF147" i="3"/>
  <c r="BC147" i="3"/>
  <c r="AZ147" i="3"/>
  <c r="AW147" i="3"/>
  <c r="AT147" i="3"/>
  <c r="AQ147" i="3"/>
  <c r="AN147" i="3"/>
  <c r="AK147" i="3"/>
  <c r="AH147" i="3"/>
  <c r="AD147" i="3"/>
  <c r="AE147" i="3" s="1"/>
  <c r="V147" i="3"/>
  <c r="T147" i="3"/>
  <c r="S147" i="3"/>
  <c r="BC147" i="4" s="1"/>
  <c r="P147" i="3"/>
  <c r="O147" i="3"/>
  <c r="L147" i="3"/>
  <c r="K147" i="3"/>
  <c r="BA147" i="4" s="1"/>
  <c r="H147" i="3"/>
  <c r="G147" i="3"/>
  <c r="BB147" i="4" s="1"/>
  <c r="BK146" i="3"/>
  <c r="BJ146" i="3"/>
  <c r="BF146" i="3"/>
  <c r="BC146" i="3"/>
  <c r="AZ146" i="3"/>
  <c r="AW146" i="3"/>
  <c r="AT146" i="3"/>
  <c r="AQ146" i="3"/>
  <c r="AN146" i="3"/>
  <c r="AK146" i="3"/>
  <c r="AH146" i="3"/>
  <c r="AE146" i="3"/>
  <c r="AD146" i="3"/>
  <c r="V146" i="3"/>
  <c r="S146" i="3"/>
  <c r="BC146" i="4" s="1"/>
  <c r="O146" i="3"/>
  <c r="P146" i="3" s="1"/>
  <c r="K146" i="3"/>
  <c r="BA146" i="4" s="1"/>
  <c r="G146" i="3"/>
  <c r="BB146" i="4" s="1"/>
  <c r="BK145" i="3"/>
  <c r="BJ145" i="3"/>
  <c r="BF145" i="3"/>
  <c r="BC145" i="3"/>
  <c r="AZ145" i="3"/>
  <c r="AW145" i="3"/>
  <c r="AT145" i="3"/>
  <c r="AQ145" i="3"/>
  <c r="AN145" i="3"/>
  <c r="AK145" i="3"/>
  <c r="AH145" i="3"/>
  <c r="AE145" i="3"/>
  <c r="AD145" i="3"/>
  <c r="V145" i="3"/>
  <c r="T145" i="3"/>
  <c r="S145" i="3"/>
  <c r="BC145" i="4" s="1"/>
  <c r="P145" i="3"/>
  <c r="O145" i="3"/>
  <c r="L145" i="3"/>
  <c r="K145" i="3"/>
  <c r="BA145" i="4" s="1"/>
  <c r="H145" i="3"/>
  <c r="G145" i="3"/>
  <c r="BB145" i="4" s="1"/>
  <c r="BK144" i="3"/>
  <c r="BJ144" i="3"/>
  <c r="BF144" i="3"/>
  <c r="BC144" i="3"/>
  <c r="AZ144" i="3"/>
  <c r="AW144" i="3"/>
  <c r="AT144" i="3"/>
  <c r="AQ144" i="3"/>
  <c r="AN144" i="3"/>
  <c r="AK144" i="3"/>
  <c r="AH144" i="3"/>
  <c r="AE144" i="3"/>
  <c r="AD144" i="3"/>
  <c r="V144" i="3"/>
  <c r="S144" i="3"/>
  <c r="BC144" i="4" s="1"/>
  <c r="O144" i="3"/>
  <c r="P144" i="3" s="1"/>
  <c r="K144" i="3"/>
  <c r="BA144" i="4" s="1"/>
  <c r="G144" i="3"/>
  <c r="BB144" i="4" s="1"/>
  <c r="BK143" i="3"/>
  <c r="BJ143" i="3"/>
  <c r="BF143" i="3"/>
  <c r="BC143" i="3"/>
  <c r="AZ143" i="3"/>
  <c r="AW143" i="3"/>
  <c r="AT143" i="3"/>
  <c r="AQ143" i="3"/>
  <c r="AN143" i="3"/>
  <c r="AK143" i="3"/>
  <c r="AH143" i="3"/>
  <c r="AD143" i="3"/>
  <c r="AE143" i="3" s="1"/>
  <c r="V143" i="3"/>
  <c r="T143" i="3"/>
  <c r="S143" i="3"/>
  <c r="BC143" i="4" s="1"/>
  <c r="P143" i="3"/>
  <c r="O143" i="3"/>
  <c r="L143" i="3"/>
  <c r="K143" i="3"/>
  <c r="BA143" i="4" s="1"/>
  <c r="H143" i="3"/>
  <c r="G143" i="3"/>
  <c r="BB143" i="4" s="1"/>
  <c r="BK142" i="3"/>
  <c r="BJ142" i="3"/>
  <c r="BF142" i="3"/>
  <c r="BC142" i="3"/>
  <c r="AZ142" i="3"/>
  <c r="AW142" i="3"/>
  <c r="AT142" i="3"/>
  <c r="AQ142" i="3"/>
  <c r="AN142" i="3"/>
  <c r="AK142" i="3"/>
  <c r="AH142" i="3"/>
  <c r="AE142" i="3"/>
  <c r="AD142" i="3"/>
  <c r="V142" i="3"/>
  <c r="S142" i="3"/>
  <c r="BC142" i="4" s="1"/>
  <c r="O142" i="3"/>
  <c r="P142" i="3" s="1"/>
  <c r="K142" i="3"/>
  <c r="BA142" i="4" s="1"/>
  <c r="G142" i="3"/>
  <c r="BB142" i="4" s="1"/>
  <c r="BK141" i="3"/>
  <c r="BJ141" i="3"/>
  <c r="BF141" i="3"/>
  <c r="BC141" i="3"/>
  <c r="AZ141" i="3"/>
  <c r="AW141" i="3"/>
  <c r="AT141" i="3"/>
  <c r="AQ141" i="3"/>
  <c r="AN141" i="3"/>
  <c r="AK141" i="3"/>
  <c r="AH141" i="3"/>
  <c r="AD141" i="3"/>
  <c r="AE141" i="3" s="1"/>
  <c r="V141" i="3"/>
  <c r="T141" i="3"/>
  <c r="S141" i="3"/>
  <c r="BC141" i="4" s="1"/>
  <c r="P141" i="3"/>
  <c r="O141" i="3"/>
  <c r="L141" i="3"/>
  <c r="K141" i="3"/>
  <c r="BA141" i="4" s="1"/>
  <c r="H141" i="3"/>
  <c r="G141" i="3"/>
  <c r="BB141" i="4" s="1"/>
  <c r="BK140" i="3"/>
  <c r="BJ140" i="3"/>
  <c r="BF140" i="3"/>
  <c r="BC140" i="3"/>
  <c r="AZ140" i="3"/>
  <c r="AW140" i="3"/>
  <c r="AT140" i="3"/>
  <c r="AQ140" i="3"/>
  <c r="AN140" i="3"/>
  <c r="AK140" i="3"/>
  <c r="AH140" i="3"/>
  <c r="AE140" i="3"/>
  <c r="AD140" i="3"/>
  <c r="V140" i="3"/>
  <c r="S140" i="3"/>
  <c r="BC140" i="4" s="1"/>
  <c r="O140" i="3"/>
  <c r="P140" i="3" s="1"/>
  <c r="K140" i="3"/>
  <c r="BA140" i="4" s="1"/>
  <c r="G140" i="3"/>
  <c r="BB140" i="4" s="1"/>
  <c r="BK139" i="3"/>
  <c r="BJ139" i="3"/>
  <c r="BF139" i="3"/>
  <c r="BC139" i="3"/>
  <c r="AZ139" i="3"/>
  <c r="AW139" i="3"/>
  <c r="AT139" i="3"/>
  <c r="AQ139" i="3"/>
  <c r="AN139" i="3"/>
  <c r="AK139" i="3"/>
  <c r="AH139" i="3"/>
  <c r="AD139" i="3"/>
  <c r="AE139" i="3" s="1"/>
  <c r="V139" i="3"/>
  <c r="T139" i="3"/>
  <c r="S139" i="3"/>
  <c r="BC139" i="4" s="1"/>
  <c r="P139" i="3"/>
  <c r="O139" i="3"/>
  <c r="L139" i="3"/>
  <c r="K139" i="3"/>
  <c r="BA139" i="4" s="1"/>
  <c r="H139" i="3"/>
  <c r="G139" i="3"/>
  <c r="BB139" i="4" s="1"/>
  <c r="BK138" i="3"/>
  <c r="BJ138" i="3"/>
  <c r="BF138" i="3"/>
  <c r="BC138" i="3"/>
  <c r="AZ138" i="3"/>
  <c r="AW138" i="3"/>
  <c r="AT138" i="3"/>
  <c r="AQ138" i="3"/>
  <c r="AN138" i="3"/>
  <c r="AK138" i="3"/>
  <c r="AH138" i="3"/>
  <c r="AE138" i="3"/>
  <c r="AD138" i="3"/>
  <c r="V138" i="3"/>
  <c r="T138" i="3"/>
  <c r="S138" i="3"/>
  <c r="BC138" i="4" s="1"/>
  <c r="P138" i="3"/>
  <c r="O138" i="3"/>
  <c r="L138" i="3"/>
  <c r="K138" i="3"/>
  <c r="BA138" i="4" s="1"/>
  <c r="H138" i="3"/>
  <c r="G138" i="3"/>
  <c r="BB138" i="4" s="1"/>
  <c r="BK137" i="3"/>
  <c r="BJ137" i="3"/>
  <c r="BF137" i="3"/>
  <c r="BC137" i="3"/>
  <c r="AZ137" i="3"/>
  <c r="AW137" i="3"/>
  <c r="AT137" i="3"/>
  <c r="AQ137" i="3"/>
  <c r="AN137" i="3"/>
  <c r="AK137" i="3"/>
  <c r="AH137" i="3"/>
  <c r="AD137" i="3"/>
  <c r="AE137" i="3" s="1"/>
  <c r="V137" i="3"/>
  <c r="T137" i="3"/>
  <c r="S137" i="3"/>
  <c r="BC137" i="4" s="1"/>
  <c r="P137" i="3"/>
  <c r="O137" i="3"/>
  <c r="L137" i="3"/>
  <c r="K137" i="3"/>
  <c r="BA137" i="4" s="1"/>
  <c r="H137" i="3"/>
  <c r="G137" i="3"/>
  <c r="BB137" i="4" s="1"/>
  <c r="BK136" i="3"/>
  <c r="BJ136" i="3"/>
  <c r="BF136" i="3"/>
  <c r="BC136" i="3"/>
  <c r="AZ136" i="3"/>
  <c r="AW136" i="3"/>
  <c r="AT136" i="3"/>
  <c r="AQ136" i="3"/>
  <c r="AN136" i="3"/>
  <c r="AK136" i="3"/>
  <c r="AH136" i="3"/>
  <c r="AE136" i="3"/>
  <c r="AD136" i="3"/>
  <c r="V136" i="3"/>
  <c r="S136" i="3"/>
  <c r="BC136" i="4" s="1"/>
  <c r="O136" i="3"/>
  <c r="P136" i="3" s="1"/>
  <c r="K136" i="3"/>
  <c r="BA136" i="4" s="1"/>
  <c r="G136" i="3"/>
  <c r="BB136" i="4" s="1"/>
  <c r="BK135" i="3"/>
  <c r="BJ135" i="3"/>
  <c r="BF135" i="3"/>
  <c r="BC135" i="3"/>
  <c r="AZ135" i="3"/>
  <c r="AW135" i="3"/>
  <c r="AT135" i="3"/>
  <c r="AQ135" i="3"/>
  <c r="AN135" i="3"/>
  <c r="AK135" i="3"/>
  <c r="AH135" i="3"/>
  <c r="AD135" i="3"/>
  <c r="AE135" i="3" s="1"/>
  <c r="V135" i="3"/>
  <c r="T135" i="3"/>
  <c r="S135" i="3"/>
  <c r="BC135" i="4" s="1"/>
  <c r="P135" i="3"/>
  <c r="O135" i="3"/>
  <c r="L135" i="3"/>
  <c r="K135" i="3"/>
  <c r="BA135" i="4" s="1"/>
  <c r="H135" i="3"/>
  <c r="G135" i="3"/>
  <c r="BB135" i="4" s="1"/>
  <c r="BK134" i="3"/>
  <c r="BJ134" i="3"/>
  <c r="BF134" i="3"/>
  <c r="BC134" i="3"/>
  <c r="AZ134" i="3"/>
  <c r="AW134" i="3"/>
  <c r="AT134" i="3"/>
  <c r="AQ134" i="3"/>
  <c r="AN134" i="3"/>
  <c r="AK134" i="3"/>
  <c r="AH134" i="3"/>
  <c r="AE134" i="3"/>
  <c r="AD134" i="3"/>
  <c r="V134" i="3"/>
  <c r="T134" i="3"/>
  <c r="S134" i="3"/>
  <c r="BC134" i="4" s="1"/>
  <c r="P134" i="3"/>
  <c r="O134" i="3"/>
  <c r="L134" i="3"/>
  <c r="K134" i="3"/>
  <c r="BA134" i="4" s="1"/>
  <c r="H134" i="3"/>
  <c r="G134" i="3"/>
  <c r="BB134" i="4" s="1"/>
  <c r="BK133" i="3"/>
  <c r="BJ133" i="3"/>
  <c r="BF133" i="3"/>
  <c r="BC133" i="3"/>
  <c r="AZ133" i="3"/>
  <c r="AW133" i="3"/>
  <c r="AT133" i="3"/>
  <c r="AQ133" i="3"/>
  <c r="AN133" i="3"/>
  <c r="AK133" i="3"/>
  <c r="AH133" i="3"/>
  <c r="AD133" i="3"/>
  <c r="AE133" i="3" s="1"/>
  <c r="V133" i="3"/>
  <c r="T133" i="3"/>
  <c r="S133" i="3"/>
  <c r="BC133" i="4" s="1"/>
  <c r="P133" i="3"/>
  <c r="O133" i="3"/>
  <c r="L133" i="3"/>
  <c r="K133" i="3"/>
  <c r="BA133" i="4" s="1"/>
  <c r="H133" i="3"/>
  <c r="G133" i="3"/>
  <c r="BB133" i="4" s="1"/>
  <c r="BK132" i="3"/>
  <c r="BJ132" i="3"/>
  <c r="BF132" i="3"/>
  <c r="BC132" i="3"/>
  <c r="AZ132" i="3"/>
  <c r="AW132" i="3"/>
  <c r="AT132" i="3"/>
  <c r="AQ132" i="3"/>
  <c r="AN132" i="3"/>
  <c r="AK132" i="3"/>
  <c r="AH132" i="3"/>
  <c r="AE132" i="3"/>
  <c r="AD132" i="3"/>
  <c r="V132" i="3"/>
  <c r="S132" i="3"/>
  <c r="BC132" i="4" s="1"/>
  <c r="O132" i="3"/>
  <c r="P132" i="3" s="1"/>
  <c r="K132" i="3"/>
  <c r="BA132" i="4" s="1"/>
  <c r="G132" i="3"/>
  <c r="BB132" i="4" s="1"/>
  <c r="BK131" i="3"/>
  <c r="BJ131" i="3"/>
  <c r="BF131" i="3"/>
  <c r="BC131" i="3"/>
  <c r="AZ131" i="3"/>
  <c r="AW131" i="3"/>
  <c r="AT131" i="3"/>
  <c r="AQ131" i="3"/>
  <c r="AN131" i="3"/>
  <c r="AK131" i="3"/>
  <c r="AH131" i="3"/>
  <c r="AE131" i="3"/>
  <c r="AD131" i="3"/>
  <c r="V131" i="3"/>
  <c r="T131" i="3"/>
  <c r="S131" i="3"/>
  <c r="BC131" i="4" s="1"/>
  <c r="P131" i="3"/>
  <c r="O131" i="3"/>
  <c r="L131" i="3"/>
  <c r="K131" i="3"/>
  <c r="BA131" i="4" s="1"/>
  <c r="H131" i="3"/>
  <c r="G131" i="3"/>
  <c r="BB131" i="4" s="1"/>
  <c r="BK130" i="3"/>
  <c r="BJ130" i="3"/>
  <c r="BF130" i="3"/>
  <c r="BC130" i="3"/>
  <c r="AZ130" i="3"/>
  <c r="AW130" i="3"/>
  <c r="AT130" i="3"/>
  <c r="AQ130" i="3"/>
  <c r="AN130" i="3"/>
  <c r="AK130" i="3"/>
  <c r="AH130" i="3"/>
  <c r="AE130" i="3"/>
  <c r="AD130" i="3"/>
  <c r="V130" i="3"/>
  <c r="S130" i="3"/>
  <c r="BC130" i="4" s="1"/>
  <c r="O130" i="3"/>
  <c r="P130" i="3" s="1"/>
  <c r="K130" i="3"/>
  <c r="BA130" i="4" s="1"/>
  <c r="G130" i="3"/>
  <c r="BB130" i="4" s="1"/>
  <c r="BK129" i="3"/>
  <c r="BJ129" i="3"/>
  <c r="BF129" i="3"/>
  <c r="BC129" i="3"/>
  <c r="AZ129" i="3"/>
  <c r="AW129" i="3"/>
  <c r="AT129" i="3"/>
  <c r="AQ129" i="3"/>
  <c r="AN129" i="3"/>
  <c r="AK129" i="3"/>
  <c r="AH129" i="3"/>
  <c r="AD129" i="3"/>
  <c r="AE129" i="3" s="1"/>
  <c r="V129" i="3"/>
  <c r="T129" i="3"/>
  <c r="S129" i="3"/>
  <c r="BC129" i="4" s="1"/>
  <c r="P129" i="3"/>
  <c r="O129" i="3"/>
  <c r="L129" i="3"/>
  <c r="K129" i="3"/>
  <c r="BA129" i="4" s="1"/>
  <c r="H129" i="3"/>
  <c r="G129" i="3"/>
  <c r="BB129" i="4" s="1"/>
  <c r="BK128" i="3"/>
  <c r="BJ128" i="3"/>
  <c r="BF128" i="3"/>
  <c r="BC128" i="3"/>
  <c r="AZ128" i="3"/>
  <c r="AW128" i="3"/>
  <c r="AT128" i="3"/>
  <c r="AQ128" i="3"/>
  <c r="AN128" i="3"/>
  <c r="AK128" i="3"/>
  <c r="AH128" i="3"/>
  <c r="AE128" i="3"/>
  <c r="AD128" i="3"/>
  <c r="V128" i="3"/>
  <c r="S128" i="3"/>
  <c r="BC128" i="4" s="1"/>
  <c r="O128" i="3"/>
  <c r="P128" i="3" s="1"/>
  <c r="K128" i="3"/>
  <c r="BA128" i="4" s="1"/>
  <c r="G128" i="3"/>
  <c r="BB128" i="4" s="1"/>
  <c r="BK127" i="3"/>
  <c r="BJ127" i="3"/>
  <c r="BF127" i="3"/>
  <c r="BC127" i="3"/>
  <c r="AZ127" i="3"/>
  <c r="AW127" i="3"/>
  <c r="AT127" i="3"/>
  <c r="AQ127" i="3"/>
  <c r="AN127" i="3"/>
  <c r="AK127" i="3"/>
  <c r="AH127" i="3"/>
  <c r="AD127" i="3"/>
  <c r="AE127" i="3" s="1"/>
  <c r="V127" i="3"/>
  <c r="T127" i="3"/>
  <c r="S127" i="3"/>
  <c r="BC127" i="4" s="1"/>
  <c r="P127" i="3"/>
  <c r="O127" i="3"/>
  <c r="L127" i="3"/>
  <c r="K127" i="3"/>
  <c r="BA127" i="4" s="1"/>
  <c r="H127" i="3"/>
  <c r="G127" i="3"/>
  <c r="BB127" i="4" s="1"/>
  <c r="BK126" i="3"/>
  <c r="BJ126" i="3"/>
  <c r="BF126" i="3"/>
  <c r="BC126" i="3"/>
  <c r="AZ126" i="3"/>
  <c r="AW126" i="3"/>
  <c r="AT126" i="3"/>
  <c r="AQ126" i="3"/>
  <c r="AN126" i="3"/>
  <c r="AK126" i="3"/>
  <c r="AH126" i="3"/>
  <c r="AE126" i="3"/>
  <c r="AD126" i="3"/>
  <c r="V126" i="3"/>
  <c r="S126" i="3"/>
  <c r="BC126" i="4" s="1"/>
  <c r="O126" i="3"/>
  <c r="P126" i="3" s="1"/>
  <c r="K126" i="3"/>
  <c r="BA126" i="4" s="1"/>
  <c r="G126" i="3"/>
  <c r="BB126" i="4" s="1"/>
  <c r="BK125" i="3"/>
  <c r="BJ125" i="3"/>
  <c r="BF125" i="3"/>
  <c r="BC125" i="3"/>
  <c r="AZ125" i="3"/>
  <c r="AW125" i="3"/>
  <c r="AT125" i="3"/>
  <c r="AQ125" i="3"/>
  <c r="AN125" i="3"/>
  <c r="AK125" i="3"/>
  <c r="AH125" i="3"/>
  <c r="AE125" i="3"/>
  <c r="AD125" i="3"/>
  <c r="V125" i="3"/>
  <c r="T125" i="3"/>
  <c r="S125" i="3"/>
  <c r="BC125" i="4" s="1"/>
  <c r="P125" i="3"/>
  <c r="O125" i="3"/>
  <c r="L125" i="3"/>
  <c r="K125" i="3"/>
  <c r="BA125" i="4" s="1"/>
  <c r="H125" i="3"/>
  <c r="G125" i="3"/>
  <c r="BB125" i="4" s="1"/>
  <c r="BK124" i="3"/>
  <c r="BJ124" i="3"/>
  <c r="BF124" i="3"/>
  <c r="BC124" i="3"/>
  <c r="AZ124" i="3"/>
  <c r="AW124" i="3"/>
  <c r="AT124" i="3"/>
  <c r="AQ124" i="3"/>
  <c r="AN124" i="3"/>
  <c r="AK124" i="3"/>
  <c r="AH124" i="3"/>
  <c r="AE124" i="3"/>
  <c r="AD124" i="3"/>
  <c r="V124" i="3"/>
  <c r="T124" i="3"/>
  <c r="S124" i="3"/>
  <c r="BC124" i="4" s="1"/>
  <c r="P124" i="3"/>
  <c r="O124" i="3"/>
  <c r="L124" i="3"/>
  <c r="K124" i="3"/>
  <c r="BA124" i="4" s="1"/>
  <c r="H124" i="3"/>
  <c r="G124" i="3"/>
  <c r="BB124" i="4" s="1"/>
  <c r="BK123" i="3"/>
  <c r="BJ123" i="3"/>
  <c r="BF123" i="3"/>
  <c r="BC123" i="3"/>
  <c r="AZ123" i="3"/>
  <c r="AW123" i="3"/>
  <c r="AT123" i="3"/>
  <c r="AQ123" i="3"/>
  <c r="AN123" i="3"/>
  <c r="AK123" i="3"/>
  <c r="AH123" i="3"/>
  <c r="AE123" i="3"/>
  <c r="AD123" i="3"/>
  <c r="V123" i="3"/>
  <c r="T123" i="3"/>
  <c r="S123" i="3"/>
  <c r="BC123" i="4" s="1"/>
  <c r="P123" i="3"/>
  <c r="O123" i="3"/>
  <c r="L123" i="3"/>
  <c r="K123" i="3"/>
  <c r="BA123" i="4" s="1"/>
  <c r="H123" i="3"/>
  <c r="G123" i="3"/>
  <c r="BB123" i="4" s="1"/>
  <c r="BK122" i="3"/>
  <c r="BJ122" i="3"/>
  <c r="BF122" i="3"/>
  <c r="BC122" i="3"/>
  <c r="AZ122" i="3"/>
  <c r="AW122" i="3"/>
  <c r="AT122" i="3"/>
  <c r="AQ122" i="3"/>
  <c r="AN122" i="3"/>
  <c r="AK122" i="3"/>
  <c r="AH122" i="3"/>
  <c r="AE122" i="3"/>
  <c r="AD122" i="3"/>
  <c r="V122" i="3"/>
  <c r="T122" i="3"/>
  <c r="S122" i="3"/>
  <c r="BC122" i="4" s="1"/>
  <c r="P122" i="3"/>
  <c r="O122" i="3"/>
  <c r="L122" i="3"/>
  <c r="K122" i="3"/>
  <c r="BA122" i="4" s="1"/>
  <c r="H122" i="3"/>
  <c r="G122" i="3"/>
  <c r="BB122" i="4" s="1"/>
  <c r="BK121" i="3"/>
  <c r="BJ121" i="3"/>
  <c r="BF121" i="3"/>
  <c r="BC121" i="3"/>
  <c r="AZ121" i="3"/>
  <c r="AW121" i="3"/>
  <c r="AT121" i="3"/>
  <c r="AQ121" i="3"/>
  <c r="AN121" i="3"/>
  <c r="AK121" i="3"/>
  <c r="AH121" i="3"/>
  <c r="AD121" i="3"/>
  <c r="AE121" i="3" s="1"/>
  <c r="V121" i="3"/>
  <c r="T121" i="3"/>
  <c r="S121" i="3"/>
  <c r="BC121" i="4" s="1"/>
  <c r="P121" i="3"/>
  <c r="O121" i="3"/>
  <c r="L121" i="3"/>
  <c r="K121" i="3"/>
  <c r="BA121" i="4" s="1"/>
  <c r="H121" i="3"/>
  <c r="G121" i="3"/>
  <c r="BB121" i="4" s="1"/>
  <c r="BK120" i="3"/>
  <c r="BJ120" i="3"/>
  <c r="BF120" i="3"/>
  <c r="BC120" i="3"/>
  <c r="AZ120" i="3"/>
  <c r="AW120" i="3"/>
  <c r="AT120" i="3"/>
  <c r="AQ120" i="3"/>
  <c r="AN120" i="3"/>
  <c r="AK120" i="3"/>
  <c r="AH120" i="3"/>
  <c r="AE120" i="3"/>
  <c r="AD120" i="3"/>
  <c r="V120" i="3"/>
  <c r="S120" i="3"/>
  <c r="BC120" i="4" s="1"/>
  <c r="O120" i="3"/>
  <c r="P120" i="3" s="1"/>
  <c r="K120" i="3"/>
  <c r="BA120" i="4" s="1"/>
  <c r="G120" i="3"/>
  <c r="BB120" i="4" s="1"/>
  <c r="BK119" i="3"/>
  <c r="BJ119" i="3"/>
  <c r="BF119" i="3"/>
  <c r="BC119" i="3"/>
  <c r="AZ119" i="3"/>
  <c r="AW119" i="3"/>
  <c r="AT119" i="3"/>
  <c r="AQ119" i="3"/>
  <c r="AN119" i="3"/>
  <c r="AK119" i="3"/>
  <c r="AH119" i="3"/>
  <c r="AD119" i="3"/>
  <c r="AE119" i="3" s="1"/>
  <c r="V119" i="3"/>
  <c r="T119" i="3"/>
  <c r="S119" i="3"/>
  <c r="BC119" i="4" s="1"/>
  <c r="P119" i="3"/>
  <c r="O119" i="3"/>
  <c r="L119" i="3"/>
  <c r="K119" i="3"/>
  <c r="BA119" i="4" s="1"/>
  <c r="H119" i="3"/>
  <c r="G119" i="3"/>
  <c r="BB119" i="4" s="1"/>
  <c r="BK118" i="3"/>
  <c r="BJ118" i="3"/>
  <c r="BF118" i="3"/>
  <c r="BC118" i="3"/>
  <c r="AZ118" i="3"/>
  <c r="AW118" i="3"/>
  <c r="AT118" i="3"/>
  <c r="AQ118" i="3"/>
  <c r="AN118" i="3"/>
  <c r="AK118" i="3"/>
  <c r="AH118" i="3"/>
  <c r="AE118" i="3"/>
  <c r="AD118" i="3"/>
  <c r="V118" i="3"/>
  <c r="S118" i="3"/>
  <c r="BC118" i="4" s="1"/>
  <c r="O118" i="3"/>
  <c r="P118" i="3" s="1"/>
  <c r="K118" i="3"/>
  <c r="BA118" i="4" s="1"/>
  <c r="G118" i="3"/>
  <c r="BB118" i="4" s="1"/>
  <c r="BK117" i="3"/>
  <c r="BJ117" i="3"/>
  <c r="BF117" i="3"/>
  <c r="BC117" i="3"/>
  <c r="AZ117" i="3"/>
  <c r="AW117" i="3"/>
  <c r="AT117" i="3"/>
  <c r="AQ117" i="3"/>
  <c r="AN117" i="3"/>
  <c r="AK117" i="3"/>
  <c r="AH117" i="3"/>
  <c r="AE117" i="3"/>
  <c r="AD117" i="3"/>
  <c r="V117" i="3"/>
  <c r="T117" i="3"/>
  <c r="S117" i="3"/>
  <c r="BC117" i="4" s="1"/>
  <c r="P117" i="3"/>
  <c r="O117" i="3"/>
  <c r="L117" i="3"/>
  <c r="K117" i="3"/>
  <c r="BA117" i="4" s="1"/>
  <c r="H117" i="3"/>
  <c r="G117" i="3"/>
  <c r="BB117" i="4" s="1"/>
  <c r="BK116" i="3"/>
  <c r="BJ116" i="3"/>
  <c r="BF116" i="3"/>
  <c r="BC116" i="3"/>
  <c r="AZ116" i="3"/>
  <c r="AW116" i="3"/>
  <c r="AT116" i="3"/>
  <c r="AQ116" i="3"/>
  <c r="AN116" i="3"/>
  <c r="AK116" i="3"/>
  <c r="AH116" i="3"/>
  <c r="AE116" i="3"/>
  <c r="AD116" i="3"/>
  <c r="V116" i="3"/>
  <c r="S116" i="3"/>
  <c r="BC116" i="4" s="1"/>
  <c r="O116" i="3"/>
  <c r="P116" i="3" s="1"/>
  <c r="K116" i="3"/>
  <c r="BA116" i="4" s="1"/>
  <c r="G116" i="3"/>
  <c r="BB116" i="4" s="1"/>
  <c r="BK115" i="3"/>
  <c r="BJ115" i="3"/>
  <c r="BF115" i="3"/>
  <c r="BC115" i="3"/>
  <c r="AZ115" i="3"/>
  <c r="AW115" i="3"/>
  <c r="AT115" i="3"/>
  <c r="AQ115" i="3"/>
  <c r="AN115" i="3"/>
  <c r="AK115" i="3"/>
  <c r="AH115" i="3"/>
  <c r="AD115" i="3"/>
  <c r="AE115" i="3" s="1"/>
  <c r="V115" i="3"/>
  <c r="T115" i="3"/>
  <c r="S115" i="3"/>
  <c r="BC115" i="4" s="1"/>
  <c r="P115" i="3"/>
  <c r="O115" i="3"/>
  <c r="L115" i="3"/>
  <c r="K115" i="3"/>
  <c r="BA115" i="4" s="1"/>
  <c r="H115" i="3"/>
  <c r="G115" i="3"/>
  <c r="BB115" i="4" s="1"/>
  <c r="BK114" i="3"/>
  <c r="BJ114" i="3"/>
  <c r="BF114" i="3"/>
  <c r="BC114" i="3"/>
  <c r="AZ114" i="3"/>
  <c r="AW114" i="3"/>
  <c r="AT114" i="3"/>
  <c r="AQ114" i="3"/>
  <c r="AN114" i="3"/>
  <c r="AK114" i="3"/>
  <c r="AH114" i="3"/>
  <c r="AE114" i="3"/>
  <c r="AD114" i="3"/>
  <c r="V114" i="3"/>
  <c r="S114" i="3"/>
  <c r="BC114" i="4" s="1"/>
  <c r="O114" i="3"/>
  <c r="P114" i="3" s="1"/>
  <c r="K114" i="3"/>
  <c r="BA114" i="4" s="1"/>
  <c r="G114" i="3"/>
  <c r="BB114" i="4" s="1"/>
  <c r="BK113" i="3"/>
  <c r="BJ113" i="3"/>
  <c r="BF113" i="3"/>
  <c r="BC113" i="3"/>
  <c r="AZ113" i="3"/>
  <c r="AW113" i="3"/>
  <c r="AT113" i="3"/>
  <c r="AQ113" i="3"/>
  <c r="AN113" i="3"/>
  <c r="AK113" i="3"/>
  <c r="AH113" i="3"/>
  <c r="AD113" i="3"/>
  <c r="AE113" i="3" s="1"/>
  <c r="V113" i="3"/>
  <c r="T113" i="3"/>
  <c r="S113" i="3"/>
  <c r="BC113" i="4" s="1"/>
  <c r="P113" i="3"/>
  <c r="O113" i="3"/>
  <c r="L113" i="3"/>
  <c r="K113" i="3"/>
  <c r="BA113" i="4" s="1"/>
  <c r="H113" i="3"/>
  <c r="G113" i="3"/>
  <c r="BB113" i="4" s="1"/>
  <c r="BK112" i="3"/>
  <c r="BJ112" i="3"/>
  <c r="BF112" i="3"/>
  <c r="BC112" i="3"/>
  <c r="AZ112" i="3"/>
  <c r="AW112" i="3"/>
  <c r="AT112" i="3"/>
  <c r="AQ112" i="3"/>
  <c r="AN112" i="3"/>
  <c r="AK112" i="3"/>
  <c r="AH112" i="3"/>
  <c r="AE112" i="3"/>
  <c r="AD112" i="3"/>
  <c r="V112" i="3"/>
  <c r="S112" i="3"/>
  <c r="O112" i="3"/>
  <c r="P112" i="3" s="1"/>
  <c r="K112" i="3"/>
  <c r="G112" i="3"/>
  <c r="BK111" i="3"/>
  <c r="BJ111" i="3"/>
  <c r="BF111" i="3"/>
  <c r="BC111" i="3"/>
  <c r="AZ111" i="3"/>
  <c r="AW111" i="3"/>
  <c r="AT111" i="3"/>
  <c r="AQ111" i="3"/>
  <c r="AN111" i="3"/>
  <c r="AK111" i="3"/>
  <c r="AH111" i="3"/>
  <c r="AD111" i="3"/>
  <c r="AE111" i="3" s="1"/>
  <c r="V111" i="3"/>
  <c r="T111" i="3"/>
  <c r="S111" i="3"/>
  <c r="BC111" i="4" s="1"/>
  <c r="P111" i="3"/>
  <c r="O111" i="3"/>
  <c r="L111" i="3"/>
  <c r="K111" i="3"/>
  <c r="BA111" i="4" s="1"/>
  <c r="H111" i="3"/>
  <c r="G111" i="3"/>
  <c r="BB111" i="4" s="1"/>
  <c r="BK110" i="3"/>
  <c r="BJ110" i="3"/>
  <c r="BF110" i="3"/>
  <c r="BC110" i="3"/>
  <c r="AZ110" i="3"/>
  <c r="AW110" i="3"/>
  <c r="AT110" i="3"/>
  <c r="AQ110" i="3"/>
  <c r="AN110" i="3"/>
  <c r="AK110" i="3"/>
  <c r="AH110" i="3"/>
  <c r="AE110" i="3"/>
  <c r="AD110" i="3"/>
  <c r="V110" i="3"/>
  <c r="T110" i="3"/>
  <c r="S110" i="3"/>
  <c r="BC110" i="4" s="1"/>
  <c r="P110" i="3"/>
  <c r="O110" i="3"/>
  <c r="L110" i="3"/>
  <c r="K110" i="3"/>
  <c r="BA110" i="4" s="1"/>
  <c r="H110" i="3"/>
  <c r="G110" i="3"/>
  <c r="BB110" i="4" s="1"/>
  <c r="BK109" i="3"/>
  <c r="BJ109" i="3"/>
  <c r="BF109" i="3"/>
  <c r="BC109" i="3"/>
  <c r="AZ109" i="3"/>
  <c r="AW109" i="3"/>
  <c r="AT109" i="3"/>
  <c r="AQ109" i="3"/>
  <c r="AN109" i="3"/>
  <c r="AK109" i="3"/>
  <c r="AH109" i="3"/>
  <c r="AD109" i="3"/>
  <c r="AE109" i="3" s="1"/>
  <c r="V109" i="3"/>
  <c r="T109" i="3"/>
  <c r="S109" i="3"/>
  <c r="BC109" i="4" s="1"/>
  <c r="P109" i="3"/>
  <c r="O109" i="3"/>
  <c r="L109" i="3"/>
  <c r="K109" i="3"/>
  <c r="BA109" i="4" s="1"/>
  <c r="H109" i="3"/>
  <c r="G109" i="3"/>
  <c r="BB109" i="4" s="1"/>
  <c r="BK108" i="3"/>
  <c r="BJ108" i="3"/>
  <c r="BF108" i="3"/>
  <c r="BC108" i="3"/>
  <c r="AZ108" i="3"/>
  <c r="AW108" i="3"/>
  <c r="AT108" i="3"/>
  <c r="AQ108" i="3"/>
  <c r="AN108" i="3"/>
  <c r="AK108" i="3"/>
  <c r="AH108" i="3"/>
  <c r="AE108" i="3"/>
  <c r="AD108" i="3"/>
  <c r="V108" i="3"/>
  <c r="S108" i="3"/>
  <c r="O108" i="3"/>
  <c r="P108" i="3" s="1"/>
  <c r="K108" i="3"/>
  <c r="G108" i="3"/>
  <c r="BK107" i="3"/>
  <c r="BJ107" i="3"/>
  <c r="BF107" i="3"/>
  <c r="BC107" i="3"/>
  <c r="AZ107" i="3"/>
  <c r="AW107" i="3"/>
  <c r="AT107" i="3"/>
  <c r="AQ107" i="3"/>
  <c r="AN107" i="3"/>
  <c r="AK107" i="3"/>
  <c r="AH107" i="3"/>
  <c r="AD107" i="3"/>
  <c r="AE107" i="3" s="1"/>
  <c r="V107" i="3"/>
  <c r="T107" i="3"/>
  <c r="S107" i="3"/>
  <c r="BC107" i="4" s="1"/>
  <c r="P107" i="3"/>
  <c r="O107" i="3"/>
  <c r="L107" i="3"/>
  <c r="K107" i="3"/>
  <c r="BA107" i="4" s="1"/>
  <c r="H107" i="3"/>
  <c r="G107" i="3"/>
  <c r="BB107" i="4" s="1"/>
  <c r="BK106" i="3"/>
  <c r="BJ106" i="3"/>
  <c r="BF106" i="3"/>
  <c r="BC106" i="3"/>
  <c r="AZ106" i="3"/>
  <c r="AW106" i="3"/>
  <c r="AT106" i="3"/>
  <c r="AQ106" i="3"/>
  <c r="AN106" i="3"/>
  <c r="AK106" i="3"/>
  <c r="AH106" i="3"/>
  <c r="AE106" i="3"/>
  <c r="AD106" i="3"/>
  <c r="V106" i="3"/>
  <c r="S106" i="3"/>
  <c r="O106" i="3"/>
  <c r="P106" i="3" s="1"/>
  <c r="K106" i="3"/>
  <c r="G106" i="3"/>
  <c r="BK105" i="3"/>
  <c r="BJ105" i="3"/>
  <c r="BF105" i="3"/>
  <c r="BC105" i="3"/>
  <c r="AZ105" i="3"/>
  <c r="AW105" i="3"/>
  <c r="AT105" i="3"/>
  <c r="AQ105" i="3"/>
  <c r="AN105" i="3"/>
  <c r="AK105" i="3"/>
  <c r="AH105" i="3"/>
  <c r="AD105" i="3"/>
  <c r="AE105" i="3" s="1"/>
  <c r="V105" i="3"/>
  <c r="T105" i="3"/>
  <c r="S105" i="3"/>
  <c r="BC105" i="4" s="1"/>
  <c r="P105" i="3"/>
  <c r="O105" i="3"/>
  <c r="L105" i="3"/>
  <c r="K105" i="3"/>
  <c r="BA105" i="4" s="1"/>
  <c r="H105" i="3"/>
  <c r="G105" i="3"/>
  <c r="BB105" i="4" s="1"/>
  <c r="BK104" i="3"/>
  <c r="BJ104" i="3"/>
  <c r="BF104" i="3"/>
  <c r="BC104" i="3"/>
  <c r="AZ104" i="3"/>
  <c r="AW104" i="3"/>
  <c r="AT104" i="3"/>
  <c r="AQ104" i="3"/>
  <c r="AN104" i="3"/>
  <c r="AK104" i="3"/>
  <c r="AH104" i="3"/>
  <c r="AE104" i="3"/>
  <c r="AD104" i="3"/>
  <c r="V104" i="3"/>
  <c r="S104" i="3"/>
  <c r="O104" i="3"/>
  <c r="P104" i="3" s="1"/>
  <c r="K104" i="3"/>
  <c r="G104" i="3"/>
  <c r="BK103" i="3"/>
  <c r="BJ103" i="3"/>
  <c r="BF103" i="3"/>
  <c r="BC103" i="3"/>
  <c r="AZ103" i="3"/>
  <c r="AW103" i="3"/>
  <c r="AT103" i="3"/>
  <c r="AQ103" i="3"/>
  <c r="AN103" i="3"/>
  <c r="AK103" i="3"/>
  <c r="AH103" i="3"/>
  <c r="AE103" i="3"/>
  <c r="AD103" i="3"/>
  <c r="V103" i="3"/>
  <c r="T103" i="3"/>
  <c r="S103" i="3"/>
  <c r="BC103" i="4" s="1"/>
  <c r="P103" i="3"/>
  <c r="O103" i="3"/>
  <c r="L103" i="3"/>
  <c r="K103" i="3"/>
  <c r="BA103" i="4" s="1"/>
  <c r="H103" i="3"/>
  <c r="G103" i="3"/>
  <c r="BB103" i="4" s="1"/>
  <c r="BK102" i="3"/>
  <c r="BJ102" i="3"/>
  <c r="BF102" i="3"/>
  <c r="BC102" i="3"/>
  <c r="AZ102" i="3"/>
  <c r="AW102" i="3"/>
  <c r="AT102" i="3"/>
  <c r="AQ102" i="3"/>
  <c r="AN102" i="3"/>
  <c r="AK102" i="3"/>
  <c r="AH102" i="3"/>
  <c r="AE102" i="3"/>
  <c r="AD102" i="3"/>
  <c r="V102" i="3"/>
  <c r="S102" i="3"/>
  <c r="O102" i="3"/>
  <c r="P102" i="3" s="1"/>
  <c r="K102" i="3"/>
  <c r="G102" i="3"/>
  <c r="BK101" i="3"/>
  <c r="BJ101" i="3"/>
  <c r="BF101" i="3"/>
  <c r="BC101" i="3"/>
  <c r="AZ101" i="3"/>
  <c r="AW101" i="3"/>
  <c r="AT101" i="3"/>
  <c r="AQ101" i="3"/>
  <c r="AN101" i="3"/>
  <c r="AK101" i="3"/>
  <c r="AH101" i="3"/>
  <c r="AD101" i="3"/>
  <c r="AE101" i="3" s="1"/>
  <c r="V101" i="3"/>
  <c r="T101" i="3"/>
  <c r="S101" i="3"/>
  <c r="BC101" i="4" s="1"/>
  <c r="P101" i="3"/>
  <c r="O101" i="3"/>
  <c r="L101" i="3"/>
  <c r="K101" i="3"/>
  <c r="BA101" i="4" s="1"/>
  <c r="H101" i="3"/>
  <c r="G101" i="3"/>
  <c r="BB101" i="4" s="1"/>
  <c r="BK100" i="3"/>
  <c r="BJ100" i="3"/>
  <c r="BF100" i="3"/>
  <c r="BC100" i="3"/>
  <c r="AZ100" i="3"/>
  <c r="AW100" i="3"/>
  <c r="AT100" i="3"/>
  <c r="AQ100" i="3"/>
  <c r="AN100" i="3"/>
  <c r="AK100" i="3"/>
  <c r="AH100" i="3"/>
  <c r="AE100" i="3"/>
  <c r="AD100" i="3"/>
  <c r="V100" i="3"/>
  <c r="S100" i="3"/>
  <c r="O100" i="3"/>
  <c r="P100" i="3" s="1"/>
  <c r="K100" i="3"/>
  <c r="G100" i="3"/>
  <c r="BK99" i="3"/>
  <c r="BJ99" i="3"/>
  <c r="BF99" i="3"/>
  <c r="BC99" i="3"/>
  <c r="AZ99" i="3"/>
  <c r="AW99" i="3"/>
  <c r="AT99" i="3"/>
  <c r="AQ99" i="3"/>
  <c r="AN99" i="3"/>
  <c r="AK99" i="3"/>
  <c r="AH99" i="3"/>
  <c r="AD99" i="3"/>
  <c r="AE99" i="3" s="1"/>
  <c r="V99" i="3"/>
  <c r="T99" i="3"/>
  <c r="S99" i="3"/>
  <c r="BC99" i="4" s="1"/>
  <c r="P99" i="3"/>
  <c r="O99" i="3"/>
  <c r="L99" i="3"/>
  <c r="K99" i="3"/>
  <c r="BA99" i="4" s="1"/>
  <c r="H99" i="3"/>
  <c r="G99" i="3"/>
  <c r="BB99" i="4" s="1"/>
  <c r="BK98" i="3"/>
  <c r="BJ98" i="3"/>
  <c r="BF98" i="3"/>
  <c r="BC98" i="3"/>
  <c r="AZ98" i="3"/>
  <c r="AW98" i="3"/>
  <c r="AT98" i="3"/>
  <c r="AQ98" i="3"/>
  <c r="AN98" i="3"/>
  <c r="AK98" i="3"/>
  <c r="AH98" i="3"/>
  <c r="AE98" i="3"/>
  <c r="AD98" i="3"/>
  <c r="V98" i="3"/>
  <c r="S98" i="3"/>
  <c r="O98" i="3"/>
  <c r="P98" i="3" s="1"/>
  <c r="K98" i="3"/>
  <c r="G98" i="3"/>
  <c r="BK97" i="3"/>
  <c r="BJ97" i="3"/>
  <c r="BF97" i="3"/>
  <c r="BC97" i="3"/>
  <c r="AZ97" i="3"/>
  <c r="AW97" i="3"/>
  <c r="AT97" i="3"/>
  <c r="AQ97" i="3"/>
  <c r="AN97" i="3"/>
  <c r="AK97" i="3"/>
  <c r="AH97" i="3"/>
  <c r="AD97" i="3"/>
  <c r="AE97" i="3" s="1"/>
  <c r="V97" i="3"/>
  <c r="T97" i="3"/>
  <c r="S97" i="3"/>
  <c r="BC97" i="4" s="1"/>
  <c r="P97" i="3"/>
  <c r="O97" i="3"/>
  <c r="L97" i="3"/>
  <c r="K97" i="3"/>
  <c r="BA97" i="4" s="1"/>
  <c r="H97" i="3"/>
  <c r="G97" i="3"/>
  <c r="BB97" i="4" s="1"/>
  <c r="BK96" i="3"/>
  <c r="BJ96" i="3"/>
  <c r="BF96" i="3"/>
  <c r="BC96" i="3"/>
  <c r="AZ96" i="3"/>
  <c r="AW96" i="3"/>
  <c r="AT96" i="3"/>
  <c r="AQ96" i="3"/>
  <c r="AN96" i="3"/>
  <c r="AK96" i="3"/>
  <c r="AH96" i="3"/>
  <c r="AE96" i="3"/>
  <c r="AD96" i="3"/>
  <c r="V96" i="3"/>
  <c r="T96" i="3"/>
  <c r="S96" i="3"/>
  <c r="BC96" i="4" s="1"/>
  <c r="P96" i="3"/>
  <c r="O96" i="3"/>
  <c r="L96" i="3"/>
  <c r="K96" i="3"/>
  <c r="BA96" i="4" s="1"/>
  <c r="H96" i="3"/>
  <c r="G96" i="3"/>
  <c r="BB96" i="4" s="1"/>
  <c r="BK95" i="3"/>
  <c r="BJ95" i="3"/>
  <c r="BF95" i="3"/>
  <c r="BC95" i="3"/>
  <c r="AZ95" i="3"/>
  <c r="AW95" i="3"/>
  <c r="AT95" i="3"/>
  <c r="AQ95" i="3"/>
  <c r="AN95" i="3"/>
  <c r="AK95" i="3"/>
  <c r="AH95" i="3"/>
  <c r="AD95" i="3"/>
  <c r="AE95" i="3" s="1"/>
  <c r="V95" i="3"/>
  <c r="T95" i="3"/>
  <c r="S95" i="3"/>
  <c r="BC95" i="4" s="1"/>
  <c r="P95" i="3"/>
  <c r="O95" i="3"/>
  <c r="L95" i="3"/>
  <c r="K95" i="3"/>
  <c r="BA95" i="4" s="1"/>
  <c r="H95" i="3"/>
  <c r="G95" i="3"/>
  <c r="BB95" i="4" s="1"/>
  <c r="BK94" i="3"/>
  <c r="BJ94" i="3"/>
  <c r="BF94" i="3"/>
  <c r="BC94" i="3"/>
  <c r="AZ94" i="3"/>
  <c r="AW94" i="3"/>
  <c r="AT94" i="3"/>
  <c r="AQ94" i="3"/>
  <c r="AN94" i="3"/>
  <c r="AK94" i="3"/>
  <c r="AH94" i="3"/>
  <c r="AE94" i="3"/>
  <c r="AD94" i="3"/>
  <c r="V94" i="3"/>
  <c r="S94" i="3"/>
  <c r="O94" i="3"/>
  <c r="P94" i="3" s="1"/>
  <c r="K94" i="3"/>
  <c r="G94" i="3"/>
  <c r="BK93" i="3"/>
  <c r="BJ93" i="3"/>
  <c r="BF93" i="3"/>
  <c r="BC93" i="3"/>
  <c r="AZ93" i="3"/>
  <c r="AW93" i="3"/>
  <c r="AT93" i="3"/>
  <c r="AQ93" i="3"/>
  <c r="AN93" i="3"/>
  <c r="AK93" i="3"/>
  <c r="AH93" i="3"/>
  <c r="AD93" i="3"/>
  <c r="AE93" i="3" s="1"/>
  <c r="V93" i="3"/>
  <c r="T93" i="3"/>
  <c r="S93" i="3"/>
  <c r="BC93" i="4" s="1"/>
  <c r="P93" i="3"/>
  <c r="O93" i="3"/>
  <c r="L93" i="3"/>
  <c r="K93" i="3"/>
  <c r="BA93" i="4" s="1"/>
  <c r="H93" i="3"/>
  <c r="G93" i="3"/>
  <c r="BB93" i="4" s="1"/>
  <c r="BK92" i="3"/>
  <c r="BJ92" i="3"/>
  <c r="BF92" i="3"/>
  <c r="BC92" i="3"/>
  <c r="AZ92" i="3"/>
  <c r="AW92" i="3"/>
  <c r="AT92" i="3"/>
  <c r="AQ92" i="3"/>
  <c r="AN92" i="3"/>
  <c r="AK92" i="3"/>
  <c r="AH92" i="3"/>
  <c r="AE92" i="3"/>
  <c r="AD92" i="3"/>
  <c r="V92" i="3"/>
  <c r="S92" i="3"/>
  <c r="O92" i="3"/>
  <c r="P92" i="3" s="1"/>
  <c r="K92" i="3"/>
  <c r="G92" i="3"/>
  <c r="BK91" i="3"/>
  <c r="BJ91" i="3"/>
  <c r="BF91" i="3"/>
  <c r="BC91" i="3"/>
  <c r="AZ91" i="3"/>
  <c r="AW91" i="3"/>
  <c r="AT91" i="3"/>
  <c r="AQ91" i="3"/>
  <c r="AN91" i="3"/>
  <c r="AK91" i="3"/>
  <c r="AH91" i="3"/>
  <c r="AD91" i="3"/>
  <c r="AE91" i="3" s="1"/>
  <c r="V91" i="3"/>
  <c r="T91" i="3"/>
  <c r="S91" i="3"/>
  <c r="BC91" i="4" s="1"/>
  <c r="P91" i="3"/>
  <c r="O91" i="3"/>
  <c r="L91" i="3"/>
  <c r="K91" i="3"/>
  <c r="BA91" i="4" s="1"/>
  <c r="H91" i="3"/>
  <c r="G91" i="3"/>
  <c r="BB91" i="4" s="1"/>
  <c r="BK90" i="3"/>
  <c r="BJ90" i="3"/>
  <c r="BF90" i="3"/>
  <c r="BC90" i="3"/>
  <c r="AZ90" i="3"/>
  <c r="AW90" i="3"/>
  <c r="AT90" i="3"/>
  <c r="AQ90" i="3"/>
  <c r="AN90" i="3"/>
  <c r="AK90" i="3"/>
  <c r="AH90" i="3"/>
  <c r="AE90" i="3"/>
  <c r="AD90" i="3"/>
  <c r="V90" i="3"/>
  <c r="S90" i="3"/>
  <c r="O90" i="3"/>
  <c r="P90" i="3" s="1"/>
  <c r="K90" i="3"/>
  <c r="G90" i="3"/>
  <c r="BK89" i="3"/>
  <c r="BJ89" i="3"/>
  <c r="BF89" i="3"/>
  <c r="BC89" i="3"/>
  <c r="AZ89" i="3"/>
  <c r="AW89" i="3"/>
  <c r="AT89" i="3"/>
  <c r="AQ89" i="3"/>
  <c r="AN89" i="3"/>
  <c r="AK89" i="3"/>
  <c r="AH89" i="3"/>
  <c r="AE89" i="3"/>
  <c r="AD89" i="3"/>
  <c r="V89" i="3"/>
  <c r="T89" i="3"/>
  <c r="S89" i="3"/>
  <c r="BC89" i="4" s="1"/>
  <c r="P89" i="3"/>
  <c r="O89" i="3"/>
  <c r="L89" i="3"/>
  <c r="K89" i="3"/>
  <c r="BA89" i="4" s="1"/>
  <c r="H89" i="3"/>
  <c r="G89" i="3"/>
  <c r="BB89" i="4" s="1"/>
  <c r="BK88" i="3"/>
  <c r="BJ88" i="3"/>
  <c r="BF88" i="3"/>
  <c r="BC88" i="3"/>
  <c r="AZ88" i="3"/>
  <c r="AW88" i="3"/>
  <c r="AT88" i="3"/>
  <c r="AQ88" i="3"/>
  <c r="AN88" i="3"/>
  <c r="AK88" i="3"/>
  <c r="AH88" i="3"/>
  <c r="AE88" i="3"/>
  <c r="AD88" i="3"/>
  <c r="V88" i="3"/>
  <c r="S88" i="3"/>
  <c r="O88" i="3"/>
  <c r="P88" i="3" s="1"/>
  <c r="K88" i="3"/>
  <c r="G88" i="3"/>
  <c r="BK87" i="3"/>
  <c r="BJ87" i="3"/>
  <c r="BF87" i="3"/>
  <c r="BC87" i="3"/>
  <c r="AZ87" i="3"/>
  <c r="AW87" i="3"/>
  <c r="AT87" i="3"/>
  <c r="AQ87" i="3"/>
  <c r="AN87" i="3"/>
  <c r="AK87" i="3"/>
  <c r="AH87" i="3"/>
  <c r="AD87" i="3"/>
  <c r="AE87" i="3" s="1"/>
  <c r="V87" i="3"/>
  <c r="T87" i="3"/>
  <c r="S87" i="3"/>
  <c r="BC87" i="4" s="1"/>
  <c r="P87" i="3"/>
  <c r="O87" i="3"/>
  <c r="L87" i="3"/>
  <c r="K87" i="3"/>
  <c r="BA87" i="4" s="1"/>
  <c r="H87" i="3"/>
  <c r="G87" i="3"/>
  <c r="BB87" i="4" s="1"/>
  <c r="BK86" i="3"/>
  <c r="BJ86" i="3"/>
  <c r="BF86" i="3"/>
  <c r="BC86" i="3"/>
  <c r="AZ86" i="3"/>
  <c r="AW86" i="3"/>
  <c r="AT86" i="3"/>
  <c r="AQ86" i="3"/>
  <c r="AN86" i="3"/>
  <c r="AK86" i="3"/>
  <c r="AH86" i="3"/>
  <c r="AE86" i="3"/>
  <c r="AD86" i="3"/>
  <c r="V86" i="3"/>
  <c r="S86" i="3"/>
  <c r="O86" i="3"/>
  <c r="P86" i="3" s="1"/>
  <c r="K86" i="3"/>
  <c r="G86" i="3"/>
  <c r="BK85" i="3"/>
  <c r="BJ85" i="3"/>
  <c r="BF85" i="3"/>
  <c r="BC85" i="3"/>
  <c r="AZ85" i="3"/>
  <c r="AW85" i="3"/>
  <c r="AT85" i="3"/>
  <c r="AQ85" i="3"/>
  <c r="AN85" i="3"/>
  <c r="AK85" i="3"/>
  <c r="AH85" i="3"/>
  <c r="AD85" i="3"/>
  <c r="AE85" i="3" s="1"/>
  <c r="V85" i="3"/>
  <c r="T85" i="3"/>
  <c r="S85" i="3"/>
  <c r="BC85" i="4" s="1"/>
  <c r="P85" i="3"/>
  <c r="O85" i="3"/>
  <c r="L85" i="3"/>
  <c r="K85" i="3"/>
  <c r="BA85" i="4" s="1"/>
  <c r="H85" i="3"/>
  <c r="G85" i="3"/>
  <c r="BB85" i="4" s="1"/>
  <c r="BK84" i="3"/>
  <c r="BJ84" i="3"/>
  <c r="BF84" i="3"/>
  <c r="BC84" i="3"/>
  <c r="AZ84" i="3"/>
  <c r="AW84" i="3"/>
  <c r="AT84" i="3"/>
  <c r="AQ84" i="3"/>
  <c r="AN84" i="3"/>
  <c r="AK84" i="3"/>
  <c r="AH84" i="3"/>
  <c r="AE84" i="3"/>
  <c r="AD84" i="3"/>
  <c r="V84" i="3"/>
  <c r="S84" i="3"/>
  <c r="O84" i="3"/>
  <c r="P84" i="3" s="1"/>
  <c r="K84" i="3"/>
  <c r="G84" i="3"/>
  <c r="BK83" i="3"/>
  <c r="BJ83" i="3"/>
  <c r="BF83" i="3"/>
  <c r="BC83" i="3"/>
  <c r="AZ83" i="3"/>
  <c r="AW83" i="3"/>
  <c r="AT83" i="3"/>
  <c r="AQ83" i="3"/>
  <c r="AN83" i="3"/>
  <c r="AK83" i="3"/>
  <c r="AH83" i="3"/>
  <c r="AD83" i="3"/>
  <c r="AE83" i="3" s="1"/>
  <c r="V83" i="3"/>
  <c r="T83" i="3"/>
  <c r="S83" i="3"/>
  <c r="BC83" i="4" s="1"/>
  <c r="P83" i="3"/>
  <c r="O83" i="3"/>
  <c r="L83" i="3"/>
  <c r="K83" i="3"/>
  <c r="BA83" i="4" s="1"/>
  <c r="H83" i="3"/>
  <c r="G83" i="3"/>
  <c r="BB83" i="4" s="1"/>
  <c r="BK82" i="3"/>
  <c r="BJ82" i="3"/>
  <c r="BF82" i="3"/>
  <c r="BC82" i="3"/>
  <c r="AZ82" i="3"/>
  <c r="AW82" i="3"/>
  <c r="AT82" i="3"/>
  <c r="AQ82" i="3"/>
  <c r="AN82" i="3"/>
  <c r="AK82" i="3"/>
  <c r="AH82" i="3"/>
  <c r="AE82" i="3"/>
  <c r="AD82" i="3"/>
  <c r="V82" i="3"/>
  <c r="S82" i="3"/>
  <c r="O82" i="3"/>
  <c r="P82" i="3" s="1"/>
  <c r="K82" i="3"/>
  <c r="G82" i="3"/>
  <c r="BK81" i="3"/>
  <c r="BJ81" i="3"/>
  <c r="BF81" i="3"/>
  <c r="BC81" i="3"/>
  <c r="AZ81" i="3"/>
  <c r="AW81" i="3"/>
  <c r="AT81" i="3"/>
  <c r="AQ81" i="3"/>
  <c r="AN81" i="3"/>
  <c r="AK81" i="3"/>
  <c r="AH81" i="3"/>
  <c r="AD81" i="3"/>
  <c r="AE81" i="3" s="1"/>
  <c r="V81" i="3"/>
  <c r="T81" i="3"/>
  <c r="S81" i="3"/>
  <c r="BC81" i="4" s="1"/>
  <c r="P81" i="3"/>
  <c r="O81" i="3"/>
  <c r="L81" i="3"/>
  <c r="K81" i="3"/>
  <c r="BA81" i="4" s="1"/>
  <c r="H81" i="3"/>
  <c r="G81" i="3"/>
  <c r="BB81" i="4" s="1"/>
  <c r="BK80" i="3"/>
  <c r="BJ80" i="3"/>
  <c r="BF80" i="3"/>
  <c r="BC80" i="3"/>
  <c r="AZ80" i="3"/>
  <c r="AW80" i="3"/>
  <c r="AT80" i="3"/>
  <c r="AQ80" i="3"/>
  <c r="AN80" i="3"/>
  <c r="AK80" i="3"/>
  <c r="AH80" i="3"/>
  <c r="AE80" i="3"/>
  <c r="AD80" i="3"/>
  <c r="V80" i="3"/>
  <c r="S80" i="3"/>
  <c r="O80" i="3"/>
  <c r="P80" i="3" s="1"/>
  <c r="K80" i="3"/>
  <c r="G80" i="3"/>
  <c r="BK79" i="3"/>
  <c r="BJ79" i="3"/>
  <c r="BF79" i="3"/>
  <c r="BC79" i="3"/>
  <c r="AZ79" i="3"/>
  <c r="AW79" i="3"/>
  <c r="AT79" i="3"/>
  <c r="AQ79" i="3"/>
  <c r="AN79" i="3"/>
  <c r="AK79" i="3"/>
  <c r="AH79" i="3"/>
  <c r="AD79" i="3"/>
  <c r="AE79" i="3" s="1"/>
  <c r="V79" i="3"/>
  <c r="T79" i="3"/>
  <c r="S79" i="3"/>
  <c r="BC79" i="4" s="1"/>
  <c r="P79" i="3"/>
  <c r="O79" i="3"/>
  <c r="L79" i="3"/>
  <c r="K79" i="3"/>
  <c r="BA79" i="4" s="1"/>
  <c r="H79" i="3"/>
  <c r="G79" i="3"/>
  <c r="BB79" i="4" s="1"/>
  <c r="BK78" i="3"/>
  <c r="BJ78" i="3"/>
  <c r="BF78" i="3"/>
  <c r="BC78" i="3"/>
  <c r="AZ78" i="3"/>
  <c r="AW78" i="3"/>
  <c r="AT78" i="3"/>
  <c r="AQ78" i="3"/>
  <c r="AN78" i="3"/>
  <c r="AK78" i="3"/>
  <c r="AH78" i="3"/>
  <c r="AE78" i="3"/>
  <c r="AD78" i="3"/>
  <c r="V78" i="3"/>
  <c r="S78" i="3"/>
  <c r="O78" i="3"/>
  <c r="P78" i="3" s="1"/>
  <c r="K78" i="3"/>
  <c r="G78" i="3"/>
  <c r="BK77" i="3"/>
  <c r="BJ77" i="3"/>
  <c r="BF77" i="3"/>
  <c r="BC77" i="3"/>
  <c r="AZ77" i="3"/>
  <c r="AW77" i="3"/>
  <c r="AT77" i="3"/>
  <c r="AQ77" i="3"/>
  <c r="AN77" i="3"/>
  <c r="AK77" i="3"/>
  <c r="AH77" i="3"/>
  <c r="AD77" i="3"/>
  <c r="AE77" i="3" s="1"/>
  <c r="V77" i="3"/>
  <c r="T77" i="3"/>
  <c r="S77" i="3"/>
  <c r="BC77" i="4" s="1"/>
  <c r="P77" i="3"/>
  <c r="O77" i="3"/>
  <c r="L77" i="3"/>
  <c r="K77" i="3"/>
  <c r="BA77" i="4" s="1"/>
  <c r="H77" i="3"/>
  <c r="G77" i="3"/>
  <c r="BB77" i="4" s="1"/>
  <c r="BK76" i="3"/>
  <c r="BJ76" i="3"/>
  <c r="BF76" i="3"/>
  <c r="BC76" i="3"/>
  <c r="AZ76" i="3"/>
  <c r="AW76" i="3"/>
  <c r="AT76" i="3"/>
  <c r="AQ76" i="3"/>
  <c r="AN76" i="3"/>
  <c r="AK76" i="3"/>
  <c r="AH76" i="3"/>
  <c r="AE76" i="3"/>
  <c r="AD76" i="3"/>
  <c r="V76" i="3"/>
  <c r="S76" i="3"/>
  <c r="O76" i="3"/>
  <c r="P76" i="3" s="1"/>
  <c r="K76" i="3"/>
  <c r="G76" i="3"/>
  <c r="BK75" i="3"/>
  <c r="BJ75" i="3"/>
  <c r="BF75" i="3"/>
  <c r="BC75" i="3"/>
  <c r="AZ75" i="3"/>
  <c r="AW75" i="3"/>
  <c r="AT75" i="3"/>
  <c r="AQ75" i="3"/>
  <c r="AN75" i="3"/>
  <c r="AK75" i="3"/>
  <c r="AH75" i="3"/>
  <c r="AE75" i="3"/>
  <c r="AD75" i="3"/>
  <c r="V75" i="3"/>
  <c r="T75" i="3"/>
  <c r="S75" i="3"/>
  <c r="BC75" i="4" s="1"/>
  <c r="P75" i="3"/>
  <c r="O75" i="3"/>
  <c r="L75" i="3"/>
  <c r="K75" i="3"/>
  <c r="BA75" i="4" s="1"/>
  <c r="H75" i="3"/>
  <c r="G75" i="3"/>
  <c r="BB75" i="4" s="1"/>
  <c r="BK74" i="3"/>
  <c r="BJ74" i="3"/>
  <c r="BF74" i="3"/>
  <c r="BC74" i="3"/>
  <c r="AZ74" i="3"/>
  <c r="AW74" i="3"/>
  <c r="AT74" i="3"/>
  <c r="AQ74" i="3"/>
  <c r="AN74" i="3"/>
  <c r="AK74" i="3"/>
  <c r="AH74" i="3"/>
  <c r="AE74" i="3"/>
  <c r="AD74" i="3"/>
  <c r="V74" i="3"/>
  <c r="T74" i="3"/>
  <c r="S74" i="3"/>
  <c r="BC74" i="4" s="1"/>
  <c r="P74" i="3"/>
  <c r="O74" i="3"/>
  <c r="L74" i="3"/>
  <c r="K74" i="3"/>
  <c r="BA74" i="4" s="1"/>
  <c r="H74" i="3"/>
  <c r="G74" i="3"/>
  <c r="BB74" i="4" s="1"/>
  <c r="BK73" i="3"/>
  <c r="BJ73" i="3"/>
  <c r="BF73" i="3"/>
  <c r="BC73" i="3"/>
  <c r="AZ73" i="3"/>
  <c r="AW73" i="3"/>
  <c r="AT73" i="3"/>
  <c r="AQ73" i="3"/>
  <c r="AN73" i="3"/>
  <c r="AK73" i="3"/>
  <c r="AH73" i="3"/>
  <c r="AD73" i="3"/>
  <c r="AE73" i="3" s="1"/>
  <c r="V73" i="3"/>
  <c r="T73" i="3"/>
  <c r="S73" i="3"/>
  <c r="BC73" i="4" s="1"/>
  <c r="P73" i="3"/>
  <c r="O73" i="3"/>
  <c r="L73" i="3"/>
  <c r="K73" i="3"/>
  <c r="BA73" i="4" s="1"/>
  <c r="H73" i="3"/>
  <c r="G73" i="3"/>
  <c r="BB73" i="4" s="1"/>
  <c r="BK72" i="3"/>
  <c r="BJ72" i="3"/>
  <c r="BF72" i="3"/>
  <c r="BC72" i="3"/>
  <c r="AZ72" i="3"/>
  <c r="AW72" i="3"/>
  <c r="AT72" i="3"/>
  <c r="AQ72" i="3"/>
  <c r="AN72" i="3"/>
  <c r="AK72" i="3"/>
  <c r="AH72" i="3"/>
  <c r="AE72" i="3"/>
  <c r="AD72" i="3"/>
  <c r="V72" i="3"/>
  <c r="S72" i="3"/>
  <c r="O72" i="3"/>
  <c r="P72" i="3" s="1"/>
  <c r="K72" i="3"/>
  <c r="G72" i="3"/>
  <c r="BK71" i="3"/>
  <c r="BJ71" i="3"/>
  <c r="BF71" i="3"/>
  <c r="BC71" i="3"/>
  <c r="AZ71" i="3"/>
  <c r="AW71" i="3"/>
  <c r="AT71" i="3"/>
  <c r="AQ71" i="3"/>
  <c r="AN71" i="3"/>
  <c r="AK71" i="3"/>
  <c r="AH71" i="3"/>
  <c r="AD71" i="3"/>
  <c r="AE71" i="3" s="1"/>
  <c r="V71" i="3"/>
  <c r="T71" i="3"/>
  <c r="S71" i="3"/>
  <c r="BC71" i="4" s="1"/>
  <c r="P71" i="3"/>
  <c r="O71" i="3"/>
  <c r="L71" i="3"/>
  <c r="K71" i="3"/>
  <c r="BA71" i="4" s="1"/>
  <c r="H71" i="3"/>
  <c r="G71" i="3"/>
  <c r="BB71" i="4" s="1"/>
  <c r="BK70" i="3"/>
  <c r="BJ70" i="3"/>
  <c r="BF70" i="3"/>
  <c r="BC70" i="3"/>
  <c r="AZ70" i="3"/>
  <c r="AW70" i="3"/>
  <c r="AT70" i="3"/>
  <c r="AQ70" i="3"/>
  <c r="AN70" i="3"/>
  <c r="AK70" i="3"/>
  <c r="AH70" i="3"/>
  <c r="AE70" i="3"/>
  <c r="AD70" i="3"/>
  <c r="V70" i="3"/>
  <c r="S70" i="3"/>
  <c r="O70" i="3"/>
  <c r="P70" i="3" s="1"/>
  <c r="K70" i="3"/>
  <c r="G70" i="3"/>
  <c r="BK69" i="3"/>
  <c r="BJ69" i="3"/>
  <c r="BF69" i="3"/>
  <c r="BC69" i="3"/>
  <c r="AZ69" i="3"/>
  <c r="AW69" i="3"/>
  <c r="AT69" i="3"/>
  <c r="AQ69" i="3"/>
  <c r="AN69" i="3"/>
  <c r="AK69" i="3"/>
  <c r="AH69" i="3"/>
  <c r="AD69" i="3"/>
  <c r="AE69" i="3" s="1"/>
  <c r="V69" i="3"/>
  <c r="T69" i="3"/>
  <c r="S69" i="3"/>
  <c r="BC69" i="4" s="1"/>
  <c r="P69" i="3"/>
  <c r="O69" i="3"/>
  <c r="L69" i="3"/>
  <c r="K69" i="3"/>
  <c r="BA69" i="4" s="1"/>
  <c r="H69" i="3"/>
  <c r="G69" i="3"/>
  <c r="BB69" i="4" s="1"/>
  <c r="BK68" i="3"/>
  <c r="BJ68" i="3"/>
  <c r="BF68" i="3"/>
  <c r="BC68" i="3"/>
  <c r="AZ68" i="3"/>
  <c r="AW68" i="3"/>
  <c r="AT68" i="3"/>
  <c r="AQ68" i="3"/>
  <c r="AN68" i="3"/>
  <c r="AK68" i="3"/>
  <c r="AH68" i="3"/>
  <c r="AE68" i="3"/>
  <c r="AD68" i="3"/>
  <c r="V68" i="3"/>
  <c r="S68" i="3"/>
  <c r="O68" i="3"/>
  <c r="P68" i="3" s="1"/>
  <c r="K68" i="3"/>
  <c r="G68" i="3"/>
  <c r="BK67" i="3"/>
  <c r="BJ67" i="3"/>
  <c r="BF67" i="3"/>
  <c r="BC67" i="3"/>
  <c r="AZ67" i="3"/>
  <c r="AW67" i="3"/>
  <c r="AT67" i="3"/>
  <c r="AQ67" i="3"/>
  <c r="AN67" i="3"/>
  <c r="AK67" i="3"/>
  <c r="AH67" i="3"/>
  <c r="AD67" i="3"/>
  <c r="AE67" i="3" s="1"/>
  <c r="V67" i="3"/>
  <c r="T67" i="3"/>
  <c r="S67" i="3"/>
  <c r="BC67" i="4" s="1"/>
  <c r="P67" i="3"/>
  <c r="O67" i="3"/>
  <c r="L67" i="3"/>
  <c r="K67" i="3"/>
  <c r="BA67" i="4" s="1"/>
  <c r="H67" i="3"/>
  <c r="G67" i="3"/>
  <c r="BB67" i="4" s="1"/>
  <c r="BK66" i="3"/>
  <c r="BJ66" i="3"/>
  <c r="BF66" i="3"/>
  <c r="BC66" i="3"/>
  <c r="AZ66" i="3"/>
  <c r="AW66" i="3"/>
  <c r="AT66" i="3"/>
  <c r="AQ66" i="3"/>
  <c r="AN66" i="3"/>
  <c r="AK66" i="3"/>
  <c r="AH66" i="3"/>
  <c r="AE66" i="3"/>
  <c r="AD66" i="3"/>
  <c r="V66" i="3"/>
  <c r="S66" i="3"/>
  <c r="O66" i="3"/>
  <c r="P66" i="3" s="1"/>
  <c r="K66" i="3"/>
  <c r="G66" i="3"/>
  <c r="BK65" i="3"/>
  <c r="BJ65" i="3"/>
  <c r="BF65" i="3"/>
  <c r="BC65" i="3"/>
  <c r="AZ65" i="3"/>
  <c r="AW65" i="3"/>
  <c r="AT65" i="3"/>
  <c r="AQ65" i="3"/>
  <c r="AN65" i="3"/>
  <c r="AK65" i="3"/>
  <c r="AH65" i="3"/>
  <c r="AD65" i="3"/>
  <c r="AE65" i="3" s="1"/>
  <c r="V65" i="3"/>
  <c r="T65" i="3"/>
  <c r="S65" i="3"/>
  <c r="BC65" i="4" s="1"/>
  <c r="P65" i="3"/>
  <c r="O65" i="3"/>
  <c r="L65" i="3"/>
  <c r="K65" i="3"/>
  <c r="BA65" i="4" s="1"/>
  <c r="H65" i="3"/>
  <c r="G65" i="3"/>
  <c r="BB65" i="4" s="1"/>
  <c r="BK64" i="3"/>
  <c r="BJ64" i="3"/>
  <c r="BF64" i="3"/>
  <c r="BC64" i="3"/>
  <c r="AZ64" i="3"/>
  <c r="AW64" i="3"/>
  <c r="AT64" i="3"/>
  <c r="AQ64" i="3"/>
  <c r="AN64" i="3"/>
  <c r="AK64" i="3"/>
  <c r="AH64" i="3"/>
  <c r="AE64" i="3"/>
  <c r="AD64" i="3"/>
  <c r="V64" i="3"/>
  <c r="S64" i="3"/>
  <c r="O64" i="3"/>
  <c r="P64" i="3" s="1"/>
  <c r="K64" i="3"/>
  <c r="G64" i="3"/>
  <c r="BK63" i="3"/>
  <c r="BJ63" i="3"/>
  <c r="BF63" i="3"/>
  <c r="BC63" i="3"/>
  <c r="AZ63" i="3"/>
  <c r="AW63" i="3"/>
  <c r="AT63" i="3"/>
  <c r="AQ63" i="3"/>
  <c r="AN63" i="3"/>
  <c r="AK63" i="3"/>
  <c r="AH63" i="3"/>
  <c r="AD63" i="3"/>
  <c r="AE63" i="3" s="1"/>
  <c r="V63" i="3"/>
  <c r="T63" i="3"/>
  <c r="S63" i="3"/>
  <c r="BC63" i="4" s="1"/>
  <c r="P63" i="3"/>
  <c r="O63" i="3"/>
  <c r="L63" i="3"/>
  <c r="K63" i="3"/>
  <c r="BA63" i="4" s="1"/>
  <c r="H63" i="3"/>
  <c r="G63" i="3"/>
  <c r="BB63" i="4" s="1"/>
  <c r="BK62" i="3"/>
  <c r="BJ62" i="3"/>
  <c r="BF62" i="3"/>
  <c r="BC62" i="3"/>
  <c r="AZ62" i="3"/>
  <c r="AW62" i="3"/>
  <c r="AT62" i="3"/>
  <c r="AQ62" i="3"/>
  <c r="AN62" i="3"/>
  <c r="AK62" i="3"/>
  <c r="AH62" i="3"/>
  <c r="AE62" i="3"/>
  <c r="AD62" i="3"/>
  <c r="V62" i="3"/>
  <c r="S62" i="3"/>
  <c r="O62" i="3"/>
  <c r="P62" i="3" s="1"/>
  <c r="K62" i="3"/>
  <c r="G62" i="3"/>
  <c r="BK61" i="3"/>
  <c r="BJ61" i="3"/>
  <c r="BF61" i="3"/>
  <c r="BC61" i="3"/>
  <c r="AZ61" i="3"/>
  <c r="AW61" i="3"/>
  <c r="AT61" i="3"/>
  <c r="AQ61" i="3"/>
  <c r="AN61" i="3"/>
  <c r="AK61" i="3"/>
  <c r="AH61" i="3"/>
  <c r="AE61" i="3"/>
  <c r="AD61" i="3"/>
  <c r="V61" i="3"/>
  <c r="T61" i="3"/>
  <c r="S61" i="3"/>
  <c r="BC61" i="4" s="1"/>
  <c r="P61" i="3"/>
  <c r="O61" i="3"/>
  <c r="L61" i="3"/>
  <c r="K61" i="3"/>
  <c r="BA61" i="4" s="1"/>
  <c r="H61" i="3"/>
  <c r="G61" i="3"/>
  <c r="BB61" i="4" s="1"/>
  <c r="BK60" i="3"/>
  <c r="BJ60" i="3"/>
  <c r="BF60" i="3"/>
  <c r="BC60" i="3"/>
  <c r="AZ60" i="3"/>
  <c r="AW60" i="3"/>
  <c r="AT60" i="3"/>
  <c r="AQ60" i="3"/>
  <c r="AN60" i="3"/>
  <c r="AK60" i="3"/>
  <c r="AH60" i="3"/>
  <c r="AE60" i="3"/>
  <c r="AD60" i="3"/>
  <c r="V60" i="3"/>
  <c r="S60" i="3"/>
  <c r="O60" i="3"/>
  <c r="P60" i="3" s="1"/>
  <c r="K60" i="3"/>
  <c r="G60" i="3"/>
  <c r="BK59" i="3"/>
  <c r="BJ59" i="3"/>
  <c r="BF59" i="3"/>
  <c r="BC59" i="3"/>
  <c r="AZ59" i="3"/>
  <c r="AW59" i="3"/>
  <c r="AT59" i="3"/>
  <c r="AQ59" i="3"/>
  <c r="AN59" i="3"/>
  <c r="AK59" i="3"/>
  <c r="AH59" i="3"/>
  <c r="AD59" i="3"/>
  <c r="AE59" i="3" s="1"/>
  <c r="V59" i="3"/>
  <c r="T59" i="3"/>
  <c r="S59" i="3"/>
  <c r="BC59" i="4" s="1"/>
  <c r="P59" i="3"/>
  <c r="O59" i="3"/>
  <c r="L59" i="3"/>
  <c r="K59" i="3"/>
  <c r="BA59" i="4" s="1"/>
  <c r="H59" i="3"/>
  <c r="G59" i="3"/>
  <c r="BB59" i="4" s="1"/>
  <c r="BK58" i="3"/>
  <c r="BJ58" i="3"/>
  <c r="BF58" i="3"/>
  <c r="BC58" i="3"/>
  <c r="AZ58" i="3"/>
  <c r="AW58" i="3"/>
  <c r="AT58" i="3"/>
  <c r="AQ58" i="3"/>
  <c r="AN58" i="3"/>
  <c r="AK58" i="3"/>
  <c r="AH58" i="3"/>
  <c r="AE58" i="3"/>
  <c r="AD58" i="3"/>
  <c r="V58" i="3"/>
  <c r="S58" i="3"/>
  <c r="O58" i="3"/>
  <c r="P58" i="3" s="1"/>
  <c r="K58" i="3"/>
  <c r="G58" i="3"/>
  <c r="BK57" i="3"/>
  <c r="BJ57" i="3"/>
  <c r="BF57" i="3"/>
  <c r="BC57" i="3"/>
  <c r="AZ57" i="3"/>
  <c r="AW57" i="3"/>
  <c r="AT57" i="3"/>
  <c r="AQ57" i="3"/>
  <c r="AN57" i="3"/>
  <c r="AK57" i="3"/>
  <c r="AH57" i="3"/>
  <c r="AD57" i="3"/>
  <c r="AE57" i="3" s="1"/>
  <c r="V57" i="3"/>
  <c r="T57" i="3"/>
  <c r="S57" i="3"/>
  <c r="BC57" i="4" s="1"/>
  <c r="P57" i="3"/>
  <c r="O57" i="3"/>
  <c r="L57" i="3"/>
  <c r="K57" i="3"/>
  <c r="BA57" i="4" s="1"/>
  <c r="H57" i="3"/>
  <c r="G57" i="3"/>
  <c r="BB57" i="4" s="1"/>
  <c r="BK56" i="3"/>
  <c r="BJ56" i="3"/>
  <c r="BF56" i="3"/>
  <c r="BC56" i="3"/>
  <c r="AZ56" i="3"/>
  <c r="AW56" i="3"/>
  <c r="AT56" i="3"/>
  <c r="AQ56" i="3"/>
  <c r="AN56" i="3"/>
  <c r="AK56" i="3"/>
  <c r="AH56" i="3"/>
  <c r="AE56" i="3"/>
  <c r="AD56" i="3"/>
  <c r="V56" i="3"/>
  <c r="S56" i="3"/>
  <c r="O56" i="3"/>
  <c r="P56" i="3" s="1"/>
  <c r="K56" i="3"/>
  <c r="G56" i="3"/>
  <c r="BK55" i="3"/>
  <c r="BJ55" i="3"/>
  <c r="BF55" i="3"/>
  <c r="BC55" i="3"/>
  <c r="AZ55" i="3"/>
  <c r="AW55" i="3"/>
  <c r="AT55" i="3"/>
  <c r="AQ55" i="3"/>
  <c r="AN55" i="3"/>
  <c r="AK55" i="3"/>
  <c r="AH55" i="3"/>
  <c r="AD55" i="3"/>
  <c r="AE55" i="3" s="1"/>
  <c r="V55" i="3"/>
  <c r="T55" i="3"/>
  <c r="S55" i="3"/>
  <c r="BC55" i="4" s="1"/>
  <c r="P55" i="3"/>
  <c r="O55" i="3"/>
  <c r="L55" i="3"/>
  <c r="K55" i="3"/>
  <c r="BA55" i="4" s="1"/>
  <c r="H55" i="3"/>
  <c r="G55" i="3"/>
  <c r="BB55" i="4" s="1"/>
  <c r="BK54" i="3"/>
  <c r="BJ54" i="3"/>
  <c r="BF54" i="3"/>
  <c r="BC54" i="3"/>
  <c r="AZ54" i="3"/>
  <c r="AW54" i="3"/>
  <c r="AT54" i="3"/>
  <c r="AQ54" i="3"/>
  <c r="AN54" i="3"/>
  <c r="AK54" i="3"/>
  <c r="AH54" i="3"/>
  <c r="AE54" i="3"/>
  <c r="AD54" i="3"/>
  <c r="V54" i="3"/>
  <c r="T54" i="3"/>
  <c r="S54" i="3"/>
  <c r="BC54" i="4" s="1"/>
  <c r="P54" i="3"/>
  <c r="O54" i="3"/>
  <c r="L54" i="3"/>
  <c r="K54" i="3"/>
  <c r="BA54" i="4" s="1"/>
  <c r="H54" i="3"/>
  <c r="G54" i="3"/>
  <c r="BB54" i="4" s="1"/>
  <c r="BK53" i="3"/>
  <c r="BJ53" i="3"/>
  <c r="BF53" i="3"/>
  <c r="BC53" i="3"/>
  <c r="AZ53" i="3"/>
  <c r="AW53" i="3"/>
  <c r="AT53" i="3"/>
  <c r="AQ53" i="3"/>
  <c r="AN53" i="3"/>
  <c r="AK53" i="3"/>
  <c r="AH53" i="3"/>
  <c r="AD53" i="3"/>
  <c r="AE53" i="3" s="1"/>
  <c r="V53" i="3"/>
  <c r="T53" i="3"/>
  <c r="S53" i="3"/>
  <c r="BC53" i="4" s="1"/>
  <c r="P53" i="3"/>
  <c r="O53" i="3"/>
  <c r="L53" i="3"/>
  <c r="K53" i="3"/>
  <c r="BA53" i="4" s="1"/>
  <c r="H53" i="3"/>
  <c r="G53" i="3"/>
  <c r="BB53" i="4" s="1"/>
  <c r="BK52" i="3"/>
  <c r="BJ52" i="3"/>
  <c r="BF52" i="3"/>
  <c r="BC52" i="3"/>
  <c r="AZ52" i="3"/>
  <c r="AW52" i="3"/>
  <c r="AT52" i="3"/>
  <c r="AQ52" i="3"/>
  <c r="AN52" i="3"/>
  <c r="AK52" i="3"/>
  <c r="AH52" i="3"/>
  <c r="AE52" i="3"/>
  <c r="AD52" i="3"/>
  <c r="V52" i="3"/>
  <c r="S52" i="3"/>
  <c r="O52" i="3"/>
  <c r="P52" i="3" s="1"/>
  <c r="K52" i="3"/>
  <c r="G52" i="3"/>
  <c r="BK51" i="3"/>
  <c r="BJ51" i="3"/>
  <c r="BF51" i="3"/>
  <c r="BC51" i="3"/>
  <c r="AZ51" i="3"/>
  <c r="AW51" i="3"/>
  <c r="AT51" i="3"/>
  <c r="AQ51" i="3"/>
  <c r="AN51" i="3"/>
  <c r="AK51" i="3"/>
  <c r="AH51" i="3"/>
  <c r="AD51" i="3"/>
  <c r="AE51" i="3" s="1"/>
  <c r="V51" i="3"/>
  <c r="T51" i="3"/>
  <c r="S51" i="3"/>
  <c r="BC51" i="4" s="1"/>
  <c r="P51" i="3"/>
  <c r="O51" i="3"/>
  <c r="L51" i="3"/>
  <c r="K51" i="3"/>
  <c r="BA51" i="4" s="1"/>
  <c r="H51" i="3"/>
  <c r="G51" i="3"/>
  <c r="BB51" i="4" s="1"/>
  <c r="BK50" i="3"/>
  <c r="BJ50" i="3"/>
  <c r="BF50" i="3"/>
  <c r="BC50" i="3"/>
  <c r="AZ50" i="3"/>
  <c r="AW50" i="3"/>
  <c r="AT50" i="3"/>
  <c r="AQ50" i="3"/>
  <c r="AN50" i="3"/>
  <c r="AK50" i="3"/>
  <c r="AH50" i="3"/>
  <c r="AE50" i="3"/>
  <c r="AD50" i="3"/>
  <c r="V50" i="3"/>
  <c r="S50" i="3"/>
  <c r="O50" i="3"/>
  <c r="P50" i="3" s="1"/>
  <c r="K50" i="3"/>
  <c r="G50" i="3"/>
  <c r="BK49" i="3"/>
  <c r="BJ49" i="3"/>
  <c r="BF49" i="3"/>
  <c r="BC49" i="3"/>
  <c r="AZ49" i="3"/>
  <c r="AW49" i="3"/>
  <c r="AT49" i="3"/>
  <c r="AQ49" i="3"/>
  <c r="AN49" i="3"/>
  <c r="AK49" i="3"/>
  <c r="AH49" i="3"/>
  <c r="AD49" i="3"/>
  <c r="AE49" i="3" s="1"/>
  <c r="V49" i="3"/>
  <c r="T49" i="3"/>
  <c r="S49" i="3"/>
  <c r="BC49" i="4" s="1"/>
  <c r="P49" i="3"/>
  <c r="O49" i="3"/>
  <c r="L49" i="3"/>
  <c r="K49" i="3"/>
  <c r="BA49" i="4" s="1"/>
  <c r="H49" i="3"/>
  <c r="G49" i="3"/>
  <c r="BB49" i="4" s="1"/>
  <c r="BK48" i="3"/>
  <c r="BJ48" i="3"/>
  <c r="BF48" i="3"/>
  <c r="BC48" i="3"/>
  <c r="AZ48" i="3"/>
  <c r="AW48" i="3"/>
  <c r="AT48" i="3"/>
  <c r="AQ48" i="3"/>
  <c r="AN48" i="3"/>
  <c r="AK48" i="3"/>
  <c r="AH48" i="3"/>
  <c r="AE48" i="3"/>
  <c r="AD48" i="3"/>
  <c r="V48" i="3"/>
  <c r="S48" i="3"/>
  <c r="O48" i="3"/>
  <c r="P48" i="3" s="1"/>
  <c r="K48" i="3"/>
  <c r="G48" i="3"/>
  <c r="BK47" i="3"/>
  <c r="BJ47" i="3"/>
  <c r="BF47" i="3"/>
  <c r="BC47" i="3"/>
  <c r="AZ47" i="3"/>
  <c r="AW47" i="3"/>
  <c r="AT47" i="3"/>
  <c r="AQ47" i="3"/>
  <c r="AN47" i="3"/>
  <c r="AK47" i="3"/>
  <c r="AH47" i="3"/>
  <c r="AE47" i="3"/>
  <c r="AD47" i="3"/>
  <c r="V47" i="3"/>
  <c r="T47" i="3"/>
  <c r="S47" i="3"/>
  <c r="BC47" i="4" s="1"/>
  <c r="P47" i="3"/>
  <c r="O47" i="3"/>
  <c r="L47" i="3"/>
  <c r="K47" i="3"/>
  <c r="BA47" i="4" s="1"/>
  <c r="H47" i="3"/>
  <c r="G47" i="3"/>
  <c r="BB47" i="4" s="1"/>
  <c r="BK46" i="3"/>
  <c r="BJ46" i="3"/>
  <c r="BF46" i="3"/>
  <c r="BC46" i="3"/>
  <c r="AZ46" i="3"/>
  <c r="AW46" i="3"/>
  <c r="AT46" i="3"/>
  <c r="AQ46" i="3"/>
  <c r="AN46" i="3"/>
  <c r="AK46" i="3"/>
  <c r="AH46" i="3"/>
  <c r="AE46" i="3"/>
  <c r="AD46" i="3"/>
  <c r="V46" i="3"/>
  <c r="S46" i="3"/>
  <c r="O46" i="3"/>
  <c r="P46" i="3" s="1"/>
  <c r="K46" i="3"/>
  <c r="G46" i="3"/>
  <c r="BK45" i="3"/>
  <c r="BJ45" i="3"/>
  <c r="BF45" i="3"/>
  <c r="BC45" i="3"/>
  <c r="AZ45" i="3"/>
  <c r="AW45" i="3"/>
  <c r="AT45" i="3"/>
  <c r="AQ45" i="3"/>
  <c r="AN45" i="3"/>
  <c r="AK45" i="3"/>
  <c r="AH45" i="3"/>
  <c r="AD45" i="3"/>
  <c r="AE45" i="3" s="1"/>
  <c r="V45" i="3"/>
  <c r="T45" i="3"/>
  <c r="S45" i="3"/>
  <c r="BC45" i="4" s="1"/>
  <c r="P45" i="3"/>
  <c r="O45" i="3"/>
  <c r="L45" i="3"/>
  <c r="K45" i="3"/>
  <c r="BA45" i="4" s="1"/>
  <c r="H45" i="3"/>
  <c r="G45" i="3"/>
  <c r="BB45" i="4" s="1"/>
  <c r="BK44" i="3"/>
  <c r="BJ44" i="3"/>
  <c r="BF44" i="3"/>
  <c r="BC44" i="3"/>
  <c r="AZ44" i="3"/>
  <c r="AW44" i="3"/>
  <c r="AT44" i="3"/>
  <c r="AQ44" i="3"/>
  <c r="AN44" i="3"/>
  <c r="AK44" i="3"/>
  <c r="AH44" i="3"/>
  <c r="AE44" i="3"/>
  <c r="AD44" i="3"/>
  <c r="V44" i="3"/>
  <c r="S44" i="3"/>
  <c r="O44" i="3"/>
  <c r="P44" i="3" s="1"/>
  <c r="K44" i="3"/>
  <c r="G44" i="3"/>
  <c r="BK43" i="3"/>
  <c r="BJ43" i="3"/>
  <c r="BF43" i="3"/>
  <c r="BC43" i="3"/>
  <c r="AZ43" i="3"/>
  <c r="AW43" i="3"/>
  <c r="AT43" i="3"/>
  <c r="AQ43" i="3"/>
  <c r="AN43" i="3"/>
  <c r="AK43" i="3"/>
  <c r="AH43" i="3"/>
  <c r="AD43" i="3"/>
  <c r="AE43" i="3" s="1"/>
  <c r="V43" i="3"/>
  <c r="T43" i="3"/>
  <c r="S43" i="3"/>
  <c r="BC43" i="4" s="1"/>
  <c r="P43" i="3"/>
  <c r="O43" i="3"/>
  <c r="L43" i="3"/>
  <c r="K43" i="3"/>
  <c r="BA43" i="4" s="1"/>
  <c r="H43" i="3"/>
  <c r="G43" i="3"/>
  <c r="BB43" i="4" s="1"/>
  <c r="BK42" i="3"/>
  <c r="BJ42" i="3"/>
  <c r="BF42" i="3"/>
  <c r="BC42" i="3"/>
  <c r="AZ42" i="3"/>
  <c r="AW42" i="3"/>
  <c r="AT42" i="3"/>
  <c r="AQ42" i="3"/>
  <c r="AN42" i="3"/>
  <c r="AK42" i="3"/>
  <c r="AH42" i="3"/>
  <c r="AE42" i="3"/>
  <c r="AD42" i="3"/>
  <c r="V42" i="3"/>
  <c r="S42" i="3"/>
  <c r="O42" i="3"/>
  <c r="P42" i="3" s="1"/>
  <c r="K42" i="3"/>
  <c r="G42" i="3"/>
  <c r="BK41" i="3"/>
  <c r="BJ41" i="3"/>
  <c r="BF41" i="3"/>
  <c r="BC41" i="3"/>
  <c r="AZ41" i="3"/>
  <c r="AW41" i="3"/>
  <c r="AT41" i="3"/>
  <c r="AQ41" i="3"/>
  <c r="AN41" i="3"/>
  <c r="AK41" i="3"/>
  <c r="AH41" i="3"/>
  <c r="AD41" i="3"/>
  <c r="AE41" i="3" s="1"/>
  <c r="V41" i="3"/>
  <c r="T41" i="3"/>
  <c r="S41" i="3"/>
  <c r="BC41" i="4" s="1"/>
  <c r="P41" i="3"/>
  <c r="O41" i="3"/>
  <c r="L41" i="3"/>
  <c r="K41" i="3"/>
  <c r="BA41" i="4" s="1"/>
  <c r="H41" i="3"/>
  <c r="G41" i="3"/>
  <c r="BB41" i="4" s="1"/>
  <c r="BK40" i="3"/>
  <c r="BJ40" i="3"/>
  <c r="BF40" i="3"/>
  <c r="BC40" i="3"/>
  <c r="AZ40" i="3"/>
  <c r="AW40" i="3"/>
  <c r="AT40" i="3"/>
  <c r="AQ40" i="3"/>
  <c r="AN40" i="3"/>
  <c r="AK40" i="3"/>
  <c r="AH40" i="3"/>
  <c r="AE40" i="3"/>
  <c r="AD40" i="3"/>
  <c r="V40" i="3"/>
  <c r="T40" i="3"/>
  <c r="S40" i="3"/>
  <c r="BC40" i="4" s="1"/>
  <c r="P40" i="3"/>
  <c r="O40" i="3"/>
  <c r="L40" i="3"/>
  <c r="K40" i="3"/>
  <c r="BA40" i="4" s="1"/>
  <c r="H40" i="3"/>
  <c r="G40" i="3"/>
  <c r="BB40" i="4" s="1"/>
  <c r="BK39" i="3"/>
  <c r="BJ39" i="3"/>
  <c r="BF39" i="3"/>
  <c r="BC39" i="3"/>
  <c r="AZ39" i="3"/>
  <c r="AW39" i="3"/>
  <c r="AT39" i="3"/>
  <c r="AQ39" i="3"/>
  <c r="AN39" i="3"/>
  <c r="AK39" i="3"/>
  <c r="AH39" i="3"/>
  <c r="AD39" i="3"/>
  <c r="AE39" i="3" s="1"/>
  <c r="V39" i="3"/>
  <c r="T39" i="3"/>
  <c r="S39" i="3"/>
  <c r="BC39" i="4" s="1"/>
  <c r="P39" i="3"/>
  <c r="O39" i="3"/>
  <c r="L39" i="3"/>
  <c r="K39" i="3"/>
  <c r="BA39" i="4" s="1"/>
  <c r="H39" i="3"/>
  <c r="G39" i="3"/>
  <c r="BB39" i="4" s="1"/>
  <c r="BK38" i="3"/>
  <c r="BJ38" i="3"/>
  <c r="BF38" i="3"/>
  <c r="BC38" i="3"/>
  <c r="AZ38" i="3"/>
  <c r="AW38" i="3"/>
  <c r="AT38" i="3"/>
  <c r="AQ38" i="3"/>
  <c r="AN38" i="3"/>
  <c r="AK38" i="3"/>
  <c r="AH38" i="3"/>
  <c r="AE38" i="3"/>
  <c r="AD38" i="3"/>
  <c r="V38" i="3"/>
  <c r="S38" i="3"/>
  <c r="O38" i="3"/>
  <c r="P38" i="3" s="1"/>
  <c r="K38" i="3"/>
  <c r="G38" i="3"/>
  <c r="BK37" i="3"/>
  <c r="BJ37" i="3"/>
  <c r="BF37" i="3"/>
  <c r="BC37" i="3"/>
  <c r="AZ37" i="3"/>
  <c r="AW37" i="3"/>
  <c r="AT37" i="3"/>
  <c r="AQ37" i="3"/>
  <c r="AN37" i="3"/>
  <c r="AK37" i="3"/>
  <c r="AH37" i="3"/>
  <c r="AD37" i="3"/>
  <c r="AE37" i="3" s="1"/>
  <c r="V37" i="3"/>
  <c r="T37" i="3"/>
  <c r="S37" i="3"/>
  <c r="BC37" i="4" s="1"/>
  <c r="P37" i="3"/>
  <c r="O37" i="3"/>
  <c r="L37" i="3"/>
  <c r="K37" i="3"/>
  <c r="BA37" i="4" s="1"/>
  <c r="H37" i="3"/>
  <c r="G37" i="3"/>
  <c r="BB37" i="4" s="1"/>
  <c r="BK36" i="3"/>
  <c r="BJ36" i="3"/>
  <c r="BF36" i="3"/>
  <c r="BC36" i="3"/>
  <c r="AZ36" i="3"/>
  <c r="AW36" i="3"/>
  <c r="AT36" i="3"/>
  <c r="AQ36" i="3"/>
  <c r="AN36" i="3"/>
  <c r="AK36" i="3"/>
  <c r="AH36" i="3"/>
  <c r="AE36" i="3"/>
  <c r="AD36" i="3"/>
  <c r="V36" i="3"/>
  <c r="S36" i="3"/>
  <c r="O36" i="3"/>
  <c r="P36" i="3" s="1"/>
  <c r="K36" i="3"/>
  <c r="G36" i="3"/>
  <c r="BK35" i="3"/>
  <c r="BJ35" i="3"/>
  <c r="BF35" i="3"/>
  <c r="BC35" i="3"/>
  <c r="AZ35" i="3"/>
  <c r="AW35" i="3"/>
  <c r="AT35" i="3"/>
  <c r="AQ35" i="3"/>
  <c r="AN35" i="3"/>
  <c r="AK35" i="3"/>
  <c r="AH35" i="3"/>
  <c r="AD35" i="3"/>
  <c r="AE35" i="3" s="1"/>
  <c r="V35" i="3"/>
  <c r="T35" i="3"/>
  <c r="S35" i="3"/>
  <c r="BC35" i="4" s="1"/>
  <c r="P35" i="3"/>
  <c r="O35" i="3"/>
  <c r="L35" i="3"/>
  <c r="K35" i="3"/>
  <c r="BA35" i="4" s="1"/>
  <c r="H35" i="3"/>
  <c r="G35" i="3"/>
  <c r="BB35" i="4" s="1"/>
  <c r="BK34" i="3"/>
  <c r="BJ34" i="3"/>
  <c r="BF34" i="3"/>
  <c r="BC34" i="3"/>
  <c r="AZ34" i="3"/>
  <c r="AW34" i="3"/>
  <c r="AT34" i="3"/>
  <c r="AQ34" i="3"/>
  <c r="AN34" i="3"/>
  <c r="AK34" i="3"/>
  <c r="AH34" i="3"/>
  <c r="AE34" i="3"/>
  <c r="AD34" i="3"/>
  <c r="V34" i="3"/>
  <c r="S34" i="3"/>
  <c r="O34" i="3"/>
  <c r="P34" i="3" s="1"/>
  <c r="K34" i="3"/>
  <c r="G34" i="3"/>
  <c r="BK33" i="3"/>
  <c r="BJ33" i="3"/>
  <c r="BF33" i="3"/>
  <c r="BC33" i="3"/>
  <c r="AZ33" i="3"/>
  <c r="AW33" i="3"/>
  <c r="AT33" i="3"/>
  <c r="AQ33" i="3"/>
  <c r="AN33" i="3"/>
  <c r="AK33" i="3"/>
  <c r="AH33" i="3"/>
  <c r="AE33" i="3"/>
  <c r="AD33" i="3"/>
  <c r="V33" i="3"/>
  <c r="T33" i="3"/>
  <c r="S33" i="3"/>
  <c r="BC33" i="4" s="1"/>
  <c r="P33" i="3"/>
  <c r="O33" i="3"/>
  <c r="L33" i="3"/>
  <c r="K33" i="3"/>
  <c r="BA33" i="4" s="1"/>
  <c r="H33" i="3"/>
  <c r="G33" i="3"/>
  <c r="BB33" i="4" s="1"/>
  <c r="BK32" i="3"/>
  <c r="BJ32" i="3"/>
  <c r="BF32" i="3"/>
  <c r="BC32" i="3"/>
  <c r="AZ32" i="3"/>
  <c r="AW32" i="3"/>
  <c r="AT32" i="3"/>
  <c r="AQ32" i="3"/>
  <c r="AN32" i="3"/>
  <c r="AK32" i="3"/>
  <c r="AH32" i="3"/>
  <c r="AE32" i="3"/>
  <c r="AD32" i="3"/>
  <c r="V32" i="3"/>
  <c r="S32" i="3"/>
  <c r="O32" i="3"/>
  <c r="P32" i="3" s="1"/>
  <c r="K32" i="3"/>
  <c r="G32" i="3"/>
  <c r="BK31" i="3"/>
  <c r="BJ31" i="3"/>
  <c r="BF31" i="3"/>
  <c r="BC31" i="3"/>
  <c r="AZ31" i="3"/>
  <c r="AW31" i="3"/>
  <c r="AT31" i="3"/>
  <c r="AQ31" i="3"/>
  <c r="AN31" i="3"/>
  <c r="AK31" i="3"/>
  <c r="AH31" i="3"/>
  <c r="AD31" i="3"/>
  <c r="AE31" i="3" s="1"/>
  <c r="V31" i="3"/>
  <c r="T31" i="3"/>
  <c r="S31" i="3"/>
  <c r="BC31" i="4" s="1"/>
  <c r="P31" i="3"/>
  <c r="O31" i="3"/>
  <c r="L31" i="3"/>
  <c r="K31" i="3"/>
  <c r="BA31" i="4" s="1"/>
  <c r="H31" i="3"/>
  <c r="G31" i="3"/>
  <c r="BB31" i="4" s="1"/>
  <c r="BK30" i="3"/>
  <c r="BJ30" i="3"/>
  <c r="BF30" i="3"/>
  <c r="BC30" i="3"/>
  <c r="AZ30" i="3"/>
  <c r="AW30" i="3"/>
  <c r="AT30" i="3"/>
  <c r="AQ30" i="3"/>
  <c r="AN30" i="3"/>
  <c r="AK30" i="3"/>
  <c r="AH30" i="3"/>
  <c r="AE30" i="3"/>
  <c r="AD30" i="3"/>
  <c r="V30" i="3"/>
  <c r="S30" i="3"/>
  <c r="O30" i="3"/>
  <c r="P30" i="3" s="1"/>
  <c r="K30" i="3"/>
  <c r="G30" i="3"/>
  <c r="BK29" i="3"/>
  <c r="BJ29" i="3"/>
  <c r="BF29" i="3"/>
  <c r="BC29" i="3"/>
  <c r="AZ29" i="3"/>
  <c r="AW29" i="3"/>
  <c r="AT29" i="3"/>
  <c r="AQ29" i="3"/>
  <c r="AN29" i="3"/>
  <c r="AK29" i="3"/>
  <c r="AH29" i="3"/>
  <c r="AD29" i="3"/>
  <c r="AE29" i="3" s="1"/>
  <c r="V29" i="3"/>
  <c r="T29" i="3"/>
  <c r="S29" i="3"/>
  <c r="BC29" i="4" s="1"/>
  <c r="P29" i="3"/>
  <c r="O29" i="3"/>
  <c r="L29" i="3"/>
  <c r="K29" i="3"/>
  <c r="BA29" i="4" s="1"/>
  <c r="H29" i="3"/>
  <c r="G29" i="3"/>
  <c r="BB29" i="4" s="1"/>
  <c r="BK28" i="3"/>
  <c r="BJ28" i="3"/>
  <c r="BF28" i="3"/>
  <c r="BC28" i="3"/>
  <c r="AZ28" i="3"/>
  <c r="AW28" i="3"/>
  <c r="AT28" i="3"/>
  <c r="AQ28" i="3"/>
  <c r="AN28" i="3"/>
  <c r="AK28" i="3"/>
  <c r="AH28" i="3"/>
  <c r="AE28" i="3"/>
  <c r="AD28" i="3"/>
  <c r="V28" i="3"/>
  <c r="S28" i="3"/>
  <c r="O28" i="3"/>
  <c r="P28" i="3" s="1"/>
  <c r="K28" i="3"/>
  <c r="G28" i="3"/>
  <c r="BK27" i="3"/>
  <c r="BJ27" i="3"/>
  <c r="BF27" i="3"/>
  <c r="BC27" i="3"/>
  <c r="AZ27" i="3"/>
  <c r="AW27" i="3"/>
  <c r="AT27" i="3"/>
  <c r="AQ27" i="3"/>
  <c r="AN27" i="3"/>
  <c r="AK27" i="3"/>
  <c r="AH27" i="3"/>
  <c r="AD27" i="3"/>
  <c r="AE27" i="3" s="1"/>
  <c r="V27" i="3"/>
  <c r="T27" i="3"/>
  <c r="S27" i="3"/>
  <c r="BC27" i="4" s="1"/>
  <c r="P27" i="3"/>
  <c r="O27" i="3"/>
  <c r="L27" i="3"/>
  <c r="K27" i="3"/>
  <c r="BA27" i="4" s="1"/>
  <c r="H27" i="3"/>
  <c r="G27" i="3"/>
  <c r="BB27" i="4" s="1"/>
  <c r="BK26" i="3"/>
  <c r="BJ26" i="3"/>
  <c r="BF26" i="3"/>
  <c r="BC26" i="3"/>
  <c r="AZ26" i="3"/>
  <c r="AW26" i="3"/>
  <c r="AT26" i="3"/>
  <c r="AQ26" i="3"/>
  <c r="AN26" i="3"/>
  <c r="AK26" i="3"/>
  <c r="AH26" i="3"/>
  <c r="AE26" i="3"/>
  <c r="AD26" i="3"/>
  <c r="V26" i="3"/>
  <c r="S26" i="3"/>
  <c r="O26" i="3"/>
  <c r="P26" i="3" s="1"/>
  <c r="K26" i="3"/>
  <c r="G26" i="3"/>
  <c r="BK25" i="3"/>
  <c r="BJ25" i="3"/>
  <c r="BF25" i="3"/>
  <c r="BC25" i="3"/>
  <c r="AZ25" i="3"/>
  <c r="AW25" i="3"/>
  <c r="AT25" i="3"/>
  <c r="AQ25" i="3"/>
  <c r="AN25" i="3"/>
  <c r="AK25" i="3"/>
  <c r="AH25" i="3"/>
  <c r="AD25" i="3"/>
  <c r="AE25" i="3" s="1"/>
  <c r="V25" i="3"/>
  <c r="T25" i="3"/>
  <c r="S25" i="3"/>
  <c r="BC25" i="4" s="1"/>
  <c r="P25" i="3"/>
  <c r="O25" i="3"/>
  <c r="L25" i="3"/>
  <c r="K25" i="3"/>
  <c r="BA25" i="4" s="1"/>
  <c r="H25" i="3"/>
  <c r="G25" i="3"/>
  <c r="BB25" i="4" s="1"/>
  <c r="BK24" i="3"/>
  <c r="BJ24" i="3"/>
  <c r="BF24" i="3"/>
  <c r="BC24" i="3"/>
  <c r="AZ24" i="3"/>
  <c r="AW24" i="3"/>
  <c r="AT24" i="3"/>
  <c r="AQ24" i="3"/>
  <c r="AN24" i="3"/>
  <c r="AK24" i="3"/>
  <c r="AH24" i="3"/>
  <c r="AE24" i="3"/>
  <c r="AD24" i="3"/>
  <c r="V24" i="3"/>
  <c r="S24" i="3"/>
  <c r="O24" i="3"/>
  <c r="P24" i="3" s="1"/>
  <c r="K24" i="3"/>
  <c r="G24" i="3"/>
  <c r="BK23" i="3"/>
  <c r="BJ23" i="3"/>
  <c r="BF23" i="3"/>
  <c r="BC23" i="3"/>
  <c r="AZ23" i="3"/>
  <c r="AW23" i="3"/>
  <c r="AT23" i="3"/>
  <c r="AQ23" i="3"/>
  <c r="AN23" i="3"/>
  <c r="AK23" i="3"/>
  <c r="AH23" i="3"/>
  <c r="AD23" i="3"/>
  <c r="AE23" i="3" s="1"/>
  <c r="V23" i="3"/>
  <c r="T23" i="3"/>
  <c r="S23" i="3"/>
  <c r="BC23" i="4" s="1"/>
  <c r="P23" i="3"/>
  <c r="O23" i="3"/>
  <c r="L23" i="3"/>
  <c r="K23" i="3"/>
  <c r="BA23" i="4" s="1"/>
  <c r="H23" i="3"/>
  <c r="G23" i="3"/>
  <c r="BB23" i="4" s="1"/>
  <c r="BK22" i="3"/>
  <c r="BJ22" i="3"/>
  <c r="BF22" i="3"/>
  <c r="BC22" i="3"/>
  <c r="AZ22" i="3"/>
  <c r="AW22" i="3"/>
  <c r="AT22" i="3"/>
  <c r="AQ22" i="3"/>
  <c r="AN22" i="3"/>
  <c r="AK22" i="3"/>
  <c r="AH22" i="3"/>
  <c r="AE22" i="3"/>
  <c r="AD22" i="3"/>
  <c r="V22" i="3"/>
  <c r="S22" i="3"/>
  <c r="O22" i="3"/>
  <c r="P22" i="3" s="1"/>
  <c r="K22" i="3"/>
  <c r="G22" i="3"/>
  <c r="BK21" i="3"/>
  <c r="BJ21" i="3"/>
  <c r="BF21" i="3"/>
  <c r="BC21" i="3"/>
  <c r="AZ21" i="3"/>
  <c r="AW21" i="3"/>
  <c r="AT21" i="3"/>
  <c r="AQ21" i="3"/>
  <c r="AN21" i="3"/>
  <c r="AK21" i="3"/>
  <c r="AH21" i="3"/>
  <c r="AD21" i="3"/>
  <c r="AE21" i="3" s="1"/>
  <c r="V21" i="3"/>
  <c r="T21" i="3"/>
  <c r="S21" i="3"/>
  <c r="BC21" i="4" s="1"/>
  <c r="P21" i="3"/>
  <c r="O21" i="3"/>
  <c r="L21" i="3"/>
  <c r="K21" i="3"/>
  <c r="BA21" i="4" s="1"/>
  <c r="H21" i="3"/>
  <c r="G21" i="3"/>
  <c r="BB21" i="4" s="1"/>
  <c r="BK20" i="3"/>
  <c r="BJ20" i="3"/>
  <c r="BF20" i="3"/>
  <c r="BC20" i="3"/>
  <c r="AZ20" i="3"/>
  <c r="AW20" i="3"/>
  <c r="AT20" i="3"/>
  <c r="AQ20" i="3"/>
  <c r="AN20" i="3"/>
  <c r="AK20" i="3"/>
  <c r="AH20" i="3"/>
  <c r="AE20" i="3"/>
  <c r="AD20" i="3"/>
  <c r="V20" i="3"/>
  <c r="S20" i="3"/>
  <c r="O20" i="3"/>
  <c r="P20" i="3" s="1"/>
  <c r="K20" i="3"/>
  <c r="G20" i="3"/>
  <c r="BK19" i="3"/>
  <c r="BJ19" i="3"/>
  <c r="BF19" i="3"/>
  <c r="BC19" i="3"/>
  <c r="AZ19" i="3"/>
  <c r="AW19" i="3"/>
  <c r="AT19" i="3"/>
  <c r="AQ19" i="3"/>
  <c r="AN19" i="3"/>
  <c r="AK19" i="3"/>
  <c r="AH19" i="3"/>
  <c r="AD19" i="3"/>
  <c r="AE19" i="3" s="1"/>
  <c r="V19" i="3"/>
  <c r="T19" i="3"/>
  <c r="S19" i="3"/>
  <c r="BC19" i="4" s="1"/>
  <c r="P19" i="3"/>
  <c r="O19" i="3"/>
  <c r="L19" i="3"/>
  <c r="K19" i="3"/>
  <c r="BA19" i="4" s="1"/>
  <c r="H19" i="3"/>
  <c r="G19" i="3"/>
  <c r="BB19" i="4" s="1"/>
  <c r="BK18" i="3"/>
  <c r="BJ18" i="3"/>
  <c r="BF18" i="3"/>
  <c r="BC18" i="3"/>
  <c r="AZ18" i="3"/>
  <c r="AW18" i="3"/>
  <c r="AT18" i="3"/>
  <c r="AQ18" i="3"/>
  <c r="AN18" i="3"/>
  <c r="AK18" i="3"/>
  <c r="AH18" i="3"/>
  <c r="AE18" i="3"/>
  <c r="AD18" i="3"/>
  <c r="V18" i="3"/>
  <c r="S18" i="3"/>
  <c r="O18" i="3"/>
  <c r="P18" i="3" s="1"/>
  <c r="K18" i="3"/>
  <c r="G18" i="3"/>
  <c r="BK17" i="3"/>
  <c r="BJ17" i="3"/>
  <c r="BF17" i="3"/>
  <c r="BC17" i="3"/>
  <c r="AZ17" i="3"/>
  <c r="AW17" i="3"/>
  <c r="AT17" i="3"/>
  <c r="AQ17" i="3"/>
  <c r="AN17" i="3"/>
  <c r="AK17" i="3"/>
  <c r="AH17" i="3"/>
  <c r="AD17" i="3"/>
  <c r="AE17" i="3" s="1"/>
  <c r="V17" i="3"/>
  <c r="T17" i="3"/>
  <c r="S17" i="3"/>
  <c r="BC17" i="4" s="1"/>
  <c r="P17" i="3"/>
  <c r="O17" i="3"/>
  <c r="L17" i="3"/>
  <c r="K17" i="3"/>
  <c r="BA17" i="4" s="1"/>
  <c r="H17" i="3"/>
  <c r="G17" i="3"/>
  <c r="BB17" i="4" s="1"/>
  <c r="BK16" i="3"/>
  <c r="BJ16" i="3"/>
  <c r="BF16" i="3"/>
  <c r="BC16" i="3"/>
  <c r="AZ16" i="3"/>
  <c r="AW16" i="3"/>
  <c r="AT16" i="3"/>
  <c r="AQ16" i="3"/>
  <c r="AN16" i="3"/>
  <c r="AK16" i="3"/>
  <c r="AH16" i="3"/>
  <c r="AE16" i="3"/>
  <c r="AD16" i="3"/>
  <c r="V16" i="3"/>
  <c r="S16" i="3"/>
  <c r="O16" i="3"/>
  <c r="P16" i="3" s="1"/>
  <c r="K16" i="3"/>
  <c r="G16" i="3"/>
  <c r="BK15" i="3"/>
  <c r="BJ15" i="3"/>
  <c r="BF15" i="3"/>
  <c r="BC15" i="3"/>
  <c r="AZ15" i="3"/>
  <c r="AW15" i="3"/>
  <c r="AT15" i="3"/>
  <c r="AQ15" i="3"/>
  <c r="AN15" i="3"/>
  <c r="AK15" i="3"/>
  <c r="AH15" i="3"/>
  <c r="AD15" i="3"/>
  <c r="V15" i="3"/>
  <c r="T15" i="3"/>
  <c r="S15" i="3"/>
  <c r="BC15" i="4" s="1"/>
  <c r="P15" i="3"/>
  <c r="O15" i="3"/>
  <c r="L15" i="3"/>
  <c r="K15" i="3"/>
  <c r="BA15" i="4" s="1"/>
  <c r="H15" i="3"/>
  <c r="G15" i="3"/>
  <c r="BB15" i="4" s="1"/>
  <c r="A15" i="3"/>
  <c r="BK14" i="3"/>
  <c r="BJ14" i="3"/>
  <c r="BF14" i="3"/>
  <c r="BC14" i="3"/>
  <c r="AZ14" i="3"/>
  <c r="AW14" i="3"/>
  <c r="AT14" i="3"/>
  <c r="AQ14" i="3"/>
  <c r="AN14" i="3"/>
  <c r="AK14" i="3"/>
  <c r="AH14" i="3"/>
  <c r="AE14" i="3"/>
  <c r="AD14" i="3"/>
  <c r="T14" i="3"/>
  <c r="S14" i="3"/>
  <c r="P14" i="3"/>
  <c r="O14" i="3"/>
  <c r="L14" i="3"/>
  <c r="K14" i="3"/>
  <c r="H14" i="3"/>
  <c r="G14" i="3"/>
  <c r="BD13" i="3"/>
  <c r="BA13" i="3"/>
  <c r="AX13" i="3"/>
  <c r="AU13" i="3"/>
  <c r="AR13" i="3"/>
  <c r="AO13" i="3"/>
  <c r="AL13" i="3"/>
  <c r="AF13" i="3"/>
  <c r="U13" i="3"/>
  <c r="Q13" i="3"/>
  <c r="M13" i="3"/>
  <c r="I13" i="3"/>
  <c r="D13" i="3"/>
  <c r="BD9" i="3"/>
  <c r="BA9" i="3"/>
  <c r="AX9" i="3"/>
  <c r="AU9" i="3"/>
  <c r="AR9" i="3"/>
  <c r="AO9" i="3"/>
  <c r="AL9" i="3"/>
  <c r="AF9" i="3"/>
  <c r="U9" i="3"/>
  <c r="S9" i="3"/>
  <c r="O9" i="3"/>
  <c r="K9" i="3"/>
  <c r="G9" i="3"/>
  <c r="C9" i="3"/>
  <c r="B9" i="3"/>
  <c r="BD8" i="3"/>
  <c r="BE385" i="3" s="1"/>
  <c r="BE387" i="3" s="1"/>
  <c r="BA8" i="3"/>
  <c r="BB385" i="3" s="1"/>
  <c r="BB387" i="3" s="1"/>
  <c r="AX8" i="3"/>
  <c r="AY385" i="3" s="1"/>
  <c r="AY387" i="3" s="1"/>
  <c r="AU8" i="3"/>
  <c r="AV385" i="3" s="1"/>
  <c r="AV387" i="3" s="1"/>
  <c r="AR8" i="3"/>
  <c r="AS385" i="3" s="1"/>
  <c r="AS387" i="3" s="1"/>
  <c r="AO8" i="3"/>
  <c r="AP385" i="3" s="1"/>
  <c r="AP387" i="3" s="1"/>
  <c r="AL8" i="3"/>
  <c r="AM385" i="3" s="1"/>
  <c r="AM387" i="3" s="1"/>
  <c r="AF8" i="3"/>
  <c r="U8" i="3"/>
  <c r="S8" i="3"/>
  <c r="S385" i="3" s="1"/>
  <c r="O8" i="3"/>
  <c r="K8" i="3"/>
  <c r="K385" i="3" s="1"/>
  <c r="G8" i="3"/>
  <c r="G385" i="3" s="1"/>
  <c r="C8" i="3"/>
  <c r="B8" i="3"/>
  <c r="B385" i="3" s="1"/>
  <c r="B387" i="3" s="1"/>
  <c r="AA591" i="15"/>
  <c r="R591" i="15"/>
  <c r="H591" i="15"/>
  <c r="I590" i="15"/>
  <c r="H589" i="15"/>
  <c r="I588" i="15"/>
  <c r="H587" i="15"/>
  <c r="AA585" i="15"/>
  <c r="AP584" i="15"/>
  <c r="AA584" i="15"/>
  <c r="AP583" i="15"/>
  <c r="AA583" i="15"/>
  <c r="AP582" i="15"/>
  <c r="AA582" i="15"/>
  <c r="R582" i="15"/>
  <c r="H582" i="15"/>
  <c r="AB581" i="15"/>
  <c r="S581" i="15"/>
  <c r="I581" i="15"/>
  <c r="AA580" i="15"/>
  <c r="R580" i="15"/>
  <c r="H580" i="15"/>
  <c r="AP579" i="15"/>
  <c r="AA579" i="15"/>
  <c r="R579" i="15"/>
  <c r="H579" i="15"/>
  <c r="H578" i="15"/>
  <c r="I577" i="15"/>
  <c r="AB591" i="15"/>
  <c r="S591" i="15"/>
  <c r="I591" i="15"/>
  <c r="H590" i="15"/>
  <c r="I589" i="15"/>
  <c r="H588" i="15"/>
  <c r="I587" i="15"/>
  <c r="AB585" i="15"/>
  <c r="AO584" i="15"/>
  <c r="AB584" i="15"/>
  <c r="AO583" i="15"/>
  <c r="AB583" i="15"/>
  <c r="AO582" i="15"/>
  <c r="AB582" i="15"/>
  <c r="S582" i="15"/>
  <c r="I582" i="15"/>
  <c r="AA581" i="15"/>
  <c r="R581" i="15"/>
  <c r="H581" i="15"/>
  <c r="AB580" i="15"/>
  <c r="S580" i="15"/>
  <c r="I580" i="15"/>
  <c r="AO579" i="15"/>
  <c r="AB579" i="15"/>
  <c r="S579" i="15"/>
  <c r="I579" i="15"/>
  <c r="I578" i="15"/>
  <c r="H577" i="15"/>
  <c r="AB576" i="15"/>
  <c r="I576" i="15"/>
  <c r="AA575" i="15"/>
  <c r="H575" i="15"/>
  <c r="AB574" i="15"/>
  <c r="S574" i="15"/>
  <c r="I574" i="15"/>
  <c r="H573" i="15"/>
  <c r="AB572" i="15"/>
  <c r="I572" i="15"/>
  <c r="AV571" i="15"/>
  <c r="AO571" i="15"/>
  <c r="AJ571" i="15"/>
  <c r="AA571" i="15"/>
  <c r="R571" i="15"/>
  <c r="H571" i="15"/>
  <c r="AB570" i="15"/>
  <c r="S570" i="15"/>
  <c r="I570" i="15"/>
  <c r="H569" i="15"/>
  <c r="AW568" i="15"/>
  <c r="AP568" i="15"/>
  <c r="H568" i="15"/>
  <c r="I567" i="15"/>
  <c r="H566" i="15"/>
  <c r="AA576" i="15"/>
  <c r="H576" i="15"/>
  <c r="AB575" i="15"/>
  <c r="I575" i="15"/>
  <c r="AA574" i="15"/>
  <c r="R574" i="15"/>
  <c r="H574" i="15"/>
  <c r="I573" i="15"/>
  <c r="AA572" i="15"/>
  <c r="H572" i="15"/>
  <c r="AW571" i="15"/>
  <c r="AP571" i="15"/>
  <c r="AI571" i="15"/>
  <c r="AB571" i="15"/>
  <c r="S571" i="15"/>
  <c r="I571" i="15"/>
  <c r="AA570" i="15"/>
  <c r="R570" i="15"/>
  <c r="H570" i="15"/>
  <c r="I569" i="15"/>
  <c r="AV568" i="15"/>
  <c r="AO568" i="15"/>
  <c r="I568" i="15"/>
  <c r="H567" i="15"/>
  <c r="I566" i="15"/>
  <c r="H565" i="15"/>
  <c r="AB564" i="15"/>
  <c r="S564" i="15"/>
  <c r="I564" i="15"/>
  <c r="H563" i="15"/>
  <c r="I562" i="15"/>
  <c r="AW561" i="15"/>
  <c r="AJ561" i="15"/>
  <c r="AA561" i="15"/>
  <c r="R561" i="15"/>
  <c r="H561" i="15"/>
  <c r="S560" i="15"/>
  <c r="I560" i="15"/>
  <c r="AV559" i="15"/>
  <c r="AO559" i="15"/>
  <c r="AJ559" i="15"/>
  <c r="AA559" i="15"/>
  <c r="I565" i="15"/>
  <c r="AA564" i="15"/>
  <c r="R564" i="15"/>
  <c r="H564" i="15"/>
  <c r="AI561" i="15"/>
  <c r="S561" i="15"/>
  <c r="R560" i="15"/>
  <c r="AI559" i="15"/>
  <c r="S559" i="15"/>
  <c r="I559" i="15"/>
  <c r="H558" i="15"/>
  <c r="I557" i="15"/>
  <c r="H556" i="15"/>
  <c r="AB555" i="15"/>
  <c r="S555" i="15"/>
  <c r="I555" i="15"/>
  <c r="AA554" i="15"/>
  <c r="H554" i="15"/>
  <c r="AB553" i="15"/>
  <c r="S553" i="15"/>
  <c r="I553" i="15"/>
  <c r="H552" i="15"/>
  <c r="I551" i="15"/>
  <c r="H550" i="15"/>
  <c r="I549" i="15"/>
  <c r="H548" i="15"/>
  <c r="I547" i="15"/>
  <c r="AA546" i="15"/>
  <c r="R546" i="15"/>
  <c r="H546" i="15"/>
  <c r="AB542" i="15"/>
  <c r="S542" i="15"/>
  <c r="I542" i="15"/>
  <c r="H541" i="15"/>
  <c r="I540" i="15"/>
  <c r="H539" i="15"/>
  <c r="I538" i="15"/>
  <c r="AB536" i="15"/>
  <c r="AO535" i="15"/>
  <c r="AB535" i="15"/>
  <c r="AO534" i="15"/>
  <c r="AB534" i="15"/>
  <c r="AO533" i="15"/>
  <c r="AB533" i="15"/>
  <c r="S533" i="15"/>
  <c r="I533" i="15"/>
  <c r="AA532" i="15"/>
  <c r="R532" i="15"/>
  <c r="H532" i="15"/>
  <c r="AB531" i="15"/>
  <c r="I563" i="15"/>
  <c r="H562" i="15"/>
  <c r="AV561" i="15"/>
  <c r="AB561" i="15"/>
  <c r="I561" i="15"/>
  <c r="H560" i="15"/>
  <c r="AW559" i="15"/>
  <c r="AP559" i="15"/>
  <c r="AB559" i="15"/>
  <c r="R559" i="15"/>
  <c r="H559" i="15"/>
  <c r="I558" i="15"/>
  <c r="H557" i="15"/>
  <c r="I556" i="15"/>
  <c r="AA555" i="15"/>
  <c r="R555" i="15"/>
  <c r="H555" i="15"/>
  <c r="AB554" i="15"/>
  <c r="I554" i="15"/>
  <c r="AA553" i="15"/>
  <c r="R553" i="15"/>
  <c r="H553" i="15"/>
  <c r="I552" i="15"/>
  <c r="H551" i="15"/>
  <c r="I550" i="15"/>
  <c r="H549" i="15"/>
  <c r="I548" i="15"/>
  <c r="H547" i="15"/>
  <c r="AB546" i="15"/>
  <c r="S546" i="15"/>
  <c r="I546" i="15"/>
  <c r="AA542" i="15"/>
  <c r="R542" i="15"/>
  <c r="H542" i="15"/>
  <c r="I541" i="15"/>
  <c r="H540" i="15"/>
  <c r="I539" i="15"/>
  <c r="H538" i="15"/>
  <c r="AA536" i="15"/>
  <c r="AP535" i="15"/>
  <c r="AP534" i="15"/>
  <c r="AP533" i="15"/>
  <c r="AA533" i="15"/>
  <c r="R533" i="15"/>
  <c r="H533" i="15"/>
  <c r="AB532" i="15"/>
  <c r="I532" i="15"/>
  <c r="S531" i="15"/>
  <c r="I531" i="15"/>
  <c r="AO530" i="15"/>
  <c r="AB530" i="15"/>
  <c r="S530" i="15"/>
  <c r="I530" i="15"/>
  <c r="I529" i="15"/>
  <c r="H528" i="15"/>
  <c r="AB527" i="15"/>
  <c r="I527" i="15"/>
  <c r="AA526" i="15"/>
  <c r="H526" i="15"/>
  <c r="AB525" i="15"/>
  <c r="S525" i="15"/>
  <c r="I525" i="15"/>
  <c r="H524" i="15"/>
  <c r="AB523" i="15"/>
  <c r="I523" i="15"/>
  <c r="AV522" i="15"/>
  <c r="AO522" i="15"/>
  <c r="AJ522" i="15"/>
  <c r="AA522" i="15"/>
  <c r="R522" i="15"/>
  <c r="H522" i="15"/>
  <c r="AB521" i="15"/>
  <c r="S521" i="15"/>
  <c r="I521" i="15"/>
  <c r="H520" i="15"/>
  <c r="AW519" i="15"/>
  <c r="AP519" i="15"/>
  <c r="H519" i="15"/>
  <c r="I518" i="15"/>
  <c r="H517" i="15"/>
  <c r="I516" i="15"/>
  <c r="AA515" i="15"/>
  <c r="R515" i="15"/>
  <c r="H515" i="15"/>
  <c r="I514" i="15"/>
  <c r="H513" i="15"/>
  <c r="AA535" i="15"/>
  <c r="AA534" i="15"/>
  <c r="S532" i="15"/>
  <c r="AA531" i="15"/>
  <c r="R531" i="15"/>
  <c r="H531" i="15"/>
  <c r="AP530" i="15"/>
  <c r="AA530" i="15"/>
  <c r="R530" i="15"/>
  <c r="H530" i="15"/>
  <c r="H529" i="15"/>
  <c r="I528" i="15"/>
  <c r="AA527" i="15"/>
  <c r="H527" i="15"/>
  <c r="AB526" i="15"/>
  <c r="I526" i="15"/>
  <c r="AA525" i="15"/>
  <c r="R525" i="15"/>
  <c r="H525" i="15"/>
  <c r="I524" i="15"/>
  <c r="AA523" i="15"/>
  <c r="H523" i="15"/>
  <c r="AW522" i="15"/>
  <c r="AP522" i="15"/>
  <c r="AI522" i="15"/>
  <c r="AB522" i="15"/>
  <c r="S522" i="15"/>
  <c r="I522" i="15"/>
  <c r="AA521" i="15"/>
  <c r="R521" i="15"/>
  <c r="H521" i="15"/>
  <c r="I520" i="15"/>
  <c r="AV519" i="15"/>
  <c r="AO519" i="15"/>
  <c r="I519" i="15"/>
  <c r="H518" i="15"/>
  <c r="I517" i="15"/>
  <c r="H516" i="15"/>
  <c r="AB515" i="15"/>
  <c r="S515" i="15"/>
  <c r="I515" i="15"/>
  <c r="H514" i="15"/>
  <c r="I513" i="15"/>
  <c r="AW512" i="15"/>
  <c r="AJ512" i="15"/>
  <c r="AA512" i="15"/>
  <c r="R512" i="15"/>
  <c r="H512" i="15"/>
  <c r="S511" i="15"/>
  <c r="I511" i="15"/>
  <c r="AV510" i="15"/>
  <c r="AO510" i="15"/>
  <c r="AV512" i="15"/>
  <c r="AB512" i="15"/>
  <c r="I512" i="15"/>
  <c r="H511" i="15"/>
  <c r="AW510" i="15"/>
  <c r="AP510" i="15"/>
  <c r="AI510" i="15"/>
  <c r="AB510" i="15"/>
  <c r="S510" i="15"/>
  <c r="I510" i="15"/>
  <c r="H509" i="15"/>
  <c r="I508" i="15"/>
  <c r="H507" i="15"/>
  <c r="AB506" i="15"/>
  <c r="S506" i="15"/>
  <c r="I506" i="15"/>
  <c r="AA505" i="15"/>
  <c r="H505" i="15"/>
  <c r="AB504" i="15"/>
  <c r="S504" i="15"/>
  <c r="I504" i="15"/>
  <c r="H503" i="15"/>
  <c r="I502" i="15"/>
  <c r="H501" i="15"/>
  <c r="I500" i="15"/>
  <c r="H499" i="15"/>
  <c r="I498" i="15"/>
  <c r="AA497" i="15"/>
  <c r="R497" i="15"/>
  <c r="H497" i="15"/>
  <c r="AB493" i="15"/>
  <c r="S493" i="15"/>
  <c r="I493" i="15"/>
  <c r="H492" i="15"/>
  <c r="I491" i="15"/>
  <c r="H490" i="15"/>
  <c r="I489" i="15"/>
  <c r="AB487" i="15"/>
  <c r="AO486" i="15"/>
  <c r="AB486" i="15"/>
  <c r="AO485" i="15"/>
  <c r="AB485" i="15"/>
  <c r="AO484" i="15"/>
  <c r="AB484" i="15"/>
  <c r="S484" i="15"/>
  <c r="I484" i="15"/>
  <c r="AA483" i="15"/>
  <c r="R483" i="15"/>
  <c r="H483" i="15"/>
  <c r="AB482" i="15"/>
  <c r="S482" i="15"/>
  <c r="I482" i="15"/>
  <c r="AO481" i="15"/>
  <c r="AB481" i="15"/>
  <c r="S481" i="15"/>
  <c r="I481" i="15"/>
  <c r="I480" i="15"/>
  <c r="H479" i="15"/>
  <c r="AB478" i="15"/>
  <c r="I478" i="15"/>
  <c r="AA477" i="15"/>
  <c r="H477" i="15"/>
  <c r="AB476" i="15"/>
  <c r="S476" i="15"/>
  <c r="I476" i="15"/>
  <c r="H475" i="15"/>
  <c r="AB474" i="15"/>
  <c r="I474" i="15"/>
  <c r="AV473" i="15"/>
  <c r="AO473" i="15"/>
  <c r="AJ473" i="15"/>
  <c r="AA473" i="15"/>
  <c r="R473" i="15"/>
  <c r="H473" i="15"/>
  <c r="AB472" i="15"/>
  <c r="S472" i="15"/>
  <c r="I472" i="15"/>
  <c r="H471" i="15"/>
  <c r="AW470" i="15"/>
  <c r="AP470" i="15"/>
  <c r="H470" i="15"/>
  <c r="I469" i="15"/>
  <c r="H468" i="15"/>
  <c r="I467" i="15"/>
  <c r="AA466" i="15"/>
  <c r="R466" i="15"/>
  <c r="H466" i="15"/>
  <c r="I465" i="15"/>
  <c r="H464" i="15"/>
  <c r="AV463" i="15"/>
  <c r="AI463" i="15"/>
  <c r="AB463" i="15"/>
  <c r="S463" i="15"/>
  <c r="I463" i="15"/>
  <c r="R462" i="15"/>
  <c r="H462" i="15"/>
  <c r="AW461" i="15"/>
  <c r="AP461" i="15"/>
  <c r="AI461" i="15"/>
  <c r="AB461" i="15"/>
  <c r="S461" i="15"/>
  <c r="I461" i="15"/>
  <c r="H460" i="15"/>
  <c r="I459" i="15"/>
  <c r="H458" i="15"/>
  <c r="AI512" i="15"/>
  <c r="S512" i="15"/>
  <c r="R511" i="15"/>
  <c r="AJ510" i="15"/>
  <c r="AA510" i="15"/>
  <c r="R510" i="15"/>
  <c r="H510" i="15"/>
  <c r="I509" i="15"/>
  <c r="H508" i="15"/>
  <c r="I507" i="15"/>
  <c r="AA506" i="15"/>
  <c r="R506" i="15"/>
  <c r="H506" i="15"/>
  <c r="AB505" i="15"/>
  <c r="I505" i="15"/>
  <c r="AA504" i="15"/>
  <c r="R504" i="15"/>
  <c r="H504" i="15"/>
  <c r="I503" i="15"/>
  <c r="H502" i="15"/>
  <c r="I501" i="15"/>
  <c r="H500" i="15"/>
  <c r="I499" i="15"/>
  <c r="H498" i="15"/>
  <c r="AB497" i="15"/>
  <c r="S497" i="15"/>
  <c r="I497" i="15"/>
  <c r="AA493" i="15"/>
  <c r="R493" i="15"/>
  <c r="H493" i="15"/>
  <c r="I492" i="15"/>
  <c r="H491" i="15"/>
  <c r="I490" i="15"/>
  <c r="H489" i="15"/>
  <c r="AA487" i="15"/>
  <c r="AP486" i="15"/>
  <c r="AA486" i="15"/>
  <c r="AP485" i="15"/>
  <c r="AA485" i="15"/>
  <c r="AP484" i="15"/>
  <c r="AA484" i="15"/>
  <c r="R484" i="15"/>
  <c r="H484" i="15"/>
  <c r="AB483" i="15"/>
  <c r="S483" i="15"/>
  <c r="I483" i="15"/>
  <c r="AA482" i="15"/>
  <c r="R482" i="15"/>
  <c r="H482" i="15"/>
  <c r="AP481" i="15"/>
  <c r="AA481" i="15"/>
  <c r="R481" i="15"/>
  <c r="H481" i="15"/>
  <c r="H480" i="15"/>
  <c r="I479" i="15"/>
  <c r="AA478" i="15"/>
  <c r="H478" i="15"/>
  <c r="AB477" i="15"/>
  <c r="I477" i="15"/>
  <c r="AA476" i="15"/>
  <c r="R476" i="15"/>
  <c r="H476" i="15"/>
  <c r="I475" i="15"/>
  <c r="AA474" i="15"/>
  <c r="H474" i="15"/>
  <c r="AW473" i="15"/>
  <c r="AP473" i="15"/>
  <c r="AI473" i="15"/>
  <c r="AB473" i="15"/>
  <c r="S473" i="15"/>
  <c r="I473" i="15"/>
  <c r="AA472" i="15"/>
  <c r="R472" i="15"/>
  <c r="H472" i="15"/>
  <c r="I471" i="15"/>
  <c r="AV470" i="15"/>
  <c r="AO470" i="15"/>
  <c r="I470" i="15"/>
  <c r="H469" i="15"/>
  <c r="I468" i="15"/>
  <c r="H467" i="15"/>
  <c r="AB466" i="15"/>
  <c r="S466" i="15"/>
  <c r="I466" i="15"/>
  <c r="H465" i="15"/>
  <c r="I464" i="15"/>
  <c r="AW463" i="15"/>
  <c r="AJ463" i="15"/>
  <c r="AA463" i="15"/>
  <c r="R463" i="15"/>
  <c r="H463" i="15"/>
  <c r="S462" i="15"/>
  <c r="I462" i="15"/>
  <c r="AV461" i="15"/>
  <c r="AO461" i="15"/>
  <c r="AJ461" i="15"/>
  <c r="AA461" i="15"/>
  <c r="R461" i="15"/>
  <c r="H461" i="15"/>
  <c r="I460" i="15"/>
  <c r="H459" i="15"/>
  <c r="I458" i="15"/>
  <c r="AA457" i="15"/>
  <c r="AB457" i="15"/>
  <c r="S457" i="15"/>
  <c r="I457" i="15"/>
  <c r="AA456" i="15"/>
  <c r="H456" i="15"/>
  <c r="AB455" i="15"/>
  <c r="S455" i="15"/>
  <c r="I455" i="15"/>
  <c r="H454" i="15"/>
  <c r="I453" i="15"/>
  <c r="H452" i="15"/>
  <c r="I451" i="15"/>
  <c r="H450" i="15"/>
  <c r="I449" i="15"/>
  <c r="AA448" i="15"/>
  <c r="R448" i="15"/>
  <c r="H448" i="15"/>
  <c r="AB444" i="15"/>
  <c r="S444" i="15"/>
  <c r="I444" i="15"/>
  <c r="H443" i="15"/>
  <c r="I442" i="15"/>
  <c r="H441" i="15"/>
  <c r="I440" i="15"/>
  <c r="AB438" i="15"/>
  <c r="AO437" i="15"/>
  <c r="AB437" i="15"/>
  <c r="AO436" i="15"/>
  <c r="AB436" i="15"/>
  <c r="AO435" i="15"/>
  <c r="AB435" i="15"/>
  <c r="S435" i="15"/>
  <c r="I435" i="15"/>
  <c r="AA434" i="15"/>
  <c r="R434" i="15"/>
  <c r="H434" i="15"/>
  <c r="AB433" i="15"/>
  <c r="S433" i="15"/>
  <c r="I433" i="15"/>
  <c r="AO432" i="15"/>
  <c r="AB432" i="15"/>
  <c r="S432" i="15"/>
  <c r="I432" i="15"/>
  <c r="I431" i="15"/>
  <c r="H430" i="15"/>
  <c r="AB429" i="15"/>
  <c r="I429" i="15"/>
  <c r="AA428" i="15"/>
  <c r="H428" i="15"/>
  <c r="AB427" i="15"/>
  <c r="S427" i="15"/>
  <c r="I427" i="15"/>
  <c r="H426" i="15"/>
  <c r="AB425" i="15"/>
  <c r="I425" i="15"/>
  <c r="AV424" i="15"/>
  <c r="AO424" i="15"/>
  <c r="AJ424" i="15"/>
  <c r="AA424" i="15"/>
  <c r="R424" i="15"/>
  <c r="H424" i="15"/>
  <c r="AB423" i="15"/>
  <c r="S423" i="15"/>
  <c r="I423" i="15"/>
  <c r="H422" i="15"/>
  <c r="AW421" i="15"/>
  <c r="AP421" i="15"/>
  <c r="H421" i="15"/>
  <c r="I420" i="15"/>
  <c r="H419" i="15"/>
  <c r="I418" i="15"/>
  <c r="AA417" i="15"/>
  <c r="R417" i="15"/>
  <c r="H417" i="15"/>
  <c r="I416" i="15"/>
  <c r="H415" i="15"/>
  <c r="AV414" i="15"/>
  <c r="AI414" i="15"/>
  <c r="AB414" i="15"/>
  <c r="S414" i="15"/>
  <c r="I414" i="15"/>
  <c r="R413" i="15"/>
  <c r="H413" i="15"/>
  <c r="AW412" i="15"/>
  <c r="AP412" i="15"/>
  <c r="AI412" i="15"/>
  <c r="AB412" i="15"/>
  <c r="S412" i="15"/>
  <c r="I412" i="15"/>
  <c r="H411" i="15"/>
  <c r="I410" i="15"/>
  <c r="H409" i="15"/>
  <c r="AB408" i="15"/>
  <c r="S408" i="15"/>
  <c r="I408" i="15"/>
  <c r="AA407" i="15"/>
  <c r="H407" i="15"/>
  <c r="AB406" i="15"/>
  <c r="S406" i="15"/>
  <c r="I406" i="15"/>
  <c r="H405" i="15"/>
  <c r="I404" i="15"/>
  <c r="H403" i="15"/>
  <c r="I402" i="15"/>
  <c r="H401" i="15"/>
  <c r="I400" i="15"/>
  <c r="AA399" i="15"/>
  <c r="R399" i="15"/>
  <c r="H399" i="15"/>
  <c r="AB395" i="15"/>
  <c r="S395" i="15"/>
  <c r="R457" i="15"/>
  <c r="H457" i="15"/>
  <c r="AB456" i="15"/>
  <c r="I456" i="15"/>
  <c r="AA455" i="15"/>
  <c r="R455" i="15"/>
  <c r="H455" i="15"/>
  <c r="I454" i="15"/>
  <c r="H453" i="15"/>
  <c r="I452" i="15"/>
  <c r="H451" i="15"/>
  <c r="I450" i="15"/>
  <c r="H449" i="15"/>
  <c r="AB448" i="15"/>
  <c r="S448" i="15"/>
  <c r="I448" i="15"/>
  <c r="AA444" i="15"/>
  <c r="R444" i="15"/>
  <c r="H444" i="15"/>
  <c r="I443" i="15"/>
  <c r="H442" i="15"/>
  <c r="I441" i="15"/>
  <c r="H440" i="15"/>
  <c r="AA438" i="15"/>
  <c r="AP437" i="15"/>
  <c r="AA437" i="15"/>
  <c r="AP436" i="15"/>
  <c r="AA436" i="15"/>
  <c r="AP435" i="15"/>
  <c r="AA435" i="15"/>
  <c r="R435" i="15"/>
  <c r="H435" i="15"/>
  <c r="AB434" i="15"/>
  <c r="S434" i="15"/>
  <c r="I434" i="15"/>
  <c r="AA433" i="15"/>
  <c r="R433" i="15"/>
  <c r="H433" i="15"/>
  <c r="AP432" i="15"/>
  <c r="AA432" i="15"/>
  <c r="R432" i="15"/>
  <c r="H432" i="15"/>
  <c r="H431" i="15"/>
  <c r="I430" i="15"/>
  <c r="AA429" i="15"/>
  <c r="H429" i="15"/>
  <c r="AB428" i="15"/>
  <c r="I428" i="15"/>
  <c r="AA427" i="15"/>
  <c r="R427" i="15"/>
  <c r="H427" i="15"/>
  <c r="I426" i="15"/>
  <c r="AA425" i="15"/>
  <c r="H425" i="15"/>
  <c r="AW424" i="15"/>
  <c r="AP424" i="15"/>
  <c r="AI424" i="15"/>
  <c r="AB424" i="15"/>
  <c r="S424" i="15"/>
  <c r="I424" i="15"/>
  <c r="AA423" i="15"/>
  <c r="R423" i="15"/>
  <c r="H423" i="15"/>
  <c r="I422" i="15"/>
  <c r="AV421" i="15"/>
  <c r="AO421" i="15"/>
  <c r="I421" i="15"/>
  <c r="H420" i="15"/>
  <c r="I419" i="15"/>
  <c r="H418" i="15"/>
  <c r="AB417" i="15"/>
  <c r="S417" i="15"/>
  <c r="I417" i="15"/>
  <c r="H416" i="15"/>
  <c r="I415" i="15"/>
  <c r="AW414" i="15"/>
  <c r="AJ414" i="15"/>
  <c r="AA414" i="15"/>
  <c r="R414" i="15"/>
  <c r="H414" i="15"/>
  <c r="S413" i="15"/>
  <c r="I413" i="15"/>
  <c r="AV412" i="15"/>
  <c r="AO412" i="15"/>
  <c r="AJ412" i="15"/>
  <c r="AA412" i="15"/>
  <c r="R412" i="15"/>
  <c r="H412" i="15"/>
  <c r="I411" i="15"/>
  <c r="H410" i="15"/>
  <c r="I409" i="15"/>
  <c r="AA408" i="15"/>
  <c r="R408" i="15"/>
  <c r="H408" i="15"/>
  <c r="AB407" i="15"/>
  <c r="I407" i="15"/>
  <c r="AA406" i="15"/>
  <c r="R406" i="15"/>
  <c r="H406" i="15"/>
  <c r="I405" i="15"/>
  <c r="H404" i="15"/>
  <c r="S399" i="15"/>
  <c r="I395" i="15"/>
  <c r="H394" i="15"/>
  <c r="I393" i="15"/>
  <c r="H392" i="15"/>
  <c r="I391" i="15"/>
  <c r="AB389" i="15"/>
  <c r="AO388" i="15"/>
  <c r="AB388" i="15"/>
  <c r="AO387" i="15"/>
  <c r="AB387" i="15"/>
  <c r="AO386" i="15"/>
  <c r="AB386" i="15"/>
  <c r="S386" i="15"/>
  <c r="I386" i="15"/>
  <c r="AA385" i="15"/>
  <c r="R385" i="15"/>
  <c r="H385" i="15"/>
  <c r="AB384" i="15"/>
  <c r="S384" i="15"/>
  <c r="I384" i="15"/>
  <c r="AO383" i="15"/>
  <c r="AB383" i="15"/>
  <c r="S383" i="15"/>
  <c r="I383" i="15"/>
  <c r="I382" i="15"/>
  <c r="H381" i="15"/>
  <c r="AB380" i="15"/>
  <c r="I380" i="15"/>
  <c r="AA379" i="15"/>
  <c r="H379" i="15"/>
  <c r="AB378" i="15"/>
  <c r="S378" i="15"/>
  <c r="I378" i="15"/>
  <c r="H377" i="15"/>
  <c r="AB376" i="15"/>
  <c r="I376" i="15"/>
  <c r="AV375" i="15"/>
  <c r="AO375" i="15"/>
  <c r="AJ375" i="15"/>
  <c r="AA375" i="15"/>
  <c r="R375" i="15"/>
  <c r="H375" i="15"/>
  <c r="AB374" i="15"/>
  <c r="S374" i="15"/>
  <c r="I374" i="15"/>
  <c r="H373" i="15"/>
  <c r="AW372" i="15"/>
  <c r="AP372" i="15"/>
  <c r="H372" i="15"/>
  <c r="I371" i="15"/>
  <c r="H370" i="15"/>
  <c r="I369" i="15"/>
  <c r="AA368" i="15"/>
  <c r="R368" i="15"/>
  <c r="H368" i="15"/>
  <c r="I367" i="15"/>
  <c r="H366" i="15"/>
  <c r="AV365" i="15"/>
  <c r="AI365" i="15"/>
  <c r="AB365" i="15"/>
  <c r="S365" i="15"/>
  <c r="I365" i="15"/>
  <c r="R364" i="15"/>
  <c r="H364" i="15"/>
  <c r="AW363" i="15"/>
  <c r="AP363" i="15"/>
  <c r="AI363" i="15"/>
  <c r="AB363" i="15"/>
  <c r="S363" i="15"/>
  <c r="I363" i="15"/>
  <c r="H362" i="15"/>
  <c r="I361" i="15"/>
  <c r="H360" i="15"/>
  <c r="AB359" i="15"/>
  <c r="S359" i="15"/>
  <c r="I359" i="15"/>
  <c r="AA358" i="15"/>
  <c r="H358" i="15"/>
  <c r="AB357" i="15"/>
  <c r="S357" i="15"/>
  <c r="I357" i="15"/>
  <c r="H356" i="15"/>
  <c r="I355" i="15"/>
  <c r="H354" i="15"/>
  <c r="I353" i="15"/>
  <c r="H352" i="15"/>
  <c r="I351" i="15"/>
  <c r="AA350" i="15"/>
  <c r="R350" i="15"/>
  <c r="H350" i="15"/>
  <c r="AB346" i="15"/>
  <c r="S346" i="15"/>
  <c r="I346" i="15"/>
  <c r="H345" i="15"/>
  <c r="I344" i="15"/>
  <c r="H343" i="15"/>
  <c r="I342" i="15"/>
  <c r="AB340" i="15"/>
  <c r="AO339" i="15"/>
  <c r="AB339" i="15"/>
  <c r="AO338" i="15"/>
  <c r="AB338" i="15"/>
  <c r="AO337" i="15"/>
  <c r="AB337" i="15"/>
  <c r="S337" i="15"/>
  <c r="I337" i="15"/>
  <c r="AA336" i="15"/>
  <c r="R336" i="15"/>
  <c r="H336" i="15"/>
  <c r="AB335" i="15"/>
  <c r="S335" i="15"/>
  <c r="I335" i="15"/>
  <c r="AO334" i="15"/>
  <c r="AB334" i="15"/>
  <c r="S334" i="15"/>
  <c r="I334" i="15"/>
  <c r="I333" i="15"/>
  <c r="H332" i="15"/>
  <c r="AB331" i="15"/>
  <c r="I331" i="15"/>
  <c r="AA330" i="15"/>
  <c r="H330" i="15"/>
  <c r="AB329" i="15"/>
  <c r="S329" i="15"/>
  <c r="I329" i="15"/>
  <c r="H328" i="15"/>
  <c r="AB327" i="15"/>
  <c r="I327" i="15"/>
  <c r="AV326" i="15"/>
  <c r="AO326" i="15"/>
  <c r="AJ326" i="15"/>
  <c r="AA326" i="15"/>
  <c r="R326" i="15"/>
  <c r="H326" i="15"/>
  <c r="AB325" i="15"/>
  <c r="S325" i="15"/>
  <c r="I325" i="15"/>
  <c r="H324" i="15"/>
  <c r="AW323" i="15"/>
  <c r="AP323" i="15"/>
  <c r="H323" i="15"/>
  <c r="I322" i="15"/>
  <c r="H321" i="15"/>
  <c r="I320" i="15"/>
  <c r="AA319" i="15"/>
  <c r="R319" i="15"/>
  <c r="H319" i="15"/>
  <c r="I318" i="15"/>
  <c r="H317" i="15"/>
  <c r="AV316" i="15"/>
  <c r="AI316" i="15"/>
  <c r="AB316" i="15"/>
  <c r="S316" i="15"/>
  <c r="I316" i="15"/>
  <c r="R315" i="15"/>
  <c r="H315" i="15"/>
  <c r="AW314" i="15"/>
  <c r="AP314" i="15"/>
  <c r="AI314" i="15"/>
  <c r="AB314" i="15"/>
  <c r="S314" i="15"/>
  <c r="I314" i="15"/>
  <c r="H313" i="15"/>
  <c r="I312" i="15"/>
  <c r="H311" i="15"/>
  <c r="AB310" i="15"/>
  <c r="S310" i="15"/>
  <c r="I310" i="15"/>
  <c r="AA309" i="15"/>
  <c r="H309" i="15"/>
  <c r="AB308" i="15"/>
  <c r="S308" i="15"/>
  <c r="I308" i="15"/>
  <c r="H307" i="15"/>
  <c r="I306" i="15"/>
  <c r="H305" i="15"/>
  <c r="I304" i="15"/>
  <c r="H303" i="15"/>
  <c r="I302" i="15"/>
  <c r="AA301" i="15"/>
  <c r="R301" i="15"/>
  <c r="H301" i="15"/>
  <c r="AB297" i="15"/>
  <c r="S297" i="15"/>
  <c r="I297" i="15"/>
  <c r="H296" i="15"/>
  <c r="I295" i="15"/>
  <c r="H294" i="15"/>
  <c r="I293" i="15"/>
  <c r="AB291" i="15"/>
  <c r="AO290" i="15"/>
  <c r="AB290" i="15"/>
  <c r="AO289" i="15"/>
  <c r="AB289" i="15"/>
  <c r="AO288" i="15"/>
  <c r="AB288" i="15"/>
  <c r="S288" i="15"/>
  <c r="I288" i="15"/>
  <c r="AA287" i="15"/>
  <c r="R287" i="15"/>
  <c r="I403" i="15"/>
  <c r="H402" i="15"/>
  <c r="I401" i="15"/>
  <c r="H400" i="15"/>
  <c r="AB399" i="15"/>
  <c r="I399" i="15"/>
  <c r="AA395" i="15"/>
  <c r="R395" i="15"/>
  <c r="H395" i="15"/>
  <c r="I394" i="15"/>
  <c r="H393" i="15"/>
  <c r="I392" i="15"/>
  <c r="H391" i="15"/>
  <c r="AA389" i="15"/>
  <c r="AP388" i="15"/>
  <c r="AA388" i="15"/>
  <c r="AP387" i="15"/>
  <c r="AA387" i="15"/>
  <c r="AP386" i="15"/>
  <c r="AA386" i="15"/>
  <c r="R386" i="15"/>
  <c r="H386" i="15"/>
  <c r="AB385" i="15"/>
  <c r="S385" i="15"/>
  <c r="I385" i="15"/>
  <c r="AA384" i="15"/>
  <c r="R384" i="15"/>
  <c r="H384" i="15"/>
  <c r="AP383" i="15"/>
  <c r="AA383" i="15"/>
  <c r="R383" i="15"/>
  <c r="H383" i="15"/>
  <c r="H382" i="15"/>
  <c r="I381" i="15"/>
  <c r="AA380" i="15"/>
  <c r="H380" i="15"/>
  <c r="AB379" i="15"/>
  <c r="I379" i="15"/>
  <c r="AA378" i="15"/>
  <c r="R378" i="15"/>
  <c r="H378" i="15"/>
  <c r="I377" i="15"/>
  <c r="AA376" i="15"/>
  <c r="H376" i="15"/>
  <c r="AW375" i="15"/>
  <c r="AP375" i="15"/>
  <c r="AI375" i="15"/>
  <c r="AB375" i="15"/>
  <c r="S375" i="15"/>
  <c r="I375" i="15"/>
  <c r="AA374" i="15"/>
  <c r="R374" i="15"/>
  <c r="H374" i="15"/>
  <c r="I373" i="15"/>
  <c r="AV372" i="15"/>
  <c r="AO372" i="15"/>
  <c r="I372" i="15"/>
  <c r="H371" i="15"/>
  <c r="I370" i="15"/>
  <c r="H369" i="15"/>
  <c r="AB368" i="15"/>
  <c r="S368" i="15"/>
  <c r="I368" i="15"/>
  <c r="H367" i="15"/>
  <c r="I366" i="15"/>
  <c r="AW365" i="15"/>
  <c r="AJ365" i="15"/>
  <c r="AA365" i="15"/>
  <c r="R365" i="15"/>
  <c r="H365" i="15"/>
  <c r="S364" i="15"/>
  <c r="I364" i="15"/>
  <c r="AV363" i="15"/>
  <c r="AO363" i="15"/>
  <c r="AJ363" i="15"/>
  <c r="AA363" i="15"/>
  <c r="R363" i="15"/>
  <c r="H363" i="15"/>
  <c r="I362" i="15"/>
  <c r="H361" i="15"/>
  <c r="I360" i="15"/>
  <c r="AA359" i="15"/>
  <c r="R359" i="15"/>
  <c r="H359" i="15"/>
  <c r="AB358" i="15"/>
  <c r="I358" i="15"/>
  <c r="AA357" i="15"/>
  <c r="R357" i="15"/>
  <c r="H357" i="15"/>
  <c r="I356" i="15"/>
  <c r="H355" i="15"/>
  <c r="I354" i="15"/>
  <c r="H353" i="15"/>
  <c r="I352" i="15"/>
  <c r="H351" i="15"/>
  <c r="AB350" i="15"/>
  <c r="S350" i="15"/>
  <c r="I350" i="15"/>
  <c r="AA346" i="15"/>
  <c r="R346" i="15"/>
  <c r="H346" i="15"/>
  <c r="I345" i="15"/>
  <c r="H344" i="15"/>
  <c r="I343" i="15"/>
  <c r="H342" i="15"/>
  <c r="AA340" i="15"/>
  <c r="AP339" i="15"/>
  <c r="AA339" i="15"/>
  <c r="AP338" i="15"/>
  <c r="AA338" i="15"/>
  <c r="AP337" i="15"/>
  <c r="AA337" i="15"/>
  <c r="R337" i="15"/>
  <c r="H337" i="15"/>
  <c r="AB336" i="15"/>
  <c r="S336" i="15"/>
  <c r="I336" i="15"/>
  <c r="AA335" i="15"/>
  <c r="R335" i="15"/>
  <c r="H335" i="15"/>
  <c r="AP334" i="15"/>
  <c r="AA334" i="15"/>
  <c r="R334" i="15"/>
  <c r="H334" i="15"/>
  <c r="H333" i="15"/>
  <c r="I332" i="15"/>
  <c r="AA331" i="15"/>
  <c r="H331" i="15"/>
  <c r="AB330" i="15"/>
  <c r="I330" i="15"/>
  <c r="AA329" i="15"/>
  <c r="R329" i="15"/>
  <c r="H329" i="15"/>
  <c r="I328" i="15"/>
  <c r="AA327" i="15"/>
  <c r="H327" i="15"/>
  <c r="AW326" i="15"/>
  <c r="AP326" i="15"/>
  <c r="AI326" i="15"/>
  <c r="AB326" i="15"/>
  <c r="S326" i="15"/>
  <c r="I326" i="15"/>
  <c r="AA325" i="15"/>
  <c r="R325" i="15"/>
  <c r="H325" i="15"/>
  <c r="I324" i="15"/>
  <c r="AV323" i="15"/>
  <c r="AO323" i="15"/>
  <c r="I323" i="15"/>
  <c r="H322" i="15"/>
  <c r="I321" i="15"/>
  <c r="H320" i="15"/>
  <c r="AB319" i="15"/>
  <c r="S319" i="15"/>
  <c r="I319" i="15"/>
  <c r="H318" i="15"/>
  <c r="I317" i="15"/>
  <c r="AW316" i="15"/>
  <c r="AJ316" i="15"/>
  <c r="AA316" i="15"/>
  <c r="R316" i="15"/>
  <c r="H316" i="15"/>
  <c r="S315" i="15"/>
  <c r="I315" i="15"/>
  <c r="AV314" i="15"/>
  <c r="AO314" i="15"/>
  <c r="AJ314" i="15"/>
  <c r="AA314" i="15"/>
  <c r="R314" i="15"/>
  <c r="H314" i="15"/>
  <c r="I313" i="15"/>
  <c r="H312" i="15"/>
  <c r="I311" i="15"/>
  <c r="AA310" i="15"/>
  <c r="R310" i="15"/>
  <c r="H310" i="15"/>
  <c r="AB309" i="15"/>
  <c r="I309" i="15"/>
  <c r="AA308" i="15"/>
  <c r="R308" i="15"/>
  <c r="H308" i="15"/>
  <c r="I307" i="15"/>
  <c r="H306" i="15"/>
  <c r="I305" i="15"/>
  <c r="H304" i="15"/>
  <c r="I303" i="15"/>
  <c r="H302" i="15"/>
  <c r="AB301" i="15"/>
  <c r="S301" i="15"/>
  <c r="I301" i="15"/>
  <c r="AA297" i="15"/>
  <c r="R297" i="15"/>
  <c r="H297" i="15"/>
  <c r="I296" i="15"/>
  <c r="H295" i="15"/>
  <c r="AA291" i="15"/>
  <c r="AA290" i="15"/>
  <c r="AA289" i="15"/>
  <c r="S287" i="15"/>
  <c r="H287" i="15"/>
  <c r="AB286" i="15"/>
  <c r="S286" i="15"/>
  <c r="I286" i="15"/>
  <c r="AO285" i="15"/>
  <c r="AB285" i="15"/>
  <c r="S285" i="15"/>
  <c r="I285" i="15"/>
  <c r="I284" i="15"/>
  <c r="H283" i="15"/>
  <c r="AB282" i="15"/>
  <c r="I282" i="15"/>
  <c r="AA281" i="15"/>
  <c r="H281" i="15"/>
  <c r="AB280" i="15"/>
  <c r="S280" i="15"/>
  <c r="I280" i="15"/>
  <c r="H279" i="15"/>
  <c r="AB278" i="15"/>
  <c r="I278" i="15"/>
  <c r="AV277" i="15"/>
  <c r="AO277" i="15"/>
  <c r="AJ277" i="15"/>
  <c r="AA277" i="15"/>
  <c r="R277" i="15"/>
  <c r="H277" i="15"/>
  <c r="AB276" i="15"/>
  <c r="S276" i="15"/>
  <c r="I276" i="15"/>
  <c r="H275" i="15"/>
  <c r="AW274" i="15"/>
  <c r="AP274" i="15"/>
  <c r="H274" i="15"/>
  <c r="I273" i="15"/>
  <c r="H272" i="15"/>
  <c r="I271" i="15"/>
  <c r="AA270" i="15"/>
  <c r="R270" i="15"/>
  <c r="H270" i="15"/>
  <c r="I269" i="15"/>
  <c r="H268" i="15"/>
  <c r="AV267" i="15"/>
  <c r="AI267" i="15"/>
  <c r="AB267" i="15"/>
  <c r="S267" i="15"/>
  <c r="I267" i="15"/>
  <c r="R266" i="15"/>
  <c r="H266" i="15"/>
  <c r="AW265" i="15"/>
  <c r="AP265" i="15"/>
  <c r="AI265" i="15"/>
  <c r="AB265" i="15"/>
  <c r="S265" i="15"/>
  <c r="I265" i="15"/>
  <c r="H264" i="15"/>
  <c r="I263" i="15"/>
  <c r="H262" i="15"/>
  <c r="AB261" i="15"/>
  <c r="S261" i="15"/>
  <c r="I261" i="15"/>
  <c r="AA260" i="15"/>
  <c r="H260" i="15"/>
  <c r="AB259" i="15"/>
  <c r="S259" i="15"/>
  <c r="I259" i="15"/>
  <c r="H258" i="15"/>
  <c r="I257" i="15"/>
  <c r="H256" i="15"/>
  <c r="I255" i="15"/>
  <c r="H254" i="15"/>
  <c r="I253" i="15"/>
  <c r="AA252" i="15"/>
  <c r="R252" i="15"/>
  <c r="H252" i="15"/>
  <c r="AB248" i="15"/>
  <c r="S248" i="15"/>
  <c r="I248" i="15"/>
  <c r="H247" i="15"/>
  <c r="I246" i="15"/>
  <c r="H245" i="15"/>
  <c r="I244" i="15"/>
  <c r="AB242" i="15"/>
  <c r="AO241" i="15"/>
  <c r="AB241" i="15"/>
  <c r="AO240" i="15"/>
  <c r="AB240" i="15"/>
  <c r="AO239" i="15"/>
  <c r="AB239" i="15"/>
  <c r="S239" i="15"/>
  <c r="I239" i="15"/>
  <c r="AA238" i="15"/>
  <c r="R238" i="15"/>
  <c r="H238" i="15"/>
  <c r="AB237" i="15"/>
  <c r="S237" i="15"/>
  <c r="I237" i="15"/>
  <c r="AO236" i="15"/>
  <c r="AB236" i="15"/>
  <c r="S236" i="15"/>
  <c r="I236" i="15"/>
  <c r="I235" i="15"/>
  <c r="H234" i="15"/>
  <c r="AB233" i="15"/>
  <c r="I233" i="15"/>
  <c r="AA232" i="15"/>
  <c r="H232" i="15"/>
  <c r="AB231" i="15"/>
  <c r="S231" i="15"/>
  <c r="I231" i="15"/>
  <c r="H230" i="15"/>
  <c r="AB229" i="15"/>
  <c r="I229" i="15"/>
  <c r="AV228" i="15"/>
  <c r="AO228" i="15"/>
  <c r="AJ228" i="15"/>
  <c r="AA228" i="15"/>
  <c r="R228" i="15"/>
  <c r="H228" i="15"/>
  <c r="AB227" i="15"/>
  <c r="S227" i="15"/>
  <c r="I227" i="15"/>
  <c r="H226" i="15"/>
  <c r="AW225" i="15"/>
  <c r="AP225" i="15"/>
  <c r="H225" i="15"/>
  <c r="I224" i="15"/>
  <c r="H223" i="15"/>
  <c r="I222" i="15"/>
  <c r="AA221" i="15"/>
  <c r="R221" i="15"/>
  <c r="H221" i="15"/>
  <c r="I220" i="15"/>
  <c r="H219" i="15"/>
  <c r="AV218" i="15"/>
  <c r="AI218" i="15"/>
  <c r="AB218" i="15"/>
  <c r="S218" i="15"/>
  <c r="I218" i="15"/>
  <c r="R217" i="15"/>
  <c r="H217" i="15"/>
  <c r="AW216" i="15"/>
  <c r="AP216" i="15"/>
  <c r="AI216" i="15"/>
  <c r="AB216" i="15"/>
  <c r="S216" i="15"/>
  <c r="I216" i="15"/>
  <c r="H215" i="15"/>
  <c r="I214" i="15"/>
  <c r="H213" i="15"/>
  <c r="AB212" i="15"/>
  <c r="S212" i="15"/>
  <c r="I212" i="15"/>
  <c r="AA211" i="15"/>
  <c r="H211" i="15"/>
  <c r="AB210" i="15"/>
  <c r="S210" i="15"/>
  <c r="I210" i="15"/>
  <c r="H209" i="15"/>
  <c r="I208" i="15"/>
  <c r="H207" i="15"/>
  <c r="I206" i="15"/>
  <c r="H205" i="15"/>
  <c r="I204" i="15"/>
  <c r="AA203" i="15"/>
  <c r="R203" i="15"/>
  <c r="H203" i="15"/>
  <c r="I199" i="15"/>
  <c r="H198" i="15"/>
  <c r="I197" i="15"/>
  <c r="H196" i="15"/>
  <c r="AA194" i="15"/>
  <c r="AP193" i="15"/>
  <c r="AA193" i="15"/>
  <c r="AP192" i="15"/>
  <c r="AA192" i="15"/>
  <c r="AP191" i="15"/>
  <c r="AA191" i="15"/>
  <c r="R191" i="15"/>
  <c r="H191" i="15"/>
  <c r="AB190" i="15"/>
  <c r="S190" i="15"/>
  <c r="I190" i="15"/>
  <c r="AA189" i="15"/>
  <c r="R189" i="15"/>
  <c r="H189" i="15"/>
  <c r="AP188" i="15"/>
  <c r="AA188" i="15"/>
  <c r="R188" i="15"/>
  <c r="H188" i="15"/>
  <c r="I187" i="15"/>
  <c r="H186" i="15"/>
  <c r="AB185" i="15"/>
  <c r="I185" i="15"/>
  <c r="AA184" i="15"/>
  <c r="H184" i="15"/>
  <c r="AB183" i="15"/>
  <c r="S183" i="15"/>
  <c r="I183" i="15"/>
  <c r="H182" i="15"/>
  <c r="AB181" i="15"/>
  <c r="I181" i="15"/>
  <c r="AV180" i="15"/>
  <c r="AO180" i="15"/>
  <c r="AJ180" i="15"/>
  <c r="AA180" i="15"/>
  <c r="R180" i="15"/>
  <c r="H180" i="15"/>
  <c r="AB179" i="15"/>
  <c r="S179" i="15"/>
  <c r="I179" i="15"/>
  <c r="H178" i="15"/>
  <c r="AW177" i="15"/>
  <c r="AP177" i="15"/>
  <c r="H177" i="15"/>
  <c r="I176" i="15"/>
  <c r="H175" i="15"/>
  <c r="I174" i="15"/>
  <c r="AA173" i="15"/>
  <c r="R173" i="15"/>
  <c r="H173" i="15"/>
  <c r="I172" i="15"/>
  <c r="H171" i="15"/>
  <c r="AV170" i="15"/>
  <c r="AI170" i="15"/>
  <c r="AB170" i="15"/>
  <c r="S170" i="15"/>
  <c r="I170" i="15"/>
  <c r="R169" i="15"/>
  <c r="H169" i="15"/>
  <c r="I294" i="15"/>
  <c r="H293" i="15"/>
  <c r="AP290" i="15"/>
  <c r="AP289" i="15"/>
  <c r="AP288" i="15"/>
  <c r="AA288" i="15"/>
  <c r="R288" i="15"/>
  <c r="H288" i="15"/>
  <c r="AB287" i="15"/>
  <c r="I287" i="15"/>
  <c r="AA286" i="15"/>
  <c r="R286" i="15"/>
  <c r="H286" i="15"/>
  <c r="AP285" i="15"/>
  <c r="AA285" i="15"/>
  <c r="R285" i="15"/>
  <c r="H285" i="15"/>
  <c r="H284" i="15"/>
  <c r="I283" i="15"/>
  <c r="AA282" i="15"/>
  <c r="H282" i="15"/>
  <c r="AB281" i="15"/>
  <c r="I281" i="15"/>
  <c r="AA280" i="15"/>
  <c r="R280" i="15"/>
  <c r="H280" i="15"/>
  <c r="I279" i="15"/>
  <c r="AA278" i="15"/>
  <c r="H278" i="15"/>
  <c r="AW277" i="15"/>
  <c r="AP277" i="15"/>
  <c r="AI277" i="15"/>
  <c r="AB277" i="15"/>
  <c r="S277" i="15"/>
  <c r="I277" i="15"/>
  <c r="AA276" i="15"/>
  <c r="R276" i="15"/>
  <c r="H276" i="15"/>
  <c r="I275" i="15"/>
  <c r="AV274" i="15"/>
  <c r="AO274" i="15"/>
  <c r="I274" i="15"/>
  <c r="H273" i="15"/>
  <c r="I272" i="15"/>
  <c r="H271" i="15"/>
  <c r="AB270" i="15"/>
  <c r="S270" i="15"/>
  <c r="I270" i="15"/>
  <c r="H269" i="15"/>
  <c r="I268" i="15"/>
  <c r="AW267" i="15"/>
  <c r="AJ267" i="15"/>
  <c r="AA267" i="15"/>
  <c r="R267" i="15"/>
  <c r="H267" i="15"/>
  <c r="S266" i="15"/>
  <c r="I266" i="15"/>
  <c r="AV265" i="15"/>
  <c r="AO265" i="15"/>
  <c r="AJ265" i="15"/>
  <c r="AA265" i="15"/>
  <c r="R265" i="15"/>
  <c r="H265" i="15"/>
  <c r="I264" i="15"/>
  <c r="H263" i="15"/>
  <c r="I262" i="15"/>
  <c r="AA261" i="15"/>
  <c r="R261" i="15"/>
  <c r="H261" i="15"/>
  <c r="AB260" i="15"/>
  <c r="I260" i="15"/>
  <c r="AA259" i="15"/>
  <c r="R259" i="15"/>
  <c r="H259" i="15"/>
  <c r="I258" i="15"/>
  <c r="H257" i="15"/>
  <c r="I256" i="15"/>
  <c r="H255" i="15"/>
  <c r="I254" i="15"/>
  <c r="H253" i="15"/>
  <c r="AB252" i="15"/>
  <c r="S252" i="15"/>
  <c r="I252" i="15"/>
  <c r="AA248" i="15"/>
  <c r="R248" i="15"/>
  <c r="H248" i="15"/>
  <c r="I247" i="15"/>
  <c r="H246" i="15"/>
  <c r="I245" i="15"/>
  <c r="H244" i="15"/>
  <c r="AA242" i="15"/>
  <c r="AP241" i="15"/>
  <c r="AA241" i="15"/>
  <c r="AP240" i="15"/>
  <c r="AA240" i="15"/>
  <c r="AP239" i="15"/>
  <c r="AA239" i="15"/>
  <c r="R239" i="15"/>
  <c r="H239" i="15"/>
  <c r="AB238" i="15"/>
  <c r="S238" i="15"/>
  <c r="I238" i="15"/>
  <c r="AA237" i="15"/>
  <c r="R237" i="15"/>
  <c r="H237" i="15"/>
  <c r="AP236" i="15"/>
  <c r="AA236" i="15"/>
  <c r="R236" i="15"/>
  <c r="H236" i="15"/>
  <c r="H235" i="15"/>
  <c r="I234" i="15"/>
  <c r="AA233" i="15"/>
  <c r="H233" i="15"/>
  <c r="AB232" i="15"/>
  <c r="I232" i="15"/>
  <c r="AA231" i="15"/>
  <c r="R231" i="15"/>
  <c r="H231" i="15"/>
  <c r="I230" i="15"/>
  <c r="AA229" i="15"/>
  <c r="H229" i="15"/>
  <c r="AW228" i="15"/>
  <c r="AP228" i="15"/>
  <c r="AI228" i="15"/>
  <c r="AB228" i="15"/>
  <c r="S228" i="15"/>
  <c r="I228" i="15"/>
  <c r="AA227" i="15"/>
  <c r="R227" i="15"/>
  <c r="H227" i="15"/>
  <c r="I226" i="15"/>
  <c r="AV225" i="15"/>
  <c r="AO225" i="15"/>
  <c r="I225" i="15"/>
  <c r="H224" i="15"/>
  <c r="I223" i="15"/>
  <c r="H222" i="15"/>
  <c r="AB221" i="15"/>
  <c r="S221" i="15"/>
  <c r="I221" i="15"/>
  <c r="H220" i="15"/>
  <c r="I219" i="15"/>
  <c r="AW218" i="15"/>
  <c r="AJ218" i="15"/>
  <c r="AA218" i="15"/>
  <c r="R218" i="15"/>
  <c r="H218" i="15"/>
  <c r="S217" i="15"/>
  <c r="I217" i="15"/>
  <c r="AV216" i="15"/>
  <c r="AO216" i="15"/>
  <c r="AJ216" i="15"/>
  <c r="AA216" i="15"/>
  <c r="R216" i="15"/>
  <c r="H216" i="15"/>
  <c r="I215" i="15"/>
  <c r="H214" i="15"/>
  <c r="I213" i="15"/>
  <c r="AA212" i="15"/>
  <c r="R212" i="15"/>
  <c r="H212" i="15"/>
  <c r="AB211" i="15"/>
  <c r="I211" i="15"/>
  <c r="AA210" i="15"/>
  <c r="R210" i="15"/>
  <c r="H210" i="15"/>
  <c r="I209" i="15"/>
  <c r="H208" i="15"/>
  <c r="I207" i="15"/>
  <c r="H206" i="15"/>
  <c r="I205" i="15"/>
  <c r="H204" i="15"/>
  <c r="AB203" i="15"/>
  <c r="S203" i="15"/>
  <c r="I203" i="15"/>
  <c r="H199" i="15"/>
  <c r="I198" i="15"/>
  <c r="H197" i="15"/>
  <c r="I196" i="15"/>
  <c r="AB194" i="15"/>
  <c r="AO193" i="15"/>
  <c r="AB193" i="15"/>
  <c r="AO192" i="15"/>
  <c r="AB192" i="15"/>
  <c r="AO191" i="15"/>
  <c r="AB191" i="15"/>
  <c r="S191" i="15"/>
  <c r="I191" i="15"/>
  <c r="AA190" i="15"/>
  <c r="R190" i="15"/>
  <c r="H190" i="15"/>
  <c r="AB189" i="15"/>
  <c r="S189" i="15"/>
  <c r="I189" i="15"/>
  <c r="AO188" i="15"/>
  <c r="AB188" i="15"/>
  <c r="S188" i="15"/>
  <c r="I188" i="15"/>
  <c r="H187" i="15"/>
  <c r="I186" i="15"/>
  <c r="AA185" i="15"/>
  <c r="H185" i="15"/>
  <c r="AB184" i="15"/>
  <c r="I184" i="15"/>
  <c r="AA183" i="15"/>
  <c r="R183" i="15"/>
  <c r="H183" i="15"/>
  <c r="I182" i="15"/>
  <c r="AA181" i="15"/>
  <c r="H181" i="15"/>
  <c r="AW180" i="15"/>
  <c r="AP180" i="15"/>
  <c r="AB180" i="15"/>
  <c r="I180" i="15"/>
  <c r="AA179" i="15"/>
  <c r="R179" i="15"/>
  <c r="H179" i="15"/>
  <c r="I178" i="15"/>
  <c r="AV177" i="15"/>
  <c r="I177" i="15"/>
  <c r="H176" i="15"/>
  <c r="I175" i="15"/>
  <c r="H174" i="15"/>
  <c r="AB173" i="15"/>
  <c r="I173" i="15"/>
  <c r="AW170" i="15"/>
  <c r="AJ170" i="15"/>
  <c r="AA170" i="15"/>
  <c r="R170" i="15"/>
  <c r="H170" i="15"/>
  <c r="AW168" i="15"/>
  <c r="AP168" i="15"/>
  <c r="AI168" i="15"/>
  <c r="AB168" i="15"/>
  <c r="S168" i="15"/>
  <c r="I168" i="15"/>
  <c r="H167" i="15"/>
  <c r="I166" i="15"/>
  <c r="H165" i="15"/>
  <c r="AB164" i="15"/>
  <c r="S164" i="15"/>
  <c r="I164" i="15"/>
  <c r="AA163" i="15"/>
  <c r="H163" i="15"/>
  <c r="AB162" i="15"/>
  <c r="S162" i="15"/>
  <c r="I162" i="15"/>
  <c r="H161" i="15"/>
  <c r="I160" i="15"/>
  <c r="H159" i="15"/>
  <c r="I158" i="15"/>
  <c r="H157" i="15"/>
  <c r="I156" i="15"/>
  <c r="AA155" i="15"/>
  <c r="R155" i="15"/>
  <c r="H155" i="15"/>
  <c r="AB151" i="15"/>
  <c r="S151" i="15"/>
  <c r="I151" i="15"/>
  <c r="H150" i="15"/>
  <c r="I149" i="15"/>
  <c r="H148" i="15"/>
  <c r="I147" i="15"/>
  <c r="AB145" i="15"/>
  <c r="AO144" i="15"/>
  <c r="AB144" i="15"/>
  <c r="AO143" i="15"/>
  <c r="AB143" i="15"/>
  <c r="AO142" i="15"/>
  <c r="AB142" i="15"/>
  <c r="S142" i="15"/>
  <c r="I142" i="15"/>
  <c r="AA141" i="15"/>
  <c r="R141" i="15"/>
  <c r="H141" i="15"/>
  <c r="AB140" i="15"/>
  <c r="S140" i="15"/>
  <c r="I140" i="15"/>
  <c r="AO139" i="15"/>
  <c r="AB139" i="15"/>
  <c r="S139" i="15"/>
  <c r="I139" i="15"/>
  <c r="I138" i="15"/>
  <c r="H137" i="15"/>
  <c r="AB136" i="15"/>
  <c r="I136" i="15"/>
  <c r="AA135" i="15"/>
  <c r="H135" i="15"/>
  <c r="AB134" i="15"/>
  <c r="S134" i="15"/>
  <c r="I134" i="15"/>
  <c r="H133" i="15"/>
  <c r="AB132" i="15"/>
  <c r="I132" i="15"/>
  <c r="AV131" i="15"/>
  <c r="AO131" i="15"/>
  <c r="AJ131" i="15"/>
  <c r="AA131" i="15"/>
  <c r="R131" i="15"/>
  <c r="H131" i="15"/>
  <c r="AB130" i="15"/>
  <c r="S130" i="15"/>
  <c r="I130" i="15"/>
  <c r="H129" i="15"/>
  <c r="AW128" i="15"/>
  <c r="AP128" i="15"/>
  <c r="H128" i="15"/>
  <c r="I127" i="15"/>
  <c r="H126" i="15"/>
  <c r="I125" i="15"/>
  <c r="AA124" i="15"/>
  <c r="R124" i="15"/>
  <c r="H124" i="15"/>
  <c r="I123" i="15"/>
  <c r="H122" i="15"/>
  <c r="AV121" i="15"/>
  <c r="AI121" i="15"/>
  <c r="AB121" i="15"/>
  <c r="S121" i="15"/>
  <c r="I121" i="15"/>
  <c r="R120" i="15"/>
  <c r="H120" i="15"/>
  <c r="AW119" i="15"/>
  <c r="AP119" i="15"/>
  <c r="AI119" i="15"/>
  <c r="AB119" i="15"/>
  <c r="S119" i="15"/>
  <c r="I119" i="15"/>
  <c r="H118" i="15"/>
  <c r="I117" i="15"/>
  <c r="H116" i="15"/>
  <c r="AB115" i="15"/>
  <c r="S115" i="15"/>
  <c r="I115" i="15"/>
  <c r="AA114" i="15"/>
  <c r="H114" i="15"/>
  <c r="AB113" i="15"/>
  <c r="S113" i="15"/>
  <c r="I113" i="15"/>
  <c r="H112" i="15"/>
  <c r="I111" i="15"/>
  <c r="H110" i="15"/>
  <c r="I109" i="15"/>
  <c r="H108" i="15"/>
  <c r="I107" i="15"/>
  <c r="AA106" i="15"/>
  <c r="R106" i="15"/>
  <c r="H106" i="15"/>
  <c r="AB102" i="15"/>
  <c r="S102" i="15"/>
  <c r="I102" i="15"/>
  <c r="H101" i="15"/>
  <c r="I100" i="15"/>
  <c r="H99" i="15"/>
  <c r="I98" i="15"/>
  <c r="AB96" i="15"/>
  <c r="AO95" i="15"/>
  <c r="AB95" i="15"/>
  <c r="AO94" i="15"/>
  <c r="AB94" i="15"/>
  <c r="AO93" i="15"/>
  <c r="AB93" i="15"/>
  <c r="S93" i="15"/>
  <c r="I93" i="15"/>
  <c r="AA92" i="15"/>
  <c r="R92" i="15"/>
  <c r="H92" i="15"/>
  <c r="AB91" i="15"/>
  <c r="S91" i="15"/>
  <c r="I91" i="15"/>
  <c r="AO90" i="15"/>
  <c r="AB90" i="15"/>
  <c r="S90" i="15"/>
  <c r="I90" i="15"/>
  <c r="I89" i="15"/>
  <c r="H88" i="15"/>
  <c r="AB87" i="15"/>
  <c r="I87" i="15"/>
  <c r="AA86" i="15"/>
  <c r="H86" i="15"/>
  <c r="AB85" i="15"/>
  <c r="S85" i="15"/>
  <c r="I85" i="15"/>
  <c r="H84" i="15"/>
  <c r="AB83" i="15"/>
  <c r="I83" i="15"/>
  <c r="AV82" i="15"/>
  <c r="AO82" i="15"/>
  <c r="AJ82" i="15"/>
  <c r="AA82" i="15"/>
  <c r="R82" i="15"/>
  <c r="H82" i="15"/>
  <c r="AB81" i="15"/>
  <c r="S81" i="15"/>
  <c r="I81" i="15"/>
  <c r="H80" i="15"/>
  <c r="AW79" i="15"/>
  <c r="AP79" i="15"/>
  <c r="H79" i="15"/>
  <c r="I78" i="15"/>
  <c r="H77" i="15"/>
  <c r="I76" i="15"/>
  <c r="AA75" i="15"/>
  <c r="R75" i="15"/>
  <c r="H75" i="15"/>
  <c r="I74" i="15"/>
  <c r="H73" i="15"/>
  <c r="AV72" i="15"/>
  <c r="AI72" i="15"/>
  <c r="AB72" i="15"/>
  <c r="S72" i="15"/>
  <c r="I72" i="15"/>
  <c r="R71" i="15"/>
  <c r="H71" i="15"/>
  <c r="AW70" i="15"/>
  <c r="AP70" i="15"/>
  <c r="AI70" i="15"/>
  <c r="AB70" i="15"/>
  <c r="S70" i="15"/>
  <c r="I70" i="15"/>
  <c r="H69" i="15"/>
  <c r="I68" i="15"/>
  <c r="H67" i="15"/>
  <c r="AB66" i="15"/>
  <c r="S66" i="15"/>
  <c r="I66" i="15"/>
  <c r="AA65" i="15"/>
  <c r="H65" i="15"/>
  <c r="AB64" i="15"/>
  <c r="S64" i="15"/>
  <c r="I64" i="15"/>
  <c r="H63" i="15"/>
  <c r="I62" i="15"/>
  <c r="H61" i="15"/>
  <c r="I60" i="15"/>
  <c r="H59" i="15"/>
  <c r="I58" i="15"/>
  <c r="AA57" i="15"/>
  <c r="R57" i="15"/>
  <c r="H57" i="15"/>
  <c r="AB53" i="15"/>
  <c r="S53" i="15"/>
  <c r="I53" i="15"/>
  <c r="H52" i="15"/>
  <c r="I51" i="15"/>
  <c r="H50" i="15"/>
  <c r="I49" i="15"/>
  <c r="AB47" i="15"/>
  <c r="AO46" i="15"/>
  <c r="AB46" i="15"/>
  <c r="AO45" i="15"/>
  <c r="AB45" i="15"/>
  <c r="AO44" i="15"/>
  <c r="AB44" i="15"/>
  <c r="S44" i="15"/>
  <c r="I44" i="15"/>
  <c r="AA43" i="15"/>
  <c r="R43" i="15"/>
  <c r="H43" i="15"/>
  <c r="AB42" i="15"/>
  <c r="S42" i="15"/>
  <c r="I42" i="15"/>
  <c r="AO41" i="15"/>
  <c r="AB41" i="15"/>
  <c r="S41" i="15"/>
  <c r="H41" i="15"/>
  <c r="I40" i="15"/>
  <c r="H39" i="15"/>
  <c r="AB38" i="15"/>
  <c r="H38" i="15"/>
  <c r="AB37" i="15"/>
  <c r="H37" i="15"/>
  <c r="AB36" i="15"/>
  <c r="S36" i="15"/>
  <c r="I36" i="15"/>
  <c r="I35" i="15"/>
  <c r="AA34" i="15"/>
  <c r="H34" i="15"/>
  <c r="AW33" i="15"/>
  <c r="AP33" i="15"/>
  <c r="AI33" i="15"/>
  <c r="AB33" i="15"/>
  <c r="S33" i="15"/>
  <c r="I33" i="15"/>
  <c r="AA32" i="15"/>
  <c r="R32" i="15"/>
  <c r="H32" i="15"/>
  <c r="H31" i="15"/>
  <c r="AV30" i="15"/>
  <c r="AO30" i="15"/>
  <c r="I30" i="15"/>
  <c r="I29" i="15"/>
  <c r="I28" i="15"/>
  <c r="I27" i="15"/>
  <c r="AB26" i="15"/>
  <c r="S26" i="15"/>
  <c r="I26" i="15"/>
  <c r="H25" i="15"/>
  <c r="H24" i="15"/>
  <c r="AW23" i="15"/>
  <c r="AJ23" i="15"/>
  <c r="AA23" i="15"/>
  <c r="R23" i="15"/>
  <c r="H23" i="15"/>
  <c r="R22" i="15"/>
  <c r="I22" i="15"/>
  <c r="AW21" i="15"/>
  <c r="AP21" i="15"/>
  <c r="AI21" i="15"/>
  <c r="AB21" i="15"/>
  <c r="S21" i="15"/>
  <c r="I21" i="15"/>
  <c r="I20" i="15"/>
  <c r="I19" i="15"/>
  <c r="I18" i="15"/>
  <c r="AB17" i="15"/>
  <c r="S17" i="15"/>
  <c r="I17" i="15"/>
  <c r="AB16" i="15"/>
  <c r="I16" i="15"/>
  <c r="AB15" i="15"/>
  <c r="S15" i="15"/>
  <c r="I15" i="15"/>
  <c r="I14" i="15"/>
  <c r="I13" i="15"/>
  <c r="I12" i="15"/>
  <c r="I11" i="15"/>
  <c r="H10" i="15"/>
  <c r="H9" i="15"/>
  <c r="AA8" i="15"/>
  <c r="R8" i="15"/>
  <c r="H8" i="15"/>
  <c r="AI180" i="15"/>
  <c r="S180" i="15"/>
  <c r="AO177" i="15"/>
  <c r="S173" i="15"/>
  <c r="H172" i="15"/>
  <c r="I171" i="15"/>
  <c r="S169" i="15"/>
  <c r="I169" i="15"/>
  <c r="AV168" i="15"/>
  <c r="AO168" i="15"/>
  <c r="AJ168" i="15"/>
  <c r="AA168" i="15"/>
  <c r="R168" i="15"/>
  <c r="H168" i="15"/>
  <c r="I167" i="15"/>
  <c r="H166" i="15"/>
  <c r="I165" i="15"/>
  <c r="AA164" i="15"/>
  <c r="R164" i="15"/>
  <c r="H164" i="15"/>
  <c r="AB163" i="15"/>
  <c r="I163" i="15"/>
  <c r="AA162" i="15"/>
  <c r="R162" i="15"/>
  <c r="H162" i="15"/>
  <c r="I161" i="15"/>
  <c r="H160" i="15"/>
  <c r="I159" i="15"/>
  <c r="H158" i="15"/>
  <c r="I157" i="15"/>
  <c r="H156" i="15"/>
  <c r="AB155" i="15"/>
  <c r="S155" i="15"/>
  <c r="I155" i="15"/>
  <c r="AA151" i="15"/>
  <c r="R151" i="15"/>
  <c r="H151" i="15"/>
  <c r="I150" i="15"/>
  <c r="H149" i="15"/>
  <c r="I148" i="15"/>
  <c r="H147" i="15"/>
  <c r="AA145" i="15"/>
  <c r="AP144" i="15"/>
  <c r="AA144" i="15"/>
  <c r="AP143" i="15"/>
  <c r="AA143" i="15"/>
  <c r="AP142" i="15"/>
  <c r="AA142" i="15"/>
  <c r="R142" i="15"/>
  <c r="H142" i="15"/>
  <c r="AB141" i="15"/>
  <c r="S141" i="15"/>
  <c r="I141" i="15"/>
  <c r="AA140" i="15"/>
  <c r="R140" i="15"/>
  <c r="H140" i="15"/>
  <c r="AP139" i="15"/>
  <c r="AA139" i="15"/>
  <c r="R139" i="15"/>
  <c r="H139" i="15"/>
  <c r="H138" i="15"/>
  <c r="I137" i="15"/>
  <c r="AA136" i="15"/>
  <c r="H136" i="15"/>
  <c r="AB135" i="15"/>
  <c r="I135" i="15"/>
  <c r="AA134" i="15"/>
  <c r="R134" i="15"/>
  <c r="H134" i="15"/>
  <c r="I133" i="15"/>
  <c r="AA132" i="15"/>
  <c r="H132" i="15"/>
  <c r="AW131" i="15"/>
  <c r="AP131" i="15"/>
  <c r="AI131" i="15"/>
  <c r="AB131" i="15"/>
  <c r="S131" i="15"/>
  <c r="I131" i="15"/>
  <c r="AA130" i="15"/>
  <c r="R130" i="15"/>
  <c r="H130" i="15"/>
  <c r="I129" i="15"/>
  <c r="AV128" i="15"/>
  <c r="AO128" i="15"/>
  <c r="I128" i="15"/>
  <c r="H127" i="15"/>
  <c r="I126" i="15"/>
  <c r="H125" i="15"/>
  <c r="AB124" i="15"/>
  <c r="S124" i="15"/>
  <c r="I124" i="15"/>
  <c r="H123" i="15"/>
  <c r="I122" i="15"/>
  <c r="AW121" i="15"/>
  <c r="AJ121" i="15"/>
  <c r="AA121" i="15"/>
  <c r="R121" i="15"/>
  <c r="H121" i="15"/>
  <c r="S120" i="15"/>
  <c r="I120" i="15"/>
  <c r="AV119" i="15"/>
  <c r="AO119" i="15"/>
  <c r="AJ119" i="15"/>
  <c r="AA119" i="15"/>
  <c r="R119" i="15"/>
  <c r="H119" i="15"/>
  <c r="I118" i="15"/>
  <c r="H117" i="15"/>
  <c r="I116" i="15"/>
  <c r="AA115" i="15"/>
  <c r="R115" i="15"/>
  <c r="H115" i="15"/>
  <c r="AB114" i="15"/>
  <c r="I114" i="15"/>
  <c r="AA113" i="15"/>
  <c r="R113" i="15"/>
  <c r="H113" i="15"/>
  <c r="I112" i="15"/>
  <c r="H111" i="15"/>
  <c r="I110" i="15"/>
  <c r="H109" i="15"/>
  <c r="I108" i="15"/>
  <c r="H107" i="15"/>
  <c r="AB106" i="15"/>
  <c r="I106" i="15"/>
  <c r="AA102" i="15"/>
  <c r="R102" i="15"/>
  <c r="H102" i="15"/>
  <c r="I101" i="15"/>
  <c r="H100" i="15"/>
  <c r="AA96" i="15"/>
  <c r="AA95" i="15"/>
  <c r="AA94" i="15"/>
  <c r="S92" i="15"/>
  <c r="AA91" i="15"/>
  <c r="AP90" i="15"/>
  <c r="R90" i="15"/>
  <c r="H90" i="15"/>
  <c r="H89" i="15"/>
  <c r="I88" i="15"/>
  <c r="H87" i="15"/>
  <c r="I84" i="15"/>
  <c r="AI82" i="15"/>
  <c r="S82" i="15"/>
  <c r="AO79" i="15"/>
  <c r="S75" i="15"/>
  <c r="H74" i="15"/>
  <c r="I73" i="15"/>
  <c r="S71" i="15"/>
  <c r="I71" i="15"/>
  <c r="AV70" i="15"/>
  <c r="I65" i="15"/>
  <c r="AA64" i="15"/>
  <c r="S57" i="15"/>
  <c r="I50" i="15"/>
  <c r="H49" i="15"/>
  <c r="AP46" i="15"/>
  <c r="AP45" i="15"/>
  <c r="AP44" i="15"/>
  <c r="AA44" i="15"/>
  <c r="R44" i="15"/>
  <c r="H44" i="15"/>
  <c r="AB43" i="15"/>
  <c r="I43" i="15"/>
  <c r="R42" i="15"/>
  <c r="H42" i="15"/>
  <c r="AA41" i="15"/>
  <c r="AA38" i="15"/>
  <c r="AA37" i="15"/>
  <c r="AB34" i="15"/>
  <c r="AO33" i="15"/>
  <c r="AJ33" i="15"/>
  <c r="AA33" i="15"/>
  <c r="R33" i="15"/>
  <c r="H33" i="15"/>
  <c r="AB32" i="15"/>
  <c r="I32" i="15"/>
  <c r="I31" i="15"/>
  <c r="AW30" i="15"/>
  <c r="AP30" i="15"/>
  <c r="H30" i="15"/>
  <c r="H28" i="15"/>
  <c r="AA26" i="15"/>
  <c r="R26" i="15"/>
  <c r="H26" i="15"/>
  <c r="I25" i="15"/>
  <c r="I24" i="15"/>
  <c r="AV23" i="15"/>
  <c r="AB23" i="15"/>
  <c r="I23" i="15"/>
  <c r="H22" i="15"/>
  <c r="AO21" i="15"/>
  <c r="AJ21" i="15"/>
  <c r="AA21" i="15"/>
  <c r="R21" i="15"/>
  <c r="H21" i="15"/>
  <c r="H19" i="15"/>
  <c r="AA17" i="15"/>
  <c r="R17" i="15"/>
  <c r="H17" i="15"/>
  <c r="AA15" i="15"/>
  <c r="H14" i="15"/>
  <c r="H12" i="15"/>
  <c r="I10" i="15"/>
  <c r="AB8" i="15"/>
  <c r="I8" i="15"/>
  <c r="S106" i="15"/>
  <c r="I99" i="15"/>
  <c r="H98" i="15"/>
  <c r="AP95" i="15"/>
  <c r="AP94" i="15"/>
  <c r="AP93" i="15"/>
  <c r="AA93" i="15"/>
  <c r="R93" i="15"/>
  <c r="H93" i="15"/>
  <c r="AB92" i="15"/>
  <c r="I92" i="15"/>
  <c r="R91" i="15"/>
  <c r="H91" i="15"/>
  <c r="AA90" i="15"/>
  <c r="AA87" i="15"/>
  <c r="AB86" i="15"/>
  <c r="I86" i="15"/>
  <c r="AA85" i="15"/>
  <c r="R85" i="15"/>
  <c r="H85" i="15"/>
  <c r="AA83" i="15"/>
  <c r="H83" i="15"/>
  <c r="AW82" i="15"/>
  <c r="AP82" i="15"/>
  <c r="AB82" i="15"/>
  <c r="I82" i="15"/>
  <c r="AA81" i="15"/>
  <c r="R81" i="15"/>
  <c r="H81" i="15"/>
  <c r="I80" i="15"/>
  <c r="AV79" i="15"/>
  <c r="I79" i="15"/>
  <c r="H78" i="15"/>
  <c r="I77" i="15"/>
  <c r="H76" i="15"/>
  <c r="AB75" i="15"/>
  <c r="I75" i="15"/>
  <c r="AW72" i="15"/>
  <c r="AJ72" i="15"/>
  <c r="AA72" i="15"/>
  <c r="R72" i="15"/>
  <c r="H72" i="15"/>
  <c r="AO70" i="15"/>
  <c r="AJ70" i="15"/>
  <c r="AA70" i="15"/>
  <c r="R70" i="15"/>
  <c r="H70" i="15"/>
  <c r="I69" i="15"/>
  <c r="H68" i="15"/>
  <c r="I67" i="15"/>
  <c r="AA66" i="15"/>
  <c r="R66" i="15"/>
  <c r="H66" i="15"/>
  <c r="AB65" i="15"/>
  <c r="R64" i="15"/>
  <c r="H64" i="15"/>
  <c r="I63" i="15"/>
  <c r="H62" i="15"/>
  <c r="I61" i="15"/>
  <c r="H60" i="15"/>
  <c r="I59" i="15"/>
  <c r="H58" i="15"/>
  <c r="AB57" i="15"/>
  <c r="I57" i="15"/>
  <c r="AA53" i="15"/>
  <c r="R53" i="15"/>
  <c r="H53" i="15"/>
  <c r="I52" i="15"/>
  <c r="H51" i="15"/>
  <c r="AA47" i="15"/>
  <c r="AA46" i="15"/>
  <c r="AA45" i="15"/>
  <c r="S43" i="15"/>
  <c r="AA42" i="15"/>
  <c r="AP41" i="15"/>
  <c r="R41" i="15"/>
  <c r="I41" i="15"/>
  <c r="H40" i="15"/>
  <c r="I39" i="15"/>
  <c r="I38" i="15"/>
  <c r="I37" i="15"/>
  <c r="AA36" i="15"/>
  <c r="R36" i="15"/>
  <c r="H36" i="15"/>
  <c r="H35" i="15"/>
  <c r="I34" i="15"/>
  <c r="AV33" i="15"/>
  <c r="S32" i="15"/>
  <c r="H29" i="15"/>
  <c r="H27" i="15"/>
  <c r="AI23" i="15"/>
  <c r="S23" i="15"/>
  <c r="S22" i="15"/>
  <c r="AV21" i="15"/>
  <c r="H20" i="15"/>
  <c r="H18" i="15"/>
  <c r="AA16" i="15"/>
  <c r="H16" i="15"/>
  <c r="R15" i="15"/>
  <c r="H15" i="15"/>
  <c r="H13" i="15"/>
  <c r="H11" i="15"/>
  <c r="I9" i="15"/>
  <c r="S8" i="15"/>
  <c r="BD378" i="4"/>
  <c r="BD375" i="4"/>
  <c r="BD373" i="4"/>
  <c r="BD371" i="4"/>
  <c r="BD369" i="4"/>
  <c r="BD367" i="4"/>
  <c r="BD365" i="4"/>
  <c r="BD363" i="4"/>
  <c r="BD361" i="4"/>
  <c r="BD359" i="4"/>
  <c r="BD357" i="4"/>
  <c r="BD355" i="4"/>
  <c r="BD353" i="4"/>
  <c r="BD351" i="4"/>
  <c r="BD349" i="4"/>
  <c r="BD347" i="4"/>
  <c r="BD345" i="4"/>
  <c r="BD343" i="4"/>
  <c r="BD341" i="4"/>
  <c r="BD339" i="4"/>
  <c r="BD337" i="4"/>
  <c r="BD335" i="4"/>
  <c r="BD333" i="4"/>
  <c r="BD331" i="4"/>
  <c r="BD329" i="4"/>
  <c r="BD327" i="4"/>
  <c r="BD325" i="4"/>
  <c r="BD323" i="4"/>
  <c r="BD321" i="4"/>
  <c r="BD319" i="4"/>
  <c r="BD317" i="4"/>
  <c r="BD315" i="4"/>
  <c r="BD313" i="4"/>
  <c r="BD311" i="4"/>
  <c r="BD309" i="4"/>
  <c r="BD307" i="4"/>
  <c r="BD305" i="4"/>
  <c r="BD303" i="4"/>
  <c r="BD301" i="4"/>
  <c r="BD299" i="4"/>
  <c r="BD297" i="4"/>
  <c r="BD295" i="4"/>
  <c r="BD293" i="4"/>
  <c r="BD291" i="4"/>
  <c r="BD289" i="4"/>
  <c r="BD287" i="4"/>
  <c r="BD285" i="4"/>
  <c r="BD283" i="4"/>
  <c r="BD281" i="4"/>
  <c r="BD279" i="4"/>
  <c r="BD277" i="4"/>
  <c r="BD275" i="4"/>
  <c r="BD273" i="4"/>
  <c r="BD271" i="4"/>
  <c r="BD269" i="4"/>
  <c r="BD267" i="4"/>
  <c r="BD265" i="4"/>
  <c r="BD263" i="4"/>
  <c r="BD261" i="4"/>
  <c r="BD259" i="4"/>
  <c r="BD257" i="4"/>
  <c r="BD255" i="4"/>
  <c r="BD253" i="4"/>
  <c r="BD251" i="4"/>
  <c r="BD249" i="4"/>
  <c r="BD247" i="4"/>
  <c r="BD245" i="4"/>
  <c r="BD243" i="4"/>
  <c r="BD241" i="4"/>
  <c r="BD239" i="4"/>
  <c r="BD237" i="4"/>
  <c r="BD235" i="4"/>
  <c r="BD233" i="4"/>
  <c r="BD231" i="4"/>
  <c r="BD229" i="4"/>
  <c r="BD227" i="4"/>
  <c r="BD225" i="4"/>
  <c r="BD223" i="4"/>
  <c r="BD221" i="4"/>
  <c r="BD219" i="4"/>
  <c r="BD217" i="4"/>
  <c r="BD215" i="4"/>
  <c r="BD213" i="4"/>
  <c r="BD211" i="4"/>
  <c r="BD209" i="4"/>
  <c r="BD207" i="4"/>
  <c r="BD205" i="4"/>
  <c r="BD203" i="4"/>
  <c r="BD201" i="4"/>
  <c r="BD199" i="4"/>
  <c r="BD197" i="4"/>
  <c r="BD195" i="4"/>
  <c r="BD193" i="4"/>
  <c r="BD191" i="4"/>
  <c r="BD189" i="4"/>
  <c r="BD187" i="4"/>
  <c r="BD185" i="4"/>
  <c r="BD183" i="4"/>
  <c r="BD181" i="4"/>
  <c r="BD179" i="4"/>
  <c r="BD177" i="4"/>
  <c r="BD175" i="4"/>
  <c r="BD173" i="4"/>
  <c r="BD171" i="4"/>
  <c r="BD169" i="4"/>
  <c r="BD167" i="4"/>
  <c r="BD165" i="4"/>
  <c r="BD163" i="4"/>
  <c r="BD161" i="4"/>
  <c r="BD159" i="4"/>
  <c r="BD157" i="4"/>
  <c r="BD155" i="4"/>
  <c r="BD153" i="4"/>
  <c r="BD151" i="4"/>
  <c r="BD149" i="4"/>
  <c r="BD147" i="4"/>
  <c r="BD145" i="4"/>
  <c r="BD143" i="4"/>
  <c r="BD141" i="4"/>
  <c r="BD139" i="4"/>
  <c r="BD137" i="4"/>
  <c r="BD135" i="4"/>
  <c r="BD133" i="4"/>
  <c r="BD131" i="4"/>
  <c r="BD129" i="4"/>
  <c r="BD127" i="4"/>
  <c r="BD125" i="4"/>
  <c r="BD123" i="4"/>
  <c r="BD121" i="4"/>
  <c r="BD377" i="4"/>
  <c r="BD370" i="4"/>
  <c r="BD368" i="4"/>
  <c r="BD366" i="4"/>
  <c r="BD364" i="4"/>
  <c r="BD356" i="4"/>
  <c r="BD354" i="4"/>
  <c r="BD352" i="4"/>
  <c r="BD350" i="4"/>
  <c r="BD342" i="4"/>
  <c r="BD340" i="4"/>
  <c r="BD338" i="4"/>
  <c r="BD336" i="4"/>
  <c r="BD328" i="4"/>
  <c r="BD326" i="4"/>
  <c r="BD324" i="4"/>
  <c r="BD322" i="4"/>
  <c r="BD314" i="4"/>
  <c r="BD312" i="4"/>
  <c r="BD310" i="4"/>
  <c r="BD308" i="4"/>
  <c r="BD300" i="4"/>
  <c r="BD298" i="4"/>
  <c r="BD296" i="4"/>
  <c r="BD294" i="4"/>
  <c r="BD292" i="4"/>
  <c r="BD290" i="4"/>
  <c r="BD288" i="4"/>
  <c r="BD272" i="4"/>
  <c r="BD270" i="4"/>
  <c r="BD268" i="4"/>
  <c r="BD266" i="4"/>
  <c r="BD264" i="4"/>
  <c r="BD262" i="4"/>
  <c r="BD260" i="4"/>
  <c r="BD244" i="4"/>
  <c r="BD242" i="4"/>
  <c r="BD240" i="4"/>
  <c r="BD238" i="4"/>
  <c r="BD236" i="4"/>
  <c r="BD234" i="4"/>
  <c r="BD232" i="4"/>
  <c r="BD216" i="4"/>
  <c r="BD214" i="4"/>
  <c r="BD212" i="4"/>
  <c r="BD210" i="4"/>
  <c r="BD208" i="4"/>
  <c r="BD206" i="4"/>
  <c r="BD204" i="4"/>
  <c r="BD188" i="4"/>
  <c r="BD186" i="4"/>
  <c r="BD184" i="4"/>
  <c r="BD182" i="4"/>
  <c r="BD174" i="4"/>
  <c r="BD172" i="4"/>
  <c r="BD170" i="4"/>
  <c r="BD168" i="4"/>
  <c r="BD166" i="4"/>
  <c r="BD164" i="4"/>
  <c r="BD162" i="4"/>
  <c r="BD146" i="4"/>
  <c r="BD144" i="4"/>
  <c r="BD142" i="4"/>
  <c r="BD140" i="4"/>
  <c r="BD138" i="4"/>
  <c r="BD136" i="4"/>
  <c r="BD134" i="4"/>
  <c r="BD119" i="4"/>
  <c r="BD117" i="4"/>
  <c r="BD115" i="4"/>
  <c r="BD113" i="4"/>
  <c r="BD111" i="4"/>
  <c r="BD109" i="4"/>
  <c r="BD107" i="4"/>
  <c r="BD105" i="4"/>
  <c r="BD103" i="4"/>
  <c r="BD101" i="4"/>
  <c r="BD99" i="4"/>
  <c r="BD97" i="4"/>
  <c r="BD95" i="4"/>
  <c r="BD93" i="4"/>
  <c r="BD91" i="4"/>
  <c r="BD89" i="4"/>
  <c r="BD87" i="4"/>
  <c r="BD85" i="4"/>
  <c r="BD83" i="4"/>
  <c r="BD81" i="4"/>
  <c r="BD79" i="4"/>
  <c r="BD77" i="4"/>
  <c r="BD75" i="4"/>
  <c r="BD73" i="4"/>
  <c r="BD71" i="4"/>
  <c r="BD69" i="4"/>
  <c r="BD67" i="4"/>
  <c r="BD65" i="4"/>
  <c r="BD63" i="4"/>
  <c r="BD61" i="4"/>
  <c r="BD59" i="4"/>
  <c r="BD57" i="4"/>
  <c r="BD55" i="4"/>
  <c r="BD53" i="4"/>
  <c r="BD51" i="4"/>
  <c r="BD49" i="4"/>
  <c r="BD47" i="4"/>
  <c r="BD45" i="4"/>
  <c r="BD43" i="4"/>
  <c r="BD41" i="4"/>
  <c r="BD39" i="4"/>
  <c r="BD38" i="4"/>
  <c r="BD37" i="4"/>
  <c r="BD36" i="4"/>
  <c r="BD35" i="4"/>
  <c r="BD34" i="4"/>
  <c r="BD33" i="4"/>
  <c r="BD32" i="4"/>
  <c r="BD31" i="4"/>
  <c r="BD30" i="4"/>
  <c r="BD29" i="4"/>
  <c r="BD28" i="4"/>
  <c r="BD27" i="4"/>
  <c r="BD26" i="4"/>
  <c r="BD25" i="4"/>
  <c r="BD24" i="4"/>
  <c r="BD23" i="4"/>
  <c r="BD22" i="4"/>
  <c r="BD21" i="4"/>
  <c r="BD20" i="4"/>
  <c r="BD19" i="4"/>
  <c r="BD18" i="4"/>
  <c r="BD17" i="4"/>
  <c r="BD16" i="4"/>
  <c r="BD15" i="4"/>
  <c r="BD14" i="4"/>
  <c r="BD376" i="4"/>
  <c r="BD374" i="4"/>
  <c r="BD372" i="4"/>
  <c r="BD362" i="4"/>
  <c r="BD360" i="4"/>
  <c r="BD358" i="4"/>
  <c r="BD348" i="4"/>
  <c r="BD346" i="4"/>
  <c r="BD344" i="4"/>
  <c r="BD334" i="4"/>
  <c r="BD332" i="4"/>
  <c r="BD330" i="4"/>
  <c r="BD320" i="4"/>
  <c r="BD318" i="4"/>
  <c r="BD316" i="4"/>
  <c r="BD306" i="4"/>
  <c r="BD304" i="4"/>
  <c r="BD302" i="4"/>
  <c r="BD286" i="4"/>
  <c r="BD284" i="4"/>
  <c r="BD282" i="4"/>
  <c r="BD280" i="4"/>
  <c r="BD278" i="4"/>
  <c r="BD276" i="4"/>
  <c r="BD274" i="4"/>
  <c r="BD258" i="4"/>
  <c r="BD256" i="4"/>
  <c r="BD254" i="4"/>
  <c r="BD252" i="4"/>
  <c r="BD250" i="4"/>
  <c r="BD248" i="4"/>
  <c r="BD246" i="4"/>
  <c r="BD230" i="4"/>
  <c r="BD228" i="4"/>
  <c r="BD226" i="4"/>
  <c r="BD224" i="4"/>
  <c r="BD222" i="4"/>
  <c r="BD220" i="4"/>
  <c r="BD218" i="4"/>
  <c r="BD202" i="4"/>
  <c r="BD200" i="4"/>
  <c r="BD198" i="4"/>
  <c r="BD196" i="4"/>
  <c r="BD194" i="4"/>
  <c r="BD192" i="4"/>
  <c r="BD190" i="4"/>
  <c r="BD180" i="4"/>
  <c r="BD178" i="4"/>
  <c r="BD176" i="4"/>
  <c r="BD160" i="4"/>
  <c r="BD158" i="4"/>
  <c r="BD156" i="4"/>
  <c r="BD154" i="4"/>
  <c r="BD152" i="4"/>
  <c r="BD150" i="4"/>
  <c r="BD148" i="4"/>
  <c r="BD132" i="4"/>
  <c r="BD130" i="4"/>
  <c r="BD128" i="4"/>
  <c r="BD126" i="4"/>
  <c r="BD124" i="4"/>
  <c r="BD122" i="4"/>
  <c r="BD120" i="4"/>
  <c r="BD118" i="4"/>
  <c r="BD116" i="4"/>
  <c r="BD114" i="4"/>
  <c r="BD112" i="4"/>
  <c r="BD110" i="4"/>
  <c r="BD108" i="4"/>
  <c r="BD106" i="4"/>
  <c r="BD104" i="4"/>
  <c r="BD102" i="4"/>
  <c r="BD100" i="4"/>
  <c r="BD98" i="4"/>
  <c r="BD96" i="4"/>
  <c r="BD94" i="4"/>
  <c r="BD92" i="4"/>
  <c r="BD90" i="4"/>
  <c r="BD88" i="4"/>
  <c r="BD86" i="4"/>
  <c r="BD84" i="4"/>
  <c r="BD82" i="4"/>
  <c r="BD80" i="4"/>
  <c r="BD78" i="4"/>
  <c r="BD76" i="4"/>
  <c r="BD74" i="4"/>
  <c r="BD72" i="4"/>
  <c r="BD70" i="4"/>
  <c r="BD68" i="4"/>
  <c r="BD66" i="4"/>
  <c r="BD64" i="4"/>
  <c r="BD62" i="4"/>
  <c r="BD60" i="4"/>
  <c r="BD58" i="4"/>
  <c r="BD56" i="4"/>
  <c r="BD54" i="4"/>
  <c r="BD52" i="4"/>
  <c r="BD50" i="4"/>
  <c r="BD48" i="4"/>
  <c r="BD46" i="4"/>
  <c r="BD44" i="4"/>
  <c r="BD42" i="4"/>
  <c r="BD40" i="4"/>
  <c r="K344" i="15" l="1"/>
  <c r="K540" i="15"/>
  <c r="K295" i="15"/>
  <c r="K393" i="15"/>
  <c r="AZ51" i="15"/>
  <c r="K100" i="15"/>
  <c r="K149" i="15"/>
  <c r="K198" i="15"/>
  <c r="K246" i="15"/>
  <c r="K442" i="15"/>
  <c r="K491" i="15"/>
  <c r="AZ540" i="15"/>
  <c r="AZ589" i="15"/>
  <c r="AZ100" i="15"/>
  <c r="AZ149" i="15"/>
  <c r="AZ246" i="15"/>
  <c r="AZ295" i="15"/>
  <c r="AZ344" i="15"/>
  <c r="AZ393" i="15"/>
  <c r="AZ442" i="15"/>
  <c r="BB14" i="4"/>
  <c r="G384" i="3"/>
  <c r="G383" i="3"/>
  <c r="G382" i="3"/>
  <c r="G380" i="3"/>
  <c r="G388" i="3" s="1"/>
  <c r="G389" i="3" s="1"/>
  <c r="G381" i="3"/>
  <c r="K380" i="3"/>
  <c r="K388" i="3" s="1"/>
  <c r="K389" i="3" s="1"/>
  <c r="BA14" i="4"/>
  <c r="K384" i="3"/>
  <c r="K387" i="3" s="1"/>
  <c r="K383" i="3"/>
  <c r="K382" i="3"/>
  <c r="K381" i="3"/>
  <c r="O380" i="3"/>
  <c r="O388" i="3" s="1"/>
  <c r="O389" i="3" s="1"/>
  <c r="O385" i="3"/>
  <c r="O384" i="3"/>
  <c r="O383" i="3"/>
  <c r="O382" i="3"/>
  <c r="O381" i="3"/>
  <c r="S380" i="3"/>
  <c r="S388" i="3" s="1"/>
  <c r="S389" i="3" s="1"/>
  <c r="BC14" i="4"/>
  <c r="S384" i="3"/>
  <c r="S387" i="3" s="1"/>
  <c r="S383" i="3"/>
  <c r="S382" i="3"/>
  <c r="S381" i="3"/>
  <c r="AH384" i="3"/>
  <c r="AH380" i="3"/>
  <c r="AH388" i="3" s="1"/>
  <c r="AH389" i="3" s="1"/>
  <c r="AH383" i="3"/>
  <c r="AH382" i="3"/>
  <c r="AH381" i="3"/>
  <c r="AN384" i="3"/>
  <c r="AN383" i="3"/>
  <c r="AN382" i="3"/>
  <c r="AN381" i="3"/>
  <c r="AN380" i="3"/>
  <c r="AN388" i="3" s="1"/>
  <c r="AN389" i="3" s="1"/>
  <c r="AT384" i="3"/>
  <c r="AT383" i="3"/>
  <c r="AT382" i="3"/>
  <c r="AT381" i="3"/>
  <c r="AT380" i="3"/>
  <c r="AT388" i="3" s="1"/>
  <c r="AT389" i="3" s="1"/>
  <c r="AZ384" i="3"/>
  <c r="AZ383" i="3"/>
  <c r="AZ382" i="3"/>
  <c r="AZ381" i="3"/>
  <c r="AZ380" i="3"/>
  <c r="AZ388" i="3" s="1"/>
  <c r="AZ389" i="3" s="1"/>
  <c r="I65" i="8"/>
  <c r="O129" i="8" s="1"/>
  <c r="I64" i="8"/>
  <c r="O128" i="8" s="1"/>
  <c r="I63" i="8"/>
  <c r="O127" i="8" s="1"/>
  <c r="I62" i="8"/>
  <c r="O126" i="8" s="1"/>
  <c r="I61" i="8"/>
  <c r="O125" i="8" s="1"/>
  <c r="I60" i="8"/>
  <c r="O124" i="8" s="1"/>
  <c r="I59" i="8"/>
  <c r="O123" i="8" s="1"/>
  <c r="I58" i="8"/>
  <c r="O122" i="8" s="1"/>
  <c r="I57" i="8"/>
  <c r="O121" i="8" s="1"/>
  <c r="I56" i="8"/>
  <c r="O120" i="8" s="1"/>
  <c r="I55" i="8"/>
  <c r="O119" i="8" s="1"/>
  <c r="I54" i="8"/>
  <c r="BF384" i="3"/>
  <c r="BF383" i="3"/>
  <c r="BF382" i="3"/>
  <c r="BF381" i="3"/>
  <c r="BF380" i="3"/>
  <c r="BF388" i="3" s="1"/>
  <c r="BF389" i="3" s="1"/>
  <c r="V385" i="3"/>
  <c r="V384" i="3"/>
  <c r="V383" i="3"/>
  <c r="V382" i="3"/>
  <c r="V381" i="3"/>
  <c r="V380" i="3"/>
  <c r="V388" i="3" s="1"/>
  <c r="V389" i="3" s="1"/>
  <c r="BA16" i="4"/>
  <c r="L16" i="3"/>
  <c r="BC16" i="4"/>
  <c r="T16" i="3"/>
  <c r="BA18" i="4"/>
  <c r="L18" i="3"/>
  <c r="BC18" i="4"/>
  <c r="T18" i="3"/>
  <c r="BA20" i="4"/>
  <c r="L20" i="3"/>
  <c r="BC20" i="4"/>
  <c r="T20" i="3"/>
  <c r="BA22" i="4"/>
  <c r="L22" i="3"/>
  <c r="BC22" i="4"/>
  <c r="T22" i="3"/>
  <c r="BA24" i="4"/>
  <c r="L24" i="3"/>
  <c r="BC24" i="4"/>
  <c r="T24" i="3"/>
  <c r="BA26" i="4"/>
  <c r="L26" i="3"/>
  <c r="BC26" i="4"/>
  <c r="T26" i="3"/>
  <c r="BA28" i="4"/>
  <c r="L28" i="3"/>
  <c r="BC28" i="4"/>
  <c r="T28" i="3"/>
  <c r="BA30" i="4"/>
  <c r="L30" i="3"/>
  <c r="BC30" i="4"/>
  <c r="T30" i="3"/>
  <c r="BA32" i="4"/>
  <c r="L32" i="3"/>
  <c r="BC32" i="4"/>
  <c r="T32" i="3"/>
  <c r="BB34" i="4"/>
  <c r="H34" i="3"/>
  <c r="BB36" i="4"/>
  <c r="H36" i="3"/>
  <c r="BB38" i="4"/>
  <c r="H38" i="3"/>
  <c r="BB42" i="4"/>
  <c r="H42" i="3"/>
  <c r="BB44" i="4"/>
  <c r="H44" i="3"/>
  <c r="BB46" i="4"/>
  <c r="H46" i="3"/>
  <c r="BA48" i="4"/>
  <c r="L48" i="3"/>
  <c r="BC48" i="4"/>
  <c r="T48" i="3"/>
  <c r="BA50" i="4"/>
  <c r="L50" i="3"/>
  <c r="BC50" i="4"/>
  <c r="T50" i="3"/>
  <c r="BA52" i="4"/>
  <c r="L52" i="3"/>
  <c r="BC52" i="4"/>
  <c r="T52" i="3"/>
  <c r="BA56" i="4"/>
  <c r="L56" i="3"/>
  <c r="BC56" i="4"/>
  <c r="T56" i="3"/>
  <c r="BA58" i="4"/>
  <c r="L58" i="3"/>
  <c r="BC58" i="4"/>
  <c r="T58" i="3"/>
  <c r="BA60" i="4"/>
  <c r="L60" i="3"/>
  <c r="BC60" i="4"/>
  <c r="T60" i="3"/>
  <c r="BB62" i="4"/>
  <c r="H62" i="3"/>
  <c r="BB64" i="4"/>
  <c r="H64" i="3"/>
  <c r="BB66" i="4"/>
  <c r="H66" i="3"/>
  <c r="BB68" i="4"/>
  <c r="H68" i="3"/>
  <c r="BB70" i="4"/>
  <c r="H70" i="3"/>
  <c r="BB72" i="4"/>
  <c r="H72" i="3"/>
  <c r="BA76" i="4"/>
  <c r="L76" i="3"/>
  <c r="BC76" i="4"/>
  <c r="T76" i="3"/>
  <c r="BA78" i="4"/>
  <c r="L78" i="3"/>
  <c r="BC78" i="4"/>
  <c r="T78" i="3"/>
  <c r="BA80" i="4"/>
  <c r="L80" i="3"/>
  <c r="BC80" i="4"/>
  <c r="T80" i="3"/>
  <c r="BA82" i="4"/>
  <c r="L82" i="3"/>
  <c r="BC82" i="4"/>
  <c r="T82" i="3"/>
  <c r="BA84" i="4"/>
  <c r="L84" i="3"/>
  <c r="BC84" i="4"/>
  <c r="T84" i="3"/>
  <c r="BA86" i="4"/>
  <c r="L86" i="3"/>
  <c r="BC86" i="4"/>
  <c r="T86" i="3"/>
  <c r="BA88" i="4"/>
  <c r="L88" i="3"/>
  <c r="BC88" i="4"/>
  <c r="T88" i="3"/>
  <c r="BB90" i="4"/>
  <c r="H90" i="3"/>
  <c r="BB92" i="4"/>
  <c r="H92" i="3"/>
  <c r="BB94" i="4"/>
  <c r="H94" i="3"/>
  <c r="BB98" i="4"/>
  <c r="H98" i="3"/>
  <c r="BB100" i="4"/>
  <c r="H100" i="3"/>
  <c r="BB102" i="4"/>
  <c r="H102" i="3"/>
  <c r="BA104" i="4"/>
  <c r="L104" i="3"/>
  <c r="BC104" i="4"/>
  <c r="T104" i="3"/>
  <c r="BA106" i="4"/>
  <c r="L106" i="3"/>
  <c r="BC106" i="4"/>
  <c r="T106" i="3"/>
  <c r="BA108" i="4"/>
  <c r="L108" i="3"/>
  <c r="BC108" i="4"/>
  <c r="T108" i="3"/>
  <c r="BA112" i="4"/>
  <c r="L112" i="3"/>
  <c r="BC112" i="4"/>
  <c r="T112" i="3"/>
  <c r="G387" i="3"/>
  <c r="P384" i="3"/>
  <c r="P383" i="3"/>
  <c r="P382" i="3"/>
  <c r="P381" i="3"/>
  <c r="P380" i="3"/>
  <c r="P388" i="3" s="1"/>
  <c r="P389" i="3" s="1"/>
  <c r="AQ384" i="3"/>
  <c r="AQ381" i="3"/>
  <c r="AQ383" i="3"/>
  <c r="AQ382" i="3"/>
  <c r="AQ380" i="3"/>
  <c r="AQ388" i="3" s="1"/>
  <c r="AQ389" i="3" s="1"/>
  <c r="AW384" i="3"/>
  <c r="AW381" i="3"/>
  <c r="AW383" i="3"/>
  <c r="AW382" i="3"/>
  <c r="AW380" i="3"/>
  <c r="AW388" i="3" s="1"/>
  <c r="AW389" i="3" s="1"/>
  <c r="BC384" i="3"/>
  <c r="BC381" i="3"/>
  <c r="BC383" i="3"/>
  <c r="BC382" i="3"/>
  <c r="BC380" i="3"/>
  <c r="BC388" i="3" s="1"/>
  <c r="BC389" i="3" s="1"/>
  <c r="A16" i="3"/>
  <c r="A17" i="3" s="1"/>
  <c r="A18" i="3" s="1"/>
  <c r="A19" i="3" s="1"/>
  <c r="A20" i="3" s="1"/>
  <c r="AD383" i="3" a="1"/>
  <c r="AD383" i="3" s="1"/>
  <c r="AD382" i="3" a="1"/>
  <c r="AD382" i="3" s="1"/>
  <c r="AD380" i="3"/>
  <c r="AD381" i="3"/>
  <c r="AE15" i="3"/>
  <c r="BB16" i="4"/>
  <c r="H16" i="3"/>
  <c r="H381" i="3" s="1"/>
  <c r="BB18" i="4"/>
  <c r="H18" i="3"/>
  <c r="BB20" i="4"/>
  <c r="H20" i="3"/>
  <c r="BB22" i="4"/>
  <c r="H22" i="3"/>
  <c r="BB24" i="4"/>
  <c r="H24" i="3"/>
  <c r="BB26" i="4"/>
  <c r="H26" i="3"/>
  <c r="BB28" i="4"/>
  <c r="H28" i="3"/>
  <c r="BB30" i="4"/>
  <c r="H30" i="3"/>
  <c r="BB32" i="4"/>
  <c r="H32" i="3"/>
  <c r="BA34" i="4"/>
  <c r="L34" i="3"/>
  <c r="L383" i="3" s="1"/>
  <c r="BC34" i="4"/>
  <c r="T34" i="3"/>
  <c r="T383" i="3" s="1"/>
  <c r="BA36" i="4"/>
  <c r="L36" i="3"/>
  <c r="BC36" i="4"/>
  <c r="T36" i="3"/>
  <c r="BA38" i="4"/>
  <c r="L38" i="3"/>
  <c r="BC38" i="4"/>
  <c r="T38" i="3"/>
  <c r="BA42" i="4"/>
  <c r="L42" i="3"/>
  <c r="BC42" i="4"/>
  <c r="T42" i="3"/>
  <c r="BA44" i="4"/>
  <c r="L44" i="3"/>
  <c r="BC44" i="4"/>
  <c r="T44" i="3"/>
  <c r="BA46" i="4"/>
  <c r="L46" i="3"/>
  <c r="BC46" i="4"/>
  <c r="T46" i="3"/>
  <c r="BB48" i="4"/>
  <c r="H48" i="3"/>
  <c r="BB50" i="4"/>
  <c r="H50" i="3"/>
  <c r="BB52" i="4"/>
  <c r="H52" i="3"/>
  <c r="BB56" i="4"/>
  <c r="H56" i="3"/>
  <c r="BB58" i="4"/>
  <c r="H58" i="3"/>
  <c r="BB60" i="4"/>
  <c r="H60" i="3"/>
  <c r="BA62" i="4"/>
  <c r="L62" i="3"/>
  <c r="BC62" i="4"/>
  <c r="T62" i="3"/>
  <c r="BA64" i="4"/>
  <c r="L64" i="3"/>
  <c r="BC64" i="4"/>
  <c r="T64" i="3"/>
  <c r="BA66" i="4"/>
  <c r="L66" i="3"/>
  <c r="BC66" i="4"/>
  <c r="T66" i="3"/>
  <c r="BA68" i="4"/>
  <c r="L68" i="3"/>
  <c r="BC68" i="4"/>
  <c r="T68" i="3"/>
  <c r="BA70" i="4"/>
  <c r="L70" i="3"/>
  <c r="BC70" i="4"/>
  <c r="T70" i="3"/>
  <c r="BA72" i="4"/>
  <c r="L72" i="3"/>
  <c r="BC72" i="4"/>
  <c r="T72" i="3"/>
  <c r="BB76" i="4"/>
  <c r="H76" i="3"/>
  <c r="BB78" i="4"/>
  <c r="H78" i="3"/>
  <c r="BB80" i="4"/>
  <c r="H80" i="3"/>
  <c r="BB82" i="4"/>
  <c r="H82" i="3"/>
  <c r="BB84" i="4"/>
  <c r="H84" i="3"/>
  <c r="BB86" i="4"/>
  <c r="H86" i="3"/>
  <c r="BB88" i="4"/>
  <c r="H88" i="3"/>
  <c r="BA90" i="4"/>
  <c r="L90" i="3"/>
  <c r="BC90" i="4"/>
  <c r="T90" i="3"/>
  <c r="BA92" i="4"/>
  <c r="L92" i="3"/>
  <c r="BC92" i="4"/>
  <c r="T92" i="3"/>
  <c r="BA94" i="4"/>
  <c r="L94" i="3"/>
  <c r="BC94" i="4"/>
  <c r="T94" i="3"/>
  <c r="BA98" i="4"/>
  <c r="L98" i="3"/>
  <c r="BC98" i="4"/>
  <c r="T98" i="3"/>
  <c r="BA100" i="4"/>
  <c r="L100" i="3"/>
  <c r="BC100" i="4"/>
  <c r="T100" i="3"/>
  <c r="BA102" i="4"/>
  <c r="L102" i="3"/>
  <c r="BC102" i="4"/>
  <c r="T102" i="3"/>
  <c r="BB104" i="4"/>
  <c r="H104" i="3"/>
  <c r="BB106" i="4"/>
  <c r="H106" i="3"/>
  <c r="BB108" i="4"/>
  <c r="H108" i="3"/>
  <c r="BB112" i="4"/>
  <c r="H112" i="3"/>
  <c r="BJ386" i="4"/>
  <c r="BK379" i="3"/>
  <c r="H114" i="3"/>
  <c r="L114" i="3"/>
  <c r="T114" i="3"/>
  <c r="H116" i="3"/>
  <c r="L116" i="3"/>
  <c r="T116" i="3"/>
  <c r="H118" i="3"/>
  <c r="L118" i="3"/>
  <c r="T118" i="3"/>
  <c r="H120" i="3"/>
  <c r="L120" i="3"/>
  <c r="T120" i="3"/>
  <c r="H126" i="3"/>
  <c r="L126" i="3"/>
  <c r="T126" i="3"/>
  <c r="H128" i="3"/>
  <c r="L128" i="3"/>
  <c r="T128" i="3"/>
  <c r="H130" i="3"/>
  <c r="L130" i="3"/>
  <c r="T130" i="3"/>
  <c r="H132" i="3"/>
  <c r="L132" i="3"/>
  <c r="T132" i="3"/>
  <c r="H136" i="3"/>
  <c r="L136" i="3"/>
  <c r="T136" i="3"/>
  <c r="H140" i="3"/>
  <c r="L140" i="3"/>
  <c r="T140" i="3"/>
  <c r="H142" i="3"/>
  <c r="L142" i="3"/>
  <c r="T142" i="3"/>
  <c r="H144" i="3"/>
  <c r="L144" i="3"/>
  <c r="T144" i="3"/>
  <c r="H146" i="3"/>
  <c r="L146" i="3"/>
  <c r="T146" i="3"/>
  <c r="H148" i="3"/>
  <c r="L148" i="3"/>
  <c r="T148" i="3"/>
  <c r="H150" i="3"/>
  <c r="L150" i="3"/>
  <c r="T150" i="3"/>
  <c r="H154" i="3"/>
  <c r="L154" i="3"/>
  <c r="T154" i="3"/>
  <c r="H156" i="3"/>
  <c r="L156" i="3"/>
  <c r="T156" i="3"/>
  <c r="H158" i="3"/>
  <c r="L158" i="3"/>
  <c r="T158" i="3"/>
  <c r="H160" i="3"/>
  <c r="L160" i="3"/>
  <c r="T160" i="3"/>
  <c r="H162" i="3"/>
  <c r="L162" i="3"/>
  <c r="T162" i="3"/>
  <c r="H164" i="3"/>
  <c r="L164" i="3"/>
  <c r="T164" i="3"/>
  <c r="H168" i="3"/>
  <c r="L168" i="3"/>
  <c r="T168" i="3"/>
  <c r="H170" i="3"/>
  <c r="L170" i="3"/>
  <c r="T170" i="3"/>
  <c r="H172" i="3"/>
  <c r="L172" i="3"/>
  <c r="T172" i="3"/>
  <c r="H176" i="3"/>
  <c r="L176" i="3"/>
  <c r="T176" i="3"/>
  <c r="H178" i="3"/>
  <c r="L178" i="3"/>
  <c r="T178" i="3"/>
  <c r="H182" i="3"/>
  <c r="L182" i="3"/>
  <c r="T182" i="3"/>
  <c r="H184" i="3"/>
  <c r="L184" i="3"/>
  <c r="T184" i="3"/>
  <c r="H188" i="3"/>
  <c r="L188" i="3"/>
  <c r="T188" i="3"/>
  <c r="H210" i="3"/>
  <c r="L210" i="3"/>
  <c r="T210" i="3"/>
  <c r="H212" i="3"/>
  <c r="L212" i="3"/>
  <c r="T212" i="3"/>
  <c r="H214" i="3"/>
  <c r="L214" i="3"/>
  <c r="T214" i="3"/>
  <c r="H216" i="3"/>
  <c r="L216" i="3"/>
  <c r="T216" i="3"/>
  <c r="H218" i="3"/>
  <c r="L218" i="3"/>
  <c r="T218" i="3"/>
  <c r="H220" i="3"/>
  <c r="L220" i="3"/>
  <c r="T220" i="3"/>
  <c r="H224" i="3"/>
  <c r="L224" i="3"/>
  <c r="T224" i="3"/>
  <c r="H226" i="3"/>
  <c r="L226" i="3"/>
  <c r="T226" i="3"/>
  <c r="H230" i="3"/>
  <c r="L230" i="3"/>
  <c r="T230" i="3"/>
  <c r="H232" i="3"/>
  <c r="L232" i="3"/>
  <c r="T232" i="3"/>
  <c r="H238" i="3"/>
  <c r="L238" i="3"/>
  <c r="T238" i="3"/>
  <c r="H242" i="3"/>
  <c r="L242" i="3"/>
  <c r="T242" i="3"/>
  <c r="H246" i="3"/>
  <c r="L246" i="3"/>
  <c r="T246" i="3"/>
  <c r="H248" i="3"/>
  <c r="L248" i="3"/>
  <c r="T248" i="3"/>
  <c r="H252" i="3"/>
  <c r="L252" i="3"/>
  <c r="T252" i="3"/>
  <c r="H254" i="3"/>
  <c r="L254" i="3"/>
  <c r="T254" i="3"/>
  <c r="H256" i="3"/>
  <c r="L256" i="3"/>
  <c r="T256" i="3"/>
  <c r="H258" i="3"/>
  <c r="L258" i="3"/>
  <c r="T258" i="3"/>
  <c r="H260" i="3"/>
  <c r="L260" i="3"/>
  <c r="T260" i="3"/>
  <c r="H262" i="3"/>
  <c r="L262" i="3"/>
  <c r="T262" i="3"/>
  <c r="H266" i="3"/>
  <c r="L266" i="3"/>
  <c r="T266" i="3"/>
  <c r="H268" i="3"/>
  <c r="L268" i="3"/>
  <c r="T268" i="3"/>
  <c r="H270" i="3"/>
  <c r="L270" i="3"/>
  <c r="T270" i="3"/>
  <c r="H272" i="3"/>
  <c r="L272" i="3"/>
  <c r="T272" i="3"/>
  <c r="H274" i="3"/>
  <c r="L274" i="3"/>
  <c r="T274" i="3"/>
  <c r="H276" i="3"/>
  <c r="L276" i="3"/>
  <c r="T276" i="3"/>
  <c r="H280" i="3"/>
  <c r="L280" i="3"/>
  <c r="T280" i="3"/>
  <c r="H282" i="3"/>
  <c r="L282" i="3"/>
  <c r="T282" i="3"/>
  <c r="H284" i="3"/>
  <c r="L284" i="3"/>
  <c r="T284" i="3"/>
  <c r="H286" i="3"/>
  <c r="L286" i="3"/>
  <c r="T286" i="3"/>
  <c r="H288" i="3"/>
  <c r="L288" i="3"/>
  <c r="T288" i="3"/>
  <c r="H290" i="3"/>
  <c r="L290" i="3"/>
  <c r="T290" i="3"/>
  <c r="H294" i="3"/>
  <c r="L294" i="3"/>
  <c r="T294" i="3"/>
  <c r="H296" i="3"/>
  <c r="L296" i="3"/>
  <c r="T296" i="3"/>
  <c r="H298" i="3"/>
  <c r="L298" i="3"/>
  <c r="T298" i="3"/>
  <c r="H300" i="3"/>
  <c r="L300" i="3"/>
  <c r="T300" i="3"/>
  <c r="H302" i="3"/>
  <c r="L302" i="3"/>
  <c r="T302" i="3"/>
  <c r="H304" i="3"/>
  <c r="L304" i="3"/>
  <c r="T304" i="3"/>
  <c r="H308" i="3"/>
  <c r="L308" i="3"/>
  <c r="T308" i="3"/>
  <c r="H310" i="3"/>
  <c r="L310" i="3"/>
  <c r="T310" i="3"/>
  <c r="H312" i="3"/>
  <c r="L312" i="3"/>
  <c r="T312" i="3"/>
  <c r="H314" i="3"/>
  <c r="L314" i="3"/>
  <c r="T314" i="3"/>
  <c r="H316" i="3"/>
  <c r="L316" i="3"/>
  <c r="T316" i="3"/>
  <c r="H322" i="3"/>
  <c r="L322" i="3"/>
  <c r="T322" i="3"/>
  <c r="H324" i="3"/>
  <c r="L324" i="3"/>
  <c r="T324" i="3"/>
  <c r="H326" i="3"/>
  <c r="L326" i="3"/>
  <c r="T326" i="3"/>
  <c r="H330" i="3"/>
  <c r="L330" i="3"/>
  <c r="T330" i="3"/>
  <c r="H332" i="3"/>
  <c r="L332" i="3"/>
  <c r="T332" i="3"/>
  <c r="H334" i="3"/>
  <c r="L334" i="3"/>
  <c r="T334" i="3"/>
  <c r="H336" i="3"/>
  <c r="L336" i="3"/>
  <c r="T336" i="3"/>
  <c r="H338" i="3"/>
  <c r="L338" i="3"/>
  <c r="T338" i="3"/>
  <c r="H340" i="3"/>
  <c r="L340" i="3"/>
  <c r="T340" i="3"/>
  <c r="H342" i="3"/>
  <c r="L342" i="3"/>
  <c r="T342" i="3"/>
  <c r="H344" i="3"/>
  <c r="L344" i="3"/>
  <c r="T344" i="3"/>
  <c r="H346" i="3"/>
  <c r="L346" i="3"/>
  <c r="T346" i="3"/>
  <c r="H350" i="3"/>
  <c r="L350" i="3"/>
  <c r="T350" i="3"/>
  <c r="H352" i="3"/>
  <c r="L352" i="3"/>
  <c r="T352" i="3"/>
  <c r="H356" i="3"/>
  <c r="L356" i="3"/>
  <c r="T356" i="3"/>
  <c r="H358" i="3"/>
  <c r="L358" i="3"/>
  <c r="T358" i="3"/>
  <c r="H360" i="3"/>
  <c r="L360" i="3"/>
  <c r="T360" i="3"/>
  <c r="H364" i="3"/>
  <c r="L364" i="3"/>
  <c r="T364" i="3"/>
  <c r="H366" i="3"/>
  <c r="L366" i="3"/>
  <c r="T366" i="3"/>
  <c r="H370" i="3"/>
  <c r="L370" i="3"/>
  <c r="T370" i="3"/>
  <c r="Q111" i="8"/>
  <c r="AA387" i="4"/>
  <c r="O111" i="8"/>
  <c r="AG387" i="4"/>
  <c r="K111" i="8"/>
  <c r="AS387" i="4"/>
  <c r="P111" i="8"/>
  <c r="AY387" i="4"/>
  <c r="G400" i="4"/>
  <c r="M400" i="4"/>
  <c r="X400" i="4"/>
  <c r="B394" i="4"/>
  <c r="B390" i="4"/>
  <c r="B380" i="4"/>
  <c r="B391" i="4"/>
  <c r="B384" i="4"/>
  <c r="B387" i="4" s="1"/>
  <c r="B383" i="4"/>
  <c r="B382" i="4"/>
  <c r="B381" i="4"/>
  <c r="H14" i="4"/>
  <c r="M394" i="4"/>
  <c r="M391" i="4"/>
  <c r="M390" i="4"/>
  <c r="M384" i="4"/>
  <c r="M383" i="4"/>
  <c r="M382" i="4"/>
  <c r="M381" i="4"/>
  <c r="V14" i="4"/>
  <c r="Y14" i="4"/>
  <c r="AE14" i="4"/>
  <c r="AK14" i="4"/>
  <c r="AQ14" i="4"/>
  <c r="AW14" i="4"/>
  <c r="BH390" i="4"/>
  <c r="BH382" i="4"/>
  <c r="BH391" i="4"/>
  <c r="H15" i="4"/>
  <c r="P15" i="4"/>
  <c r="V15" i="4"/>
  <c r="Y15" i="4"/>
  <c r="AE15" i="4"/>
  <c r="AK15" i="4"/>
  <c r="AQ15" i="4"/>
  <c r="H16" i="4"/>
  <c r="P16" i="4"/>
  <c r="V16" i="4"/>
  <c r="Y16" i="4"/>
  <c r="AE16" i="4"/>
  <c r="AK16" i="4"/>
  <c r="AQ16" i="4"/>
  <c r="H17" i="4"/>
  <c r="P17" i="4"/>
  <c r="V17" i="4"/>
  <c r="Y17" i="4"/>
  <c r="AE17" i="4"/>
  <c r="AK17" i="4"/>
  <c r="AQ17" i="4"/>
  <c r="B397" i="4"/>
  <c r="B398" i="4"/>
  <c r="H18" i="4"/>
  <c r="M397" i="4"/>
  <c r="M398" i="4"/>
  <c r="P18" i="4"/>
  <c r="V18" i="4"/>
  <c r="Y18" i="4"/>
  <c r="AE18" i="4"/>
  <c r="AK18" i="4"/>
  <c r="AQ18" i="4"/>
  <c r="AW18" i="4"/>
  <c r="H19" i="4"/>
  <c r="P19" i="4"/>
  <c r="V19" i="4"/>
  <c r="Y19" i="4"/>
  <c r="AE19" i="4"/>
  <c r="AK19" i="4"/>
  <c r="AQ19" i="4"/>
  <c r="BH384" i="4"/>
  <c r="BH383" i="4"/>
  <c r="BH381" i="4"/>
  <c r="BH380" i="4"/>
  <c r="H20" i="4"/>
  <c r="P20" i="4"/>
  <c r="V20" i="4"/>
  <c r="Y20" i="4"/>
  <c r="AE20" i="4"/>
  <c r="AK20" i="4"/>
  <c r="AQ20" i="4"/>
  <c r="H21" i="4"/>
  <c r="P21" i="4"/>
  <c r="V21" i="4"/>
  <c r="Y21" i="4"/>
  <c r="AK21" i="4"/>
  <c r="AQ21" i="4"/>
  <c r="H22" i="4"/>
  <c r="P22" i="4"/>
  <c r="V22" i="4"/>
  <c r="Y22" i="4"/>
  <c r="AK22" i="4"/>
  <c r="AQ22" i="4"/>
  <c r="H23" i="4"/>
  <c r="P23" i="4"/>
  <c r="V23" i="4"/>
  <c r="Y23" i="4"/>
  <c r="AK23" i="4"/>
  <c r="AQ23" i="4"/>
  <c r="H24" i="4"/>
  <c r="P24" i="4"/>
  <c r="V24" i="4"/>
  <c r="Y24" i="4"/>
  <c r="AK24" i="4"/>
  <c r="AQ24" i="4"/>
  <c r="AW24" i="4"/>
  <c r="H25" i="4"/>
  <c r="P25" i="4"/>
  <c r="V25" i="4"/>
  <c r="Y25" i="4"/>
  <c r="AK25" i="4"/>
  <c r="AQ25" i="4"/>
  <c r="H26" i="4"/>
  <c r="P26" i="4"/>
  <c r="V26" i="4"/>
  <c r="Y26" i="4"/>
  <c r="AK26" i="4"/>
  <c r="AQ26" i="4"/>
  <c r="H27" i="4"/>
  <c r="P27" i="4"/>
  <c r="V27" i="4"/>
  <c r="Y27" i="4"/>
  <c r="AK27" i="4"/>
  <c r="AQ27" i="4"/>
  <c r="H28" i="4"/>
  <c r="P28" i="4"/>
  <c r="V28" i="4"/>
  <c r="Y28" i="4"/>
  <c r="AK28" i="4"/>
  <c r="AQ28" i="4"/>
  <c r="H29" i="4"/>
  <c r="P29" i="4"/>
  <c r="V29" i="4"/>
  <c r="Y29" i="4"/>
  <c r="AK29" i="4"/>
  <c r="AQ29" i="4"/>
  <c r="H30" i="4"/>
  <c r="P30" i="4"/>
  <c r="V30" i="4"/>
  <c r="Y30" i="4"/>
  <c r="AK30" i="4"/>
  <c r="AQ30" i="4"/>
  <c r="H31" i="4"/>
  <c r="P31" i="4"/>
  <c r="V31" i="4"/>
  <c r="Y31" i="4"/>
  <c r="AK31" i="4"/>
  <c r="AQ31" i="4"/>
  <c r="H32" i="4"/>
  <c r="P32" i="4"/>
  <c r="V32" i="4"/>
  <c r="Y32" i="4"/>
  <c r="AK32" i="4"/>
  <c r="AQ32" i="4"/>
  <c r="H33" i="4"/>
  <c r="P33" i="4"/>
  <c r="V33" i="4"/>
  <c r="Y33" i="4"/>
  <c r="AK33" i="4"/>
  <c r="AQ33" i="4"/>
  <c r="H34" i="4"/>
  <c r="P34" i="4"/>
  <c r="V34" i="4"/>
  <c r="Y34" i="4"/>
  <c r="AK34" i="4"/>
  <c r="AQ34" i="4"/>
  <c r="H35" i="4"/>
  <c r="P35" i="4"/>
  <c r="V35" i="4"/>
  <c r="Y35" i="4"/>
  <c r="AK35" i="4"/>
  <c r="AQ35" i="4"/>
  <c r="H36" i="4"/>
  <c r="P36" i="4"/>
  <c r="V36" i="4"/>
  <c r="Y36" i="4"/>
  <c r="AK36" i="4"/>
  <c r="AQ36" i="4"/>
  <c r="AW36" i="4"/>
  <c r="H37" i="4"/>
  <c r="P37" i="4"/>
  <c r="V37" i="4"/>
  <c r="Y37" i="4"/>
  <c r="AK37" i="4"/>
  <c r="AQ37" i="4"/>
  <c r="H38" i="4"/>
  <c r="P38" i="4"/>
  <c r="V38" i="4"/>
  <c r="Y38" i="4"/>
  <c r="AK38" i="4"/>
  <c r="AQ38" i="4"/>
  <c r="H39" i="4"/>
  <c r="P39" i="4"/>
  <c r="V39" i="4"/>
  <c r="Y39" i="4"/>
  <c r="AK39" i="4"/>
  <c r="AQ39" i="4"/>
  <c r="J40" i="4"/>
  <c r="N40" i="4"/>
  <c r="S40" i="4"/>
  <c r="AB40" i="4"/>
  <c r="AN40" i="4"/>
  <c r="AT40" i="4"/>
  <c r="P41" i="4"/>
  <c r="V41" i="4"/>
  <c r="Y41" i="4"/>
  <c r="AK41" i="4"/>
  <c r="AQ41" i="4"/>
  <c r="AW41" i="4"/>
  <c r="J42" i="4"/>
  <c r="N42" i="4"/>
  <c r="S42" i="4"/>
  <c r="AB42" i="4"/>
  <c r="AN42" i="4"/>
  <c r="AT42" i="4"/>
  <c r="P43" i="4"/>
  <c r="V43" i="4"/>
  <c r="Y43" i="4"/>
  <c r="AK43" i="4"/>
  <c r="AQ43" i="4"/>
  <c r="AW43" i="4"/>
  <c r="J44" i="4"/>
  <c r="N44" i="4"/>
  <c r="S44" i="4"/>
  <c r="AB44" i="4"/>
  <c r="AN44" i="4"/>
  <c r="AT44" i="4"/>
  <c r="P45" i="4"/>
  <c r="V45" i="4"/>
  <c r="Y45" i="4"/>
  <c r="AK45" i="4"/>
  <c r="AQ45" i="4"/>
  <c r="AW45" i="4"/>
  <c r="J46" i="4"/>
  <c r="N46" i="4"/>
  <c r="S46" i="4"/>
  <c r="AB46" i="4"/>
  <c r="AN46" i="4"/>
  <c r="AT46" i="4"/>
  <c r="P47" i="4"/>
  <c r="V47" i="4"/>
  <c r="Y47" i="4"/>
  <c r="AK47" i="4"/>
  <c r="AQ47" i="4"/>
  <c r="AW47" i="4"/>
  <c r="J48" i="4"/>
  <c r="N48" i="4"/>
  <c r="S48" i="4"/>
  <c r="AB48" i="4"/>
  <c r="AN48" i="4"/>
  <c r="AT48" i="4"/>
  <c r="P49" i="4"/>
  <c r="V49" i="4"/>
  <c r="Y49" i="4"/>
  <c r="AK49" i="4"/>
  <c r="AQ49" i="4"/>
  <c r="AW49" i="4"/>
  <c r="J50" i="4"/>
  <c r="N50" i="4"/>
  <c r="S50" i="4"/>
  <c r="AB50" i="4"/>
  <c r="AN50" i="4"/>
  <c r="AT50" i="4"/>
  <c r="AZ50" i="4"/>
  <c r="P51" i="4"/>
  <c r="V51" i="4"/>
  <c r="Y51" i="4"/>
  <c r="AK51" i="4"/>
  <c r="AQ51" i="4"/>
  <c r="AW51" i="4"/>
  <c r="J52" i="4"/>
  <c r="N52" i="4"/>
  <c r="S52" i="4"/>
  <c r="AB52" i="4"/>
  <c r="AN52" i="4"/>
  <c r="AT52" i="4"/>
  <c r="P53" i="4"/>
  <c r="V53" i="4"/>
  <c r="Y53" i="4"/>
  <c r="AK53" i="4"/>
  <c r="AQ53" i="4"/>
  <c r="AW53" i="4"/>
  <c r="J54" i="4"/>
  <c r="N54" i="4"/>
  <c r="S54" i="4"/>
  <c r="AB54" i="4"/>
  <c r="AN54" i="4"/>
  <c r="AT54" i="4"/>
  <c r="P55" i="4"/>
  <c r="V55" i="4"/>
  <c r="Y55" i="4"/>
  <c r="AK55" i="4"/>
  <c r="AQ55" i="4"/>
  <c r="AW55" i="4"/>
  <c r="J56" i="4"/>
  <c r="N56" i="4"/>
  <c r="S56" i="4"/>
  <c r="AB56" i="4"/>
  <c r="AN56" i="4"/>
  <c r="AT56" i="4"/>
  <c r="P57" i="4"/>
  <c r="V57" i="4"/>
  <c r="Y57" i="4"/>
  <c r="AK57" i="4"/>
  <c r="AQ57" i="4"/>
  <c r="AW57" i="4"/>
  <c r="J58" i="4"/>
  <c r="N58" i="4"/>
  <c r="S58" i="4"/>
  <c r="AB58" i="4"/>
  <c r="AN58" i="4"/>
  <c r="AT58" i="4"/>
  <c r="P59" i="4"/>
  <c r="V59" i="4"/>
  <c r="Y59" i="4"/>
  <c r="AK59" i="4"/>
  <c r="AQ59" i="4"/>
  <c r="AW59" i="4"/>
  <c r="J60" i="4"/>
  <c r="N60" i="4"/>
  <c r="S60" i="4"/>
  <c r="AB60" i="4"/>
  <c r="AN60" i="4"/>
  <c r="AT60" i="4"/>
  <c r="P61" i="4"/>
  <c r="V61" i="4"/>
  <c r="Y61" i="4"/>
  <c r="AK61" i="4"/>
  <c r="AQ61" i="4"/>
  <c r="AW61" i="4"/>
  <c r="J62" i="4"/>
  <c r="N62" i="4"/>
  <c r="S62" i="4"/>
  <c r="AB62" i="4"/>
  <c r="AN62" i="4"/>
  <c r="AT62" i="4"/>
  <c r="P63" i="4"/>
  <c r="V63" i="4"/>
  <c r="Y63" i="4"/>
  <c r="AK63" i="4"/>
  <c r="AQ63" i="4"/>
  <c r="AW63" i="4"/>
  <c r="J64" i="4"/>
  <c r="N64" i="4"/>
  <c r="S64" i="4"/>
  <c r="AB64" i="4"/>
  <c r="AN64" i="4"/>
  <c r="AT64" i="4"/>
  <c r="AZ64" i="4"/>
  <c r="P65" i="4"/>
  <c r="V65" i="4"/>
  <c r="Y65" i="4"/>
  <c r="AK65" i="4"/>
  <c r="AQ65" i="4"/>
  <c r="AW65" i="4"/>
  <c r="J66" i="4"/>
  <c r="N66" i="4"/>
  <c r="S66" i="4"/>
  <c r="AB66" i="4"/>
  <c r="AN66" i="4"/>
  <c r="AT66" i="4"/>
  <c r="P67" i="4"/>
  <c r="V67" i="4"/>
  <c r="Y67" i="4"/>
  <c r="AK67" i="4"/>
  <c r="AQ67" i="4"/>
  <c r="AW67" i="4"/>
  <c r="J68" i="4"/>
  <c r="N68" i="4"/>
  <c r="S68" i="4"/>
  <c r="AB68" i="4"/>
  <c r="AN68" i="4"/>
  <c r="AT68" i="4"/>
  <c r="P69" i="4"/>
  <c r="V69" i="4"/>
  <c r="Y69" i="4"/>
  <c r="AK69" i="4"/>
  <c r="AQ69" i="4"/>
  <c r="AW69" i="4"/>
  <c r="J70" i="4"/>
  <c r="N70" i="4"/>
  <c r="S70" i="4"/>
  <c r="AB70" i="4"/>
  <c r="AN70" i="4"/>
  <c r="AT70" i="4"/>
  <c r="P71" i="4"/>
  <c r="V71" i="4"/>
  <c r="Y71" i="4"/>
  <c r="AK71" i="4"/>
  <c r="AQ71" i="4"/>
  <c r="AW71" i="4"/>
  <c r="J72" i="4"/>
  <c r="N72" i="4"/>
  <c r="S72" i="4"/>
  <c r="AB72" i="4"/>
  <c r="AN72" i="4"/>
  <c r="AT72" i="4"/>
  <c r="P73" i="4"/>
  <c r="V73" i="4"/>
  <c r="Y73" i="4"/>
  <c r="AK73" i="4"/>
  <c r="AQ73" i="4"/>
  <c r="AW73" i="4"/>
  <c r="J74" i="4"/>
  <c r="N74" i="4"/>
  <c r="S74" i="4"/>
  <c r="AB74" i="4"/>
  <c r="AN74" i="4"/>
  <c r="AT74" i="4"/>
  <c r="P75" i="4"/>
  <c r="V75" i="4"/>
  <c r="Y75" i="4"/>
  <c r="AK75" i="4"/>
  <c r="AQ75" i="4"/>
  <c r="AW75" i="4"/>
  <c r="J76" i="4"/>
  <c r="N76" i="4"/>
  <c r="S76" i="4"/>
  <c r="AB76" i="4"/>
  <c r="AN76" i="4"/>
  <c r="AT76" i="4"/>
  <c r="P77" i="4"/>
  <c r="V77" i="4"/>
  <c r="Y77" i="4"/>
  <c r="AK77" i="4"/>
  <c r="AQ77" i="4"/>
  <c r="AW77" i="4"/>
  <c r="J78" i="4"/>
  <c r="N78" i="4"/>
  <c r="S78" i="4"/>
  <c r="AB78" i="4"/>
  <c r="AN78" i="4"/>
  <c r="AT78" i="4"/>
  <c r="AZ78" i="4"/>
  <c r="P79" i="4"/>
  <c r="V79" i="4"/>
  <c r="Y79" i="4"/>
  <c r="AK79" i="4"/>
  <c r="AQ79" i="4"/>
  <c r="AW79" i="4"/>
  <c r="J80" i="4"/>
  <c r="N80" i="4"/>
  <c r="S80" i="4"/>
  <c r="AB80" i="4"/>
  <c r="AN80" i="4"/>
  <c r="AT80" i="4"/>
  <c r="P81" i="4"/>
  <c r="V81" i="4"/>
  <c r="Y81" i="4"/>
  <c r="AK81" i="4"/>
  <c r="AQ81" i="4"/>
  <c r="AW81" i="4"/>
  <c r="J82" i="4"/>
  <c r="N82" i="4"/>
  <c r="S82" i="4"/>
  <c r="AB82" i="4"/>
  <c r="AN82" i="4"/>
  <c r="AT82" i="4"/>
  <c r="P83" i="4"/>
  <c r="V83" i="4"/>
  <c r="Y83" i="4"/>
  <c r="AK83" i="4"/>
  <c r="AQ83" i="4"/>
  <c r="AW83" i="4"/>
  <c r="J84" i="4"/>
  <c r="N84" i="4"/>
  <c r="S84" i="4"/>
  <c r="AB84" i="4"/>
  <c r="AN84" i="4"/>
  <c r="AT84" i="4"/>
  <c r="P85" i="4"/>
  <c r="V85" i="4"/>
  <c r="Y85" i="4"/>
  <c r="AK85" i="4"/>
  <c r="AQ85" i="4"/>
  <c r="AW85" i="4"/>
  <c r="J86" i="4"/>
  <c r="N86" i="4"/>
  <c r="S86" i="4"/>
  <c r="AB86" i="4"/>
  <c r="AN86" i="4"/>
  <c r="AT86" i="4"/>
  <c r="P87" i="4"/>
  <c r="V87" i="4"/>
  <c r="Y87" i="4"/>
  <c r="AK87" i="4"/>
  <c r="AQ87" i="4"/>
  <c r="AW87" i="4"/>
  <c r="J88" i="4"/>
  <c r="N88" i="4"/>
  <c r="S88" i="4"/>
  <c r="AB88" i="4"/>
  <c r="AN88" i="4"/>
  <c r="AT88" i="4"/>
  <c r="P89" i="4"/>
  <c r="V89" i="4"/>
  <c r="Y89" i="4"/>
  <c r="AK89" i="4"/>
  <c r="AQ89" i="4"/>
  <c r="AW89" i="4"/>
  <c r="J90" i="4"/>
  <c r="N90" i="4"/>
  <c r="S90" i="4"/>
  <c r="AB90" i="4"/>
  <c r="AN90" i="4"/>
  <c r="AT90" i="4"/>
  <c r="P91" i="4"/>
  <c r="V91" i="4"/>
  <c r="Y91" i="4"/>
  <c r="AK91" i="4"/>
  <c r="AQ91" i="4"/>
  <c r="AW91" i="4"/>
  <c r="J92" i="4"/>
  <c r="N92" i="4"/>
  <c r="S92" i="4"/>
  <c r="AB92" i="4"/>
  <c r="AN92" i="4"/>
  <c r="AT92" i="4"/>
  <c r="AZ92" i="4"/>
  <c r="P93" i="4"/>
  <c r="V93" i="4"/>
  <c r="Y93" i="4"/>
  <c r="AK93" i="4"/>
  <c r="AQ93" i="4"/>
  <c r="AW93" i="4"/>
  <c r="J94" i="4"/>
  <c r="N94" i="4"/>
  <c r="S94" i="4"/>
  <c r="AB94" i="4"/>
  <c r="AN94" i="4"/>
  <c r="AT94" i="4"/>
  <c r="P95" i="4"/>
  <c r="V95" i="4"/>
  <c r="Y95" i="4"/>
  <c r="AK95" i="4"/>
  <c r="AQ95" i="4"/>
  <c r="AW95" i="4"/>
  <c r="J96" i="4"/>
  <c r="N96" i="4"/>
  <c r="S96" i="4"/>
  <c r="AB96" i="4"/>
  <c r="AN96" i="4"/>
  <c r="AT96" i="4"/>
  <c r="P97" i="4"/>
  <c r="V97" i="4"/>
  <c r="Y97" i="4"/>
  <c r="AK97" i="4"/>
  <c r="AQ97" i="4"/>
  <c r="AW97" i="4"/>
  <c r="J98" i="4"/>
  <c r="N98" i="4"/>
  <c r="S98" i="4"/>
  <c r="AB98" i="4"/>
  <c r="AN98" i="4"/>
  <c r="AT98" i="4"/>
  <c r="P99" i="4"/>
  <c r="V99" i="4"/>
  <c r="Y99" i="4"/>
  <c r="AK99" i="4"/>
  <c r="AQ99" i="4"/>
  <c r="AW99" i="4"/>
  <c r="J100" i="4"/>
  <c r="N100" i="4"/>
  <c r="S100" i="4"/>
  <c r="AB100" i="4"/>
  <c r="AN100" i="4"/>
  <c r="AT100" i="4"/>
  <c r="P101" i="4"/>
  <c r="V101" i="4"/>
  <c r="Y101" i="4"/>
  <c r="AK101" i="4"/>
  <c r="AQ101" i="4"/>
  <c r="AW101" i="4"/>
  <c r="J102" i="4"/>
  <c r="N102" i="4"/>
  <c r="S102" i="4"/>
  <c r="AB102" i="4"/>
  <c r="AN102" i="4"/>
  <c r="AT102" i="4"/>
  <c r="P103" i="4"/>
  <c r="V103" i="4"/>
  <c r="Y103" i="4"/>
  <c r="AK103" i="4"/>
  <c r="AQ103" i="4"/>
  <c r="AW103" i="4"/>
  <c r="J104" i="4"/>
  <c r="N104" i="4"/>
  <c r="S104" i="4"/>
  <c r="AB104" i="4"/>
  <c r="AN104" i="4"/>
  <c r="AT104" i="4"/>
  <c r="P105" i="4"/>
  <c r="V105" i="4"/>
  <c r="Y105" i="4"/>
  <c r="AK105" i="4"/>
  <c r="AQ105" i="4"/>
  <c r="AW105" i="4"/>
  <c r="J106" i="4"/>
  <c r="N106" i="4"/>
  <c r="S106" i="4"/>
  <c r="AB106" i="4"/>
  <c r="AN106" i="4"/>
  <c r="AT106" i="4"/>
  <c r="AZ106" i="4"/>
  <c r="P107" i="4"/>
  <c r="V107" i="4"/>
  <c r="Y107" i="4"/>
  <c r="AK107" i="4"/>
  <c r="AQ107" i="4"/>
  <c r="AW107" i="4"/>
  <c r="J108" i="4"/>
  <c r="N108" i="4"/>
  <c r="S108" i="4"/>
  <c r="AB108" i="4"/>
  <c r="AN108" i="4"/>
  <c r="AT108" i="4"/>
  <c r="P109" i="4"/>
  <c r="V109" i="4"/>
  <c r="Y109" i="4"/>
  <c r="AK109" i="4"/>
  <c r="AQ109" i="4"/>
  <c r="AW109" i="4"/>
  <c r="J110" i="4"/>
  <c r="N110" i="4"/>
  <c r="S110" i="4"/>
  <c r="AB110" i="4"/>
  <c r="AN110" i="4"/>
  <c r="AT110" i="4"/>
  <c r="P111" i="4"/>
  <c r="V111" i="4"/>
  <c r="Y111" i="4"/>
  <c r="AK111" i="4"/>
  <c r="AQ111" i="4"/>
  <c r="AW111" i="4"/>
  <c r="J112" i="4"/>
  <c r="N112" i="4"/>
  <c r="S112" i="4"/>
  <c r="AB112" i="4"/>
  <c r="AN112" i="4"/>
  <c r="AT112" i="4"/>
  <c r="P113" i="4"/>
  <c r="V113" i="4"/>
  <c r="Y113" i="4"/>
  <c r="AK113" i="4"/>
  <c r="AQ113" i="4"/>
  <c r="AW113" i="4"/>
  <c r="J114" i="4"/>
  <c r="N114" i="4"/>
  <c r="S114" i="4"/>
  <c r="AB114" i="4"/>
  <c r="AN114" i="4"/>
  <c r="AT114" i="4"/>
  <c r="P115" i="4"/>
  <c r="V115" i="4"/>
  <c r="Y115" i="4"/>
  <c r="AK115" i="4"/>
  <c r="AQ115" i="4"/>
  <c r="AW115" i="4"/>
  <c r="J116" i="4"/>
  <c r="N116" i="4"/>
  <c r="S116" i="4"/>
  <c r="AB116" i="4"/>
  <c r="AN116" i="4"/>
  <c r="AT116" i="4"/>
  <c r="P117" i="4"/>
  <c r="V117" i="4"/>
  <c r="Y117" i="4"/>
  <c r="AK117" i="4"/>
  <c r="AQ117" i="4"/>
  <c r="AW117" i="4"/>
  <c r="J118" i="4"/>
  <c r="N118" i="4"/>
  <c r="S118" i="4"/>
  <c r="AB118" i="4"/>
  <c r="AN118" i="4"/>
  <c r="AT118" i="4"/>
  <c r="P119" i="4"/>
  <c r="V119" i="4"/>
  <c r="Y119" i="4"/>
  <c r="AK119" i="4"/>
  <c r="AQ119" i="4"/>
  <c r="AW119" i="4"/>
  <c r="AW120" i="4"/>
  <c r="AQ120" i="4"/>
  <c r="J120" i="4"/>
  <c r="N120" i="4"/>
  <c r="S120" i="4"/>
  <c r="AB120" i="4"/>
  <c r="AN120" i="4"/>
  <c r="AZ120" i="4"/>
  <c r="AW122" i="4"/>
  <c r="AQ122" i="4"/>
  <c r="AK122" i="4"/>
  <c r="Y122" i="4"/>
  <c r="V122" i="4"/>
  <c r="P122" i="4"/>
  <c r="J122" i="4"/>
  <c r="N122" i="4"/>
  <c r="AN122" i="4"/>
  <c r="AZ122" i="4"/>
  <c r="AW124" i="4"/>
  <c r="AQ124" i="4"/>
  <c r="AK124" i="4"/>
  <c r="Y124" i="4"/>
  <c r="V124" i="4"/>
  <c r="P124" i="4"/>
  <c r="J124" i="4"/>
  <c r="N124" i="4"/>
  <c r="AN124" i="4"/>
  <c r="AZ124" i="4"/>
  <c r="AW126" i="4"/>
  <c r="AQ126" i="4"/>
  <c r="AK126" i="4"/>
  <c r="Y126" i="4"/>
  <c r="V126" i="4"/>
  <c r="P126" i="4"/>
  <c r="J126" i="4"/>
  <c r="N126" i="4"/>
  <c r="AN126" i="4"/>
  <c r="AZ126" i="4"/>
  <c r="AW128" i="4"/>
  <c r="AQ128" i="4"/>
  <c r="AK128" i="4"/>
  <c r="Y128" i="4"/>
  <c r="V128" i="4"/>
  <c r="P128" i="4"/>
  <c r="J128" i="4"/>
  <c r="N128" i="4"/>
  <c r="AN128" i="4"/>
  <c r="AZ128" i="4"/>
  <c r="AW130" i="4"/>
  <c r="AQ130" i="4"/>
  <c r="AK130" i="4"/>
  <c r="Y130" i="4"/>
  <c r="V130" i="4"/>
  <c r="P130" i="4"/>
  <c r="J130" i="4"/>
  <c r="N130" i="4"/>
  <c r="AN130" i="4"/>
  <c r="AZ130" i="4"/>
  <c r="AW132" i="4"/>
  <c r="AQ132" i="4"/>
  <c r="AK132" i="4"/>
  <c r="Y132" i="4"/>
  <c r="V132" i="4"/>
  <c r="P132" i="4"/>
  <c r="J132" i="4"/>
  <c r="N132" i="4"/>
  <c r="AN132" i="4"/>
  <c r="AZ132" i="4"/>
  <c r="S134" i="4"/>
  <c r="AB134" i="4"/>
  <c r="AT134" i="4"/>
  <c r="S136" i="4"/>
  <c r="AB136" i="4"/>
  <c r="S138" i="4"/>
  <c r="AB138" i="4"/>
  <c r="S140" i="4"/>
  <c r="AB140" i="4"/>
  <c r="AH147" i="4"/>
  <c r="S142" i="4"/>
  <c r="AB142" i="4"/>
  <c r="S144" i="4"/>
  <c r="AB144" i="4"/>
  <c r="S146" i="4"/>
  <c r="AB146" i="4"/>
  <c r="AW148" i="4"/>
  <c r="AQ148" i="4"/>
  <c r="AK148" i="4"/>
  <c r="Y148" i="4"/>
  <c r="V148" i="4"/>
  <c r="P148" i="4"/>
  <c r="J148" i="4"/>
  <c r="N148" i="4"/>
  <c r="AN148" i="4"/>
  <c r="AZ148" i="4"/>
  <c r="AW150" i="4"/>
  <c r="AQ150" i="4"/>
  <c r="AK150" i="4"/>
  <c r="Y150" i="4"/>
  <c r="V150" i="4"/>
  <c r="P150" i="4"/>
  <c r="J150" i="4"/>
  <c r="N150" i="4"/>
  <c r="AN150" i="4"/>
  <c r="AZ150" i="4"/>
  <c r="AW152" i="4"/>
  <c r="AQ152" i="4"/>
  <c r="AK152" i="4"/>
  <c r="Y152" i="4"/>
  <c r="V152" i="4"/>
  <c r="P152" i="4"/>
  <c r="J152" i="4"/>
  <c r="N152" i="4"/>
  <c r="AN152" i="4"/>
  <c r="AZ152" i="4"/>
  <c r="AW154" i="4"/>
  <c r="AQ154" i="4"/>
  <c r="AK154" i="4"/>
  <c r="Y154" i="4"/>
  <c r="V154" i="4"/>
  <c r="P154" i="4"/>
  <c r="J154" i="4"/>
  <c r="N154" i="4"/>
  <c r="AN154" i="4"/>
  <c r="AZ154" i="4"/>
  <c r="AW156" i="4"/>
  <c r="AQ156" i="4"/>
  <c r="AK156" i="4"/>
  <c r="Y156" i="4"/>
  <c r="V156" i="4"/>
  <c r="P156" i="4"/>
  <c r="J156" i="4"/>
  <c r="N156" i="4"/>
  <c r="AN156" i="4"/>
  <c r="AZ156" i="4"/>
  <c r="AW158" i="4"/>
  <c r="AQ158" i="4"/>
  <c r="AK158" i="4"/>
  <c r="Y158" i="4"/>
  <c r="V158" i="4"/>
  <c r="P158" i="4"/>
  <c r="J158" i="4"/>
  <c r="N158" i="4"/>
  <c r="AN158" i="4"/>
  <c r="AZ158" i="4"/>
  <c r="AW160" i="4"/>
  <c r="AQ160" i="4"/>
  <c r="AK160" i="4"/>
  <c r="Y160" i="4"/>
  <c r="V160" i="4"/>
  <c r="P160" i="4"/>
  <c r="J160" i="4"/>
  <c r="N160" i="4"/>
  <c r="AN160" i="4"/>
  <c r="AZ160" i="4"/>
  <c r="S162" i="4"/>
  <c r="AB162" i="4"/>
  <c r="S164" i="4"/>
  <c r="AB164" i="4"/>
  <c r="S166" i="4"/>
  <c r="AB166" i="4"/>
  <c r="S168" i="4"/>
  <c r="AB168" i="4"/>
  <c r="AH175" i="4"/>
  <c r="S170" i="4"/>
  <c r="AB170" i="4"/>
  <c r="S172" i="4"/>
  <c r="AB172" i="4"/>
  <c r="S174" i="4"/>
  <c r="AB174" i="4"/>
  <c r="AW176" i="4"/>
  <c r="AQ176" i="4"/>
  <c r="AK176" i="4"/>
  <c r="Y176" i="4"/>
  <c r="V176" i="4"/>
  <c r="P176" i="4"/>
  <c r="J176" i="4"/>
  <c r="N176" i="4"/>
  <c r="AN176" i="4"/>
  <c r="AZ176" i="4"/>
  <c r="AW178" i="4"/>
  <c r="AQ178" i="4"/>
  <c r="AK178" i="4"/>
  <c r="Y178" i="4"/>
  <c r="V178" i="4"/>
  <c r="P178" i="4"/>
  <c r="J178" i="4"/>
  <c r="N178" i="4"/>
  <c r="AN178" i="4"/>
  <c r="AZ178" i="4"/>
  <c r="AW180" i="4"/>
  <c r="AQ180" i="4"/>
  <c r="AK180" i="4"/>
  <c r="Y180" i="4"/>
  <c r="V180" i="4"/>
  <c r="P180" i="4"/>
  <c r="J180" i="4"/>
  <c r="N180" i="4"/>
  <c r="AN180" i="4"/>
  <c r="AZ180" i="4"/>
  <c r="S182" i="4"/>
  <c r="AB182" i="4"/>
  <c r="AH182" i="4"/>
  <c r="AH189" i="4"/>
  <c r="S184" i="4"/>
  <c r="AB184" i="4"/>
  <c r="S186" i="4"/>
  <c r="AB186" i="4"/>
  <c r="S188" i="4"/>
  <c r="AB188" i="4"/>
  <c r="AW190" i="4"/>
  <c r="AQ190" i="4"/>
  <c r="AK190" i="4"/>
  <c r="Y190" i="4"/>
  <c r="V190" i="4"/>
  <c r="P190" i="4"/>
  <c r="J190" i="4"/>
  <c r="N190" i="4"/>
  <c r="AN190" i="4"/>
  <c r="AZ190" i="4"/>
  <c r="AW192" i="4"/>
  <c r="AQ192" i="4"/>
  <c r="AK192" i="4"/>
  <c r="Y192" i="4"/>
  <c r="V192" i="4"/>
  <c r="P192" i="4"/>
  <c r="J192" i="4"/>
  <c r="N192" i="4"/>
  <c r="AN192" i="4"/>
  <c r="AZ192" i="4"/>
  <c r="AW194" i="4"/>
  <c r="AQ194" i="4"/>
  <c r="AK194" i="4"/>
  <c r="Y194" i="4"/>
  <c r="V194" i="4"/>
  <c r="P194" i="4"/>
  <c r="J194" i="4"/>
  <c r="N194" i="4"/>
  <c r="AN194" i="4"/>
  <c r="AZ194" i="4"/>
  <c r="AW196" i="4"/>
  <c r="AQ196" i="4"/>
  <c r="AK196" i="4"/>
  <c r="Y196" i="4"/>
  <c r="V196" i="4"/>
  <c r="P196" i="4"/>
  <c r="J196" i="4"/>
  <c r="N196" i="4"/>
  <c r="AN196" i="4"/>
  <c r="AZ196" i="4"/>
  <c r="AW198" i="4"/>
  <c r="AQ198" i="4"/>
  <c r="AK198" i="4"/>
  <c r="Y198" i="4"/>
  <c r="V198" i="4"/>
  <c r="P198" i="4"/>
  <c r="J198" i="4"/>
  <c r="N198" i="4"/>
  <c r="AN198" i="4"/>
  <c r="AZ198" i="4"/>
  <c r="AW200" i="4"/>
  <c r="AQ200" i="4"/>
  <c r="AK200" i="4"/>
  <c r="Y200" i="4"/>
  <c r="V200" i="4"/>
  <c r="P200" i="4"/>
  <c r="J200" i="4"/>
  <c r="N200" i="4"/>
  <c r="AN200" i="4"/>
  <c r="AZ200" i="4"/>
  <c r="AW202" i="4"/>
  <c r="AQ202" i="4"/>
  <c r="AK202" i="4"/>
  <c r="Y202" i="4"/>
  <c r="V202" i="4"/>
  <c r="P202" i="4"/>
  <c r="J202" i="4"/>
  <c r="N202" i="4"/>
  <c r="AN202" i="4"/>
  <c r="AZ202" i="4"/>
  <c r="S204" i="4"/>
  <c r="AB204" i="4"/>
  <c r="AT204" i="4"/>
  <c r="S206" i="4"/>
  <c r="AB206" i="4"/>
  <c r="S208" i="4"/>
  <c r="AB208" i="4"/>
  <c r="S210" i="4"/>
  <c r="AB210" i="4"/>
  <c r="AH217" i="4"/>
  <c r="S212" i="4"/>
  <c r="AB212" i="4"/>
  <c r="S214" i="4"/>
  <c r="AB214" i="4"/>
  <c r="S216" i="4"/>
  <c r="AB216" i="4"/>
  <c r="AW218" i="4"/>
  <c r="AQ218" i="4"/>
  <c r="AK218" i="4"/>
  <c r="Y218" i="4"/>
  <c r="V218" i="4"/>
  <c r="P218" i="4"/>
  <c r="J218" i="4"/>
  <c r="N218" i="4"/>
  <c r="AN218" i="4"/>
  <c r="AZ218" i="4"/>
  <c r="AW220" i="4"/>
  <c r="AQ220" i="4"/>
  <c r="AK220" i="4"/>
  <c r="Y220" i="4"/>
  <c r="V220" i="4"/>
  <c r="P220" i="4"/>
  <c r="J220" i="4"/>
  <c r="N220" i="4"/>
  <c r="AN220" i="4"/>
  <c r="AZ220" i="4"/>
  <c r="AW222" i="4"/>
  <c r="AQ222" i="4"/>
  <c r="AK222" i="4"/>
  <c r="Y222" i="4"/>
  <c r="V222" i="4"/>
  <c r="P222" i="4"/>
  <c r="J222" i="4"/>
  <c r="N222" i="4"/>
  <c r="AN222" i="4"/>
  <c r="AZ222" i="4"/>
  <c r="AW224" i="4"/>
  <c r="AQ224" i="4"/>
  <c r="AK224" i="4"/>
  <c r="Y224" i="4"/>
  <c r="V224" i="4"/>
  <c r="P224" i="4"/>
  <c r="J224" i="4"/>
  <c r="N224" i="4"/>
  <c r="AN224" i="4"/>
  <c r="AZ224" i="4"/>
  <c r="AW226" i="4"/>
  <c r="AQ226" i="4"/>
  <c r="AK226" i="4"/>
  <c r="Y226" i="4"/>
  <c r="V226" i="4"/>
  <c r="P226" i="4"/>
  <c r="J226" i="4"/>
  <c r="N226" i="4"/>
  <c r="AN226" i="4"/>
  <c r="AZ226" i="4"/>
  <c r="AW228" i="4"/>
  <c r="AQ228" i="4"/>
  <c r="AK228" i="4"/>
  <c r="Y228" i="4"/>
  <c r="V228" i="4"/>
  <c r="P228" i="4"/>
  <c r="J228" i="4"/>
  <c r="N228" i="4"/>
  <c r="AN228" i="4"/>
  <c r="AZ228" i="4"/>
  <c r="AW230" i="4"/>
  <c r="AQ230" i="4"/>
  <c r="AK230" i="4"/>
  <c r="Y230" i="4"/>
  <c r="V230" i="4"/>
  <c r="P230" i="4"/>
  <c r="J230" i="4"/>
  <c r="N230" i="4"/>
  <c r="AN230" i="4"/>
  <c r="AZ230" i="4"/>
  <c r="S232" i="4"/>
  <c r="AB232" i="4"/>
  <c r="AT232" i="4"/>
  <c r="S234" i="4"/>
  <c r="AB234" i="4"/>
  <c r="S236" i="4"/>
  <c r="AB236" i="4"/>
  <c r="S238" i="4"/>
  <c r="AB238" i="4"/>
  <c r="AH245" i="4"/>
  <c r="S240" i="4"/>
  <c r="AB240" i="4"/>
  <c r="S242" i="4"/>
  <c r="AB242" i="4"/>
  <c r="S244" i="4"/>
  <c r="AB244" i="4"/>
  <c r="AW246" i="4"/>
  <c r="AQ246" i="4"/>
  <c r="AK246" i="4"/>
  <c r="Y246" i="4"/>
  <c r="V246" i="4"/>
  <c r="P246" i="4"/>
  <c r="J246" i="4"/>
  <c r="N246" i="4"/>
  <c r="AN246" i="4"/>
  <c r="AZ246" i="4"/>
  <c r="AW248" i="4"/>
  <c r="AQ248" i="4"/>
  <c r="AK248" i="4"/>
  <c r="Y248" i="4"/>
  <c r="V248" i="4"/>
  <c r="P248" i="4"/>
  <c r="J248" i="4"/>
  <c r="N248" i="4"/>
  <c r="AN248" i="4"/>
  <c r="AZ248" i="4"/>
  <c r="AW250" i="4"/>
  <c r="AQ250" i="4"/>
  <c r="AK250" i="4"/>
  <c r="Y250" i="4"/>
  <c r="V250" i="4"/>
  <c r="P250" i="4"/>
  <c r="J250" i="4"/>
  <c r="N250" i="4"/>
  <c r="AN250" i="4"/>
  <c r="AZ250" i="4"/>
  <c r="AW252" i="4"/>
  <c r="AQ252" i="4"/>
  <c r="AK252" i="4"/>
  <c r="Y252" i="4"/>
  <c r="V252" i="4"/>
  <c r="P252" i="4"/>
  <c r="J252" i="4"/>
  <c r="N252" i="4"/>
  <c r="AN252" i="4"/>
  <c r="AZ252" i="4"/>
  <c r="AW254" i="4"/>
  <c r="AQ254" i="4"/>
  <c r="AK254" i="4"/>
  <c r="Y254" i="4"/>
  <c r="V254" i="4"/>
  <c r="P254" i="4"/>
  <c r="J254" i="4"/>
  <c r="N254" i="4"/>
  <c r="AN254" i="4"/>
  <c r="AZ254" i="4"/>
  <c r="AW256" i="4"/>
  <c r="AQ256" i="4"/>
  <c r="AK256" i="4"/>
  <c r="Y256" i="4"/>
  <c r="V256" i="4"/>
  <c r="P256" i="4"/>
  <c r="J256" i="4"/>
  <c r="N256" i="4"/>
  <c r="AN256" i="4"/>
  <c r="AZ256" i="4"/>
  <c r="AW258" i="4"/>
  <c r="AQ258" i="4"/>
  <c r="AK258" i="4"/>
  <c r="Y258" i="4"/>
  <c r="V258" i="4"/>
  <c r="P258" i="4"/>
  <c r="J258" i="4"/>
  <c r="N258" i="4"/>
  <c r="AN258" i="4"/>
  <c r="AZ258" i="4"/>
  <c r="S260" i="4"/>
  <c r="AB260" i="4"/>
  <c r="AT260" i="4"/>
  <c r="S262" i="4"/>
  <c r="AB262" i="4"/>
  <c r="S264" i="4"/>
  <c r="AB264" i="4"/>
  <c r="S266" i="4"/>
  <c r="AB266" i="4"/>
  <c r="AH273" i="4"/>
  <c r="S268" i="4"/>
  <c r="AB268" i="4"/>
  <c r="S270" i="4"/>
  <c r="AB270" i="4"/>
  <c r="S272" i="4"/>
  <c r="AB272" i="4"/>
  <c r="AW274" i="4"/>
  <c r="AQ274" i="4"/>
  <c r="AK274" i="4"/>
  <c r="Y274" i="4"/>
  <c r="V274" i="4"/>
  <c r="P274" i="4"/>
  <c r="J274" i="4"/>
  <c r="N274" i="4"/>
  <c r="AN274" i="4"/>
  <c r="AZ274" i="4"/>
  <c r="AW276" i="4"/>
  <c r="AQ276" i="4"/>
  <c r="AK276" i="4"/>
  <c r="Y276" i="4"/>
  <c r="V276" i="4"/>
  <c r="P276" i="4"/>
  <c r="J276" i="4"/>
  <c r="N276" i="4"/>
  <c r="AN276" i="4"/>
  <c r="AZ276" i="4"/>
  <c r="AW278" i="4"/>
  <c r="AQ278" i="4"/>
  <c r="AK278" i="4"/>
  <c r="Y278" i="4"/>
  <c r="V278" i="4"/>
  <c r="P278" i="4"/>
  <c r="J278" i="4"/>
  <c r="N278" i="4"/>
  <c r="AN278" i="4"/>
  <c r="AZ278" i="4"/>
  <c r="AW280" i="4"/>
  <c r="AQ280" i="4"/>
  <c r="AK280" i="4"/>
  <c r="Y280" i="4"/>
  <c r="V280" i="4"/>
  <c r="P280" i="4"/>
  <c r="J280" i="4"/>
  <c r="N280" i="4"/>
  <c r="AN280" i="4"/>
  <c r="AZ280" i="4"/>
  <c r="AW282" i="4"/>
  <c r="AQ282" i="4"/>
  <c r="AK282" i="4"/>
  <c r="Y282" i="4"/>
  <c r="V282" i="4"/>
  <c r="P282" i="4"/>
  <c r="J282" i="4"/>
  <c r="N282" i="4"/>
  <c r="AN282" i="4"/>
  <c r="AZ282" i="4"/>
  <c r="AW284" i="4"/>
  <c r="AQ284" i="4"/>
  <c r="AK284" i="4"/>
  <c r="Y284" i="4"/>
  <c r="V284" i="4"/>
  <c r="P284" i="4"/>
  <c r="J284" i="4"/>
  <c r="N284" i="4"/>
  <c r="AN284" i="4"/>
  <c r="AZ284" i="4"/>
  <c r="AW286" i="4"/>
  <c r="AQ286" i="4"/>
  <c r="AK286" i="4"/>
  <c r="Y286" i="4"/>
  <c r="V286" i="4"/>
  <c r="P286" i="4"/>
  <c r="J286" i="4"/>
  <c r="N286" i="4"/>
  <c r="AN286" i="4"/>
  <c r="AZ286" i="4"/>
  <c r="S288" i="4"/>
  <c r="AB288" i="4"/>
  <c r="AT288" i="4"/>
  <c r="S290" i="4"/>
  <c r="AB290" i="4"/>
  <c r="S292" i="4"/>
  <c r="AB292" i="4"/>
  <c r="S294" i="4"/>
  <c r="AB294" i="4"/>
  <c r="AH301" i="4"/>
  <c r="AH395" i="4" s="1"/>
  <c r="G395" i="4"/>
  <c r="M395" i="4"/>
  <c r="S296" i="4"/>
  <c r="AB296" i="4"/>
  <c r="S298" i="4"/>
  <c r="AB298" i="4"/>
  <c r="S300" i="4"/>
  <c r="AB300" i="4"/>
  <c r="AE308" i="4"/>
  <c r="AW302" i="4"/>
  <c r="AQ302" i="4"/>
  <c r="AK302" i="4"/>
  <c r="Y302" i="4"/>
  <c r="V302" i="4"/>
  <c r="P302" i="4"/>
  <c r="J302" i="4"/>
  <c r="N302" i="4"/>
  <c r="AN302" i="4"/>
  <c r="AZ302" i="4"/>
  <c r="AW304" i="4"/>
  <c r="AQ304" i="4"/>
  <c r="AK304" i="4"/>
  <c r="Y304" i="4"/>
  <c r="V304" i="4"/>
  <c r="P304" i="4"/>
  <c r="J304" i="4"/>
  <c r="N304" i="4"/>
  <c r="AN304" i="4"/>
  <c r="AZ304" i="4"/>
  <c r="AW306" i="4"/>
  <c r="AQ306" i="4"/>
  <c r="AK306" i="4"/>
  <c r="Y306" i="4"/>
  <c r="V306" i="4"/>
  <c r="P306" i="4"/>
  <c r="J306" i="4"/>
  <c r="N306" i="4"/>
  <c r="AN306" i="4"/>
  <c r="AZ306" i="4"/>
  <c r="AW308" i="4"/>
  <c r="AQ308" i="4"/>
  <c r="AK308" i="4"/>
  <c r="Y308" i="4"/>
  <c r="V308" i="4"/>
  <c r="P308" i="4"/>
  <c r="J308" i="4"/>
  <c r="N308" i="4"/>
  <c r="AH308" i="4"/>
  <c r="AT308" i="4"/>
  <c r="AH315" i="4"/>
  <c r="S310" i="4"/>
  <c r="AB310" i="4"/>
  <c r="S312" i="4"/>
  <c r="AB312" i="4"/>
  <c r="S314" i="4"/>
  <c r="AB314" i="4"/>
  <c r="AE322" i="4"/>
  <c r="AW316" i="4"/>
  <c r="AQ316" i="4"/>
  <c r="AK316" i="4"/>
  <c r="Y316" i="4"/>
  <c r="V316" i="4"/>
  <c r="P316" i="4"/>
  <c r="J316" i="4"/>
  <c r="N316" i="4"/>
  <c r="AN316" i="4"/>
  <c r="AZ316" i="4"/>
  <c r="AW318" i="4"/>
  <c r="AQ318" i="4"/>
  <c r="AK318" i="4"/>
  <c r="Y318" i="4"/>
  <c r="V318" i="4"/>
  <c r="P318" i="4"/>
  <c r="J318" i="4"/>
  <c r="N318" i="4"/>
  <c r="AN318" i="4"/>
  <c r="AZ318" i="4"/>
  <c r="AW320" i="4"/>
  <c r="AQ320" i="4"/>
  <c r="AK320" i="4"/>
  <c r="Y320" i="4"/>
  <c r="V320" i="4"/>
  <c r="P320" i="4"/>
  <c r="J320" i="4"/>
  <c r="N320" i="4"/>
  <c r="AN320" i="4"/>
  <c r="AZ320" i="4"/>
  <c r="AW322" i="4"/>
  <c r="AQ322" i="4"/>
  <c r="AK322" i="4"/>
  <c r="Y322" i="4"/>
  <c r="V322" i="4"/>
  <c r="P322" i="4"/>
  <c r="J322" i="4"/>
  <c r="N322" i="4"/>
  <c r="AH322" i="4"/>
  <c r="AT322" i="4"/>
  <c r="AH329" i="4"/>
  <c r="S324" i="4"/>
  <c r="AB324" i="4"/>
  <c r="S326" i="4"/>
  <c r="AB326" i="4"/>
  <c r="S328" i="4"/>
  <c r="AB328" i="4"/>
  <c r="AE336" i="4"/>
  <c r="AW330" i="4"/>
  <c r="AQ330" i="4"/>
  <c r="AK330" i="4"/>
  <c r="Y330" i="4"/>
  <c r="V330" i="4"/>
  <c r="P330" i="4"/>
  <c r="J330" i="4"/>
  <c r="N330" i="4"/>
  <c r="AN330" i="4"/>
  <c r="AZ330" i="4"/>
  <c r="AW332" i="4"/>
  <c r="AQ332" i="4"/>
  <c r="AK332" i="4"/>
  <c r="Y332" i="4"/>
  <c r="V332" i="4"/>
  <c r="P332" i="4"/>
  <c r="J332" i="4"/>
  <c r="N332" i="4"/>
  <c r="AN332" i="4"/>
  <c r="AZ332" i="4"/>
  <c r="AW334" i="4"/>
  <c r="AQ334" i="4"/>
  <c r="AK334" i="4"/>
  <c r="Y334" i="4"/>
  <c r="V334" i="4"/>
  <c r="P334" i="4"/>
  <c r="J334" i="4"/>
  <c r="N334" i="4"/>
  <c r="AN334" i="4"/>
  <c r="AZ334" i="4"/>
  <c r="AW336" i="4"/>
  <c r="AQ336" i="4"/>
  <c r="AK336" i="4"/>
  <c r="Y336" i="4"/>
  <c r="V336" i="4"/>
  <c r="P336" i="4"/>
  <c r="J336" i="4"/>
  <c r="N336" i="4"/>
  <c r="AH336" i="4"/>
  <c r="AT336" i="4"/>
  <c r="AH343" i="4"/>
  <c r="S338" i="4"/>
  <c r="AB338" i="4"/>
  <c r="S340" i="4"/>
  <c r="AB340" i="4"/>
  <c r="S342" i="4"/>
  <c r="AB342" i="4"/>
  <c r="AE350" i="4"/>
  <c r="AW344" i="4"/>
  <c r="AQ344" i="4"/>
  <c r="AK344" i="4"/>
  <c r="Y344" i="4"/>
  <c r="V344" i="4"/>
  <c r="P344" i="4"/>
  <c r="J344" i="4"/>
  <c r="N344" i="4"/>
  <c r="AN344" i="4"/>
  <c r="AZ344" i="4"/>
  <c r="AW346" i="4"/>
  <c r="AQ346" i="4"/>
  <c r="AK346" i="4"/>
  <c r="Y346" i="4"/>
  <c r="V346" i="4"/>
  <c r="P346" i="4"/>
  <c r="J346" i="4"/>
  <c r="N346" i="4"/>
  <c r="AN346" i="4"/>
  <c r="AZ346" i="4"/>
  <c r="AW348" i="4"/>
  <c r="AQ348" i="4"/>
  <c r="AK348" i="4"/>
  <c r="Y348" i="4"/>
  <c r="V348" i="4"/>
  <c r="P348" i="4"/>
  <c r="J348" i="4"/>
  <c r="N348" i="4"/>
  <c r="AN348" i="4"/>
  <c r="AZ348" i="4"/>
  <c r="AW350" i="4"/>
  <c r="AQ350" i="4"/>
  <c r="AK350" i="4"/>
  <c r="Y350" i="4"/>
  <c r="V350" i="4"/>
  <c r="P350" i="4"/>
  <c r="J350" i="4"/>
  <c r="N350" i="4"/>
  <c r="AH350" i="4"/>
  <c r="AT350" i="4"/>
  <c r="AH357" i="4"/>
  <c r="S352" i="4"/>
  <c r="AB352" i="4"/>
  <c r="S354" i="4"/>
  <c r="AB354" i="4"/>
  <c r="S356" i="4"/>
  <c r="AB356" i="4"/>
  <c r="AE364" i="4"/>
  <c r="AW358" i="4"/>
  <c r="AQ358" i="4"/>
  <c r="AK358" i="4"/>
  <c r="Y358" i="4"/>
  <c r="V358" i="4"/>
  <c r="P358" i="4"/>
  <c r="J358" i="4"/>
  <c r="N358" i="4"/>
  <c r="AN358" i="4"/>
  <c r="AZ358" i="4"/>
  <c r="AW360" i="4"/>
  <c r="AQ360" i="4"/>
  <c r="AK360" i="4"/>
  <c r="Y360" i="4"/>
  <c r="V360" i="4"/>
  <c r="P360" i="4"/>
  <c r="J360" i="4"/>
  <c r="N360" i="4"/>
  <c r="AN360" i="4"/>
  <c r="AZ360" i="4"/>
  <c r="AW362" i="4"/>
  <c r="AQ362" i="4"/>
  <c r="AK362" i="4"/>
  <c r="Y362" i="4"/>
  <c r="V362" i="4"/>
  <c r="P362" i="4"/>
  <c r="J362" i="4"/>
  <c r="N362" i="4"/>
  <c r="AN362" i="4"/>
  <c r="AZ362" i="4"/>
  <c r="AW364" i="4"/>
  <c r="AQ364" i="4"/>
  <c r="AK364" i="4"/>
  <c r="Y364" i="4"/>
  <c r="V364" i="4"/>
  <c r="P364" i="4"/>
  <c r="J364" i="4"/>
  <c r="N364" i="4"/>
  <c r="AH364" i="4"/>
  <c r="AT364" i="4"/>
  <c r="AH371" i="4"/>
  <c r="S366" i="4"/>
  <c r="AB366" i="4"/>
  <c r="S368" i="4"/>
  <c r="AB368" i="4"/>
  <c r="S370" i="4"/>
  <c r="AB370" i="4"/>
  <c r="AW372" i="4"/>
  <c r="AQ372" i="4"/>
  <c r="AK372" i="4"/>
  <c r="Y372" i="4"/>
  <c r="V372" i="4"/>
  <c r="P372" i="4"/>
  <c r="J372" i="4"/>
  <c r="N372" i="4"/>
  <c r="AN372" i="4"/>
  <c r="AZ372" i="4"/>
  <c r="AW374" i="4"/>
  <c r="AQ374" i="4"/>
  <c r="AK374" i="4"/>
  <c r="Y374" i="4"/>
  <c r="V374" i="4"/>
  <c r="P374" i="4"/>
  <c r="J374" i="4"/>
  <c r="N374" i="4"/>
  <c r="AN374" i="4"/>
  <c r="AZ374" i="4"/>
  <c r="AW376" i="4"/>
  <c r="AQ376" i="4"/>
  <c r="AK376" i="4"/>
  <c r="Y376" i="4"/>
  <c r="V376" i="4"/>
  <c r="P376" i="4"/>
  <c r="J376" i="4"/>
  <c r="N376" i="4"/>
  <c r="AN376" i="4"/>
  <c r="AZ376" i="4"/>
  <c r="S379" i="4"/>
  <c r="AB379" i="4"/>
  <c r="AT379" i="4"/>
  <c r="K392" i="4"/>
  <c r="K393" i="4"/>
  <c r="M380" i="4"/>
  <c r="M388" i="4" s="1"/>
  <c r="M389" i="4" s="1"/>
  <c r="M387" i="4"/>
  <c r="N111" i="8"/>
  <c r="AD387" i="4"/>
  <c r="J111" i="8"/>
  <c r="AJ387" i="4"/>
  <c r="AP387" i="4"/>
  <c r="M111" i="8"/>
  <c r="L111" i="8"/>
  <c r="AV387" i="4"/>
  <c r="G394" i="4"/>
  <c r="G396" i="4" s="1"/>
  <c r="G391" i="4"/>
  <c r="G390" i="4"/>
  <c r="G384" i="4"/>
  <c r="G387" i="4" s="1"/>
  <c r="G383" i="4"/>
  <c r="G382" i="4"/>
  <c r="G381" i="4"/>
  <c r="O11" i="8"/>
  <c r="N391" i="4"/>
  <c r="N390" i="4"/>
  <c r="N383" i="4"/>
  <c r="N381" i="4"/>
  <c r="N380" i="4"/>
  <c r="N388" i="4" s="1"/>
  <c r="N389" i="4" s="1"/>
  <c r="P11" i="8"/>
  <c r="P23" i="8" s="1"/>
  <c r="P164" i="8" s="1"/>
  <c r="P165" i="8" s="1"/>
  <c r="X394" i="4"/>
  <c r="X397" i="4"/>
  <c r="X391" i="4"/>
  <c r="X390" i="4"/>
  <c r="X384" i="4"/>
  <c r="X387" i="4" s="1"/>
  <c r="X383" i="4"/>
  <c r="X382" i="4"/>
  <c r="X381" i="4"/>
  <c r="X380" i="4"/>
  <c r="X388" i="4" s="1"/>
  <c r="X389" i="4" s="1"/>
  <c r="AH391" i="4"/>
  <c r="AH390" i="4"/>
  <c r="AH384" i="4"/>
  <c r="AH383" i="4"/>
  <c r="AH382" i="4"/>
  <c r="AH381" i="4"/>
  <c r="AH380" i="4"/>
  <c r="AH388" i="4" s="1"/>
  <c r="AH389" i="4" s="1"/>
  <c r="AH394" i="4"/>
  <c r="A16" i="4"/>
  <c r="A17" i="4" s="1"/>
  <c r="A18" i="4" s="1"/>
  <c r="A19" i="4" s="1"/>
  <c r="A20" i="4" s="1"/>
  <c r="A21" i="4" s="1"/>
  <c r="G397" i="4"/>
  <c r="G398" i="4"/>
  <c r="G402" i="4" s="1"/>
  <c r="N393" i="4"/>
  <c r="AH393" i="4"/>
  <c r="AH392" i="4"/>
  <c r="J41" i="4"/>
  <c r="J390" i="4" s="1"/>
  <c r="N41" i="4"/>
  <c r="N384" i="4" s="1"/>
  <c r="S41" i="4"/>
  <c r="S390" i="4" s="1"/>
  <c r="AB41" i="4"/>
  <c r="AB391" i="4" s="1"/>
  <c r="AN41" i="4"/>
  <c r="AN391" i="4" s="1"/>
  <c r="AT41" i="4"/>
  <c r="AT391" i="4" s="1"/>
  <c r="J43" i="4"/>
  <c r="N43" i="4"/>
  <c r="S43" i="4"/>
  <c r="AB43" i="4"/>
  <c r="AN43" i="4"/>
  <c r="AT43" i="4"/>
  <c r="AZ43" i="4"/>
  <c r="AZ391" i="4" s="1"/>
  <c r="J45" i="4"/>
  <c r="N45" i="4"/>
  <c r="S45" i="4"/>
  <c r="AB45" i="4"/>
  <c r="AN45" i="4"/>
  <c r="AT45" i="4"/>
  <c r="J47" i="4"/>
  <c r="N47" i="4"/>
  <c r="S47" i="4"/>
  <c r="AB47" i="4"/>
  <c r="AN47" i="4"/>
  <c r="AT47" i="4"/>
  <c r="J49" i="4"/>
  <c r="N49" i="4"/>
  <c r="S49" i="4"/>
  <c r="AB49" i="4"/>
  <c r="AN49" i="4"/>
  <c r="AT49" i="4"/>
  <c r="J51" i="4"/>
  <c r="N51" i="4"/>
  <c r="S51" i="4"/>
  <c r="AB51" i="4"/>
  <c r="AN51" i="4"/>
  <c r="AT51" i="4"/>
  <c r="J53" i="4"/>
  <c r="N53" i="4"/>
  <c r="S53" i="4"/>
  <c r="AB53" i="4"/>
  <c r="AN53" i="4"/>
  <c r="AT53" i="4"/>
  <c r="J55" i="4"/>
  <c r="N55" i="4"/>
  <c r="S55" i="4"/>
  <c r="AB55" i="4"/>
  <c r="AN55" i="4"/>
  <c r="AT55" i="4"/>
  <c r="J57" i="4"/>
  <c r="N57" i="4"/>
  <c r="S57" i="4"/>
  <c r="AB57" i="4"/>
  <c r="AN57" i="4"/>
  <c r="AT57" i="4"/>
  <c r="AZ57" i="4"/>
  <c r="J59" i="4"/>
  <c r="N59" i="4"/>
  <c r="S59" i="4"/>
  <c r="AB59" i="4"/>
  <c r="AN59" i="4"/>
  <c r="AT59" i="4"/>
  <c r="J61" i="4"/>
  <c r="N61" i="4"/>
  <c r="S61" i="4"/>
  <c r="AB61" i="4"/>
  <c r="AN61" i="4"/>
  <c r="AT61" i="4"/>
  <c r="J63" i="4"/>
  <c r="N63" i="4"/>
  <c r="S63" i="4"/>
  <c r="AB63" i="4"/>
  <c r="AN63" i="4"/>
  <c r="AT63" i="4"/>
  <c r="J65" i="4"/>
  <c r="N65" i="4"/>
  <c r="S65" i="4"/>
  <c r="AB65" i="4"/>
  <c r="AN65" i="4"/>
  <c r="AT65" i="4"/>
  <c r="J67" i="4"/>
  <c r="N67" i="4"/>
  <c r="S67" i="4"/>
  <c r="AB67" i="4"/>
  <c r="AN67" i="4"/>
  <c r="AT67" i="4"/>
  <c r="J69" i="4"/>
  <c r="N69" i="4"/>
  <c r="S69" i="4"/>
  <c r="AB69" i="4"/>
  <c r="AN69" i="4"/>
  <c r="AT69" i="4"/>
  <c r="J71" i="4"/>
  <c r="N71" i="4"/>
  <c r="S71" i="4"/>
  <c r="AB71" i="4"/>
  <c r="AN71" i="4"/>
  <c r="AT71" i="4"/>
  <c r="AZ71" i="4"/>
  <c r="J73" i="4"/>
  <c r="N73" i="4"/>
  <c r="S73" i="4"/>
  <c r="AB73" i="4"/>
  <c r="AN73" i="4"/>
  <c r="AT73" i="4"/>
  <c r="J75" i="4"/>
  <c r="N75" i="4"/>
  <c r="S75" i="4"/>
  <c r="AB75" i="4"/>
  <c r="AN75" i="4"/>
  <c r="AT75" i="4"/>
  <c r="J77" i="4"/>
  <c r="N77" i="4"/>
  <c r="S77" i="4"/>
  <c r="AB77" i="4"/>
  <c r="AN77" i="4"/>
  <c r="AT77" i="4"/>
  <c r="J79" i="4"/>
  <c r="N79" i="4"/>
  <c r="S79" i="4"/>
  <c r="AB79" i="4"/>
  <c r="AN79" i="4"/>
  <c r="AT79" i="4"/>
  <c r="J81" i="4"/>
  <c r="N81" i="4"/>
  <c r="S81" i="4"/>
  <c r="AB81" i="4"/>
  <c r="AN81" i="4"/>
  <c r="AT81" i="4"/>
  <c r="J83" i="4"/>
  <c r="N83" i="4"/>
  <c r="S83" i="4"/>
  <c r="AB83" i="4"/>
  <c r="AN83" i="4"/>
  <c r="AT83" i="4"/>
  <c r="J85" i="4"/>
  <c r="N85" i="4"/>
  <c r="S85" i="4"/>
  <c r="AB85" i="4"/>
  <c r="AN85" i="4"/>
  <c r="AT85" i="4"/>
  <c r="AZ85" i="4"/>
  <c r="J87" i="4"/>
  <c r="N87" i="4"/>
  <c r="S87" i="4"/>
  <c r="AB87" i="4"/>
  <c r="AN87" i="4"/>
  <c r="AT87" i="4"/>
  <c r="J89" i="4"/>
  <c r="N89" i="4"/>
  <c r="S89" i="4"/>
  <c r="AB89" i="4"/>
  <c r="AN89" i="4"/>
  <c r="AT89" i="4"/>
  <c r="J91" i="4"/>
  <c r="N91" i="4"/>
  <c r="S91" i="4"/>
  <c r="AB91" i="4"/>
  <c r="AN91" i="4"/>
  <c r="AT91" i="4"/>
  <c r="J93" i="4"/>
  <c r="N93" i="4"/>
  <c r="S93" i="4"/>
  <c r="AB93" i="4"/>
  <c r="AN93" i="4"/>
  <c r="AT93" i="4"/>
  <c r="J95" i="4"/>
  <c r="N95" i="4"/>
  <c r="S95" i="4"/>
  <c r="AB95" i="4"/>
  <c r="AN95" i="4"/>
  <c r="AT95" i="4"/>
  <c r="J97" i="4"/>
  <c r="N97" i="4"/>
  <c r="S97" i="4"/>
  <c r="AB97" i="4"/>
  <c r="AN97" i="4"/>
  <c r="AT97" i="4"/>
  <c r="J99" i="4"/>
  <c r="N99" i="4"/>
  <c r="S99" i="4"/>
  <c r="AB99" i="4"/>
  <c r="AN99" i="4"/>
  <c r="AT99" i="4"/>
  <c r="AZ99" i="4"/>
  <c r="J101" i="4"/>
  <c r="N101" i="4"/>
  <c r="S101" i="4"/>
  <c r="AB101" i="4"/>
  <c r="AN101" i="4"/>
  <c r="AT101" i="4"/>
  <c r="J103" i="4"/>
  <c r="N103" i="4"/>
  <c r="S103" i="4"/>
  <c r="AB103" i="4"/>
  <c r="AN103" i="4"/>
  <c r="AT103" i="4"/>
  <c r="J105" i="4"/>
  <c r="N105" i="4"/>
  <c r="S105" i="4"/>
  <c r="AB105" i="4"/>
  <c r="AN105" i="4"/>
  <c r="AT105" i="4"/>
  <c r="J107" i="4"/>
  <c r="N107" i="4"/>
  <c r="S107" i="4"/>
  <c r="AB107" i="4"/>
  <c r="AN107" i="4"/>
  <c r="AT107" i="4"/>
  <c r="J109" i="4"/>
  <c r="N109" i="4"/>
  <c r="S109" i="4"/>
  <c r="AB109" i="4"/>
  <c r="AN109" i="4"/>
  <c r="AT109" i="4"/>
  <c r="J111" i="4"/>
  <c r="N111" i="4"/>
  <c r="S111" i="4"/>
  <c r="AB111" i="4"/>
  <c r="AN111" i="4"/>
  <c r="AT111" i="4"/>
  <c r="J113" i="4"/>
  <c r="N113" i="4"/>
  <c r="S113" i="4"/>
  <c r="AB113" i="4"/>
  <c r="AN113" i="4"/>
  <c r="AT113" i="4"/>
  <c r="AZ113" i="4"/>
  <c r="J115" i="4"/>
  <c r="N115" i="4"/>
  <c r="S115" i="4"/>
  <c r="AB115" i="4"/>
  <c r="AN115" i="4"/>
  <c r="AT115" i="4"/>
  <c r="J117" i="4"/>
  <c r="N117" i="4"/>
  <c r="S117" i="4"/>
  <c r="AB117" i="4"/>
  <c r="AN117" i="4"/>
  <c r="AT117" i="4"/>
  <c r="J119" i="4"/>
  <c r="N119" i="4"/>
  <c r="S119" i="4"/>
  <c r="AB119" i="4"/>
  <c r="AN119" i="4"/>
  <c r="AT119" i="4"/>
  <c r="AW134" i="4"/>
  <c r="AQ134" i="4"/>
  <c r="AK134" i="4"/>
  <c r="Y134" i="4"/>
  <c r="V134" i="4"/>
  <c r="P134" i="4"/>
  <c r="J134" i="4"/>
  <c r="N134" i="4"/>
  <c r="AN134" i="4"/>
  <c r="AZ134" i="4"/>
  <c r="AW136" i="4"/>
  <c r="AQ136" i="4"/>
  <c r="AK136" i="4"/>
  <c r="Y136" i="4"/>
  <c r="V136" i="4"/>
  <c r="P136" i="4"/>
  <c r="J136" i="4"/>
  <c r="N136" i="4"/>
  <c r="AN136" i="4"/>
  <c r="AZ136" i="4"/>
  <c r="AW138" i="4"/>
  <c r="AQ138" i="4"/>
  <c r="AK138" i="4"/>
  <c r="Y138" i="4"/>
  <c r="V138" i="4"/>
  <c r="P138" i="4"/>
  <c r="J138" i="4"/>
  <c r="N138" i="4"/>
  <c r="AN138" i="4"/>
  <c r="AZ138" i="4"/>
  <c r="AW140" i="4"/>
  <c r="AQ140" i="4"/>
  <c r="AK140" i="4"/>
  <c r="Y140" i="4"/>
  <c r="V140" i="4"/>
  <c r="P140" i="4"/>
  <c r="J140" i="4"/>
  <c r="N140" i="4"/>
  <c r="AN140" i="4"/>
  <c r="AZ140" i="4"/>
  <c r="AW142" i="4"/>
  <c r="AQ142" i="4"/>
  <c r="AK142" i="4"/>
  <c r="Y142" i="4"/>
  <c r="V142" i="4"/>
  <c r="P142" i="4"/>
  <c r="J142" i="4"/>
  <c r="N142" i="4"/>
  <c r="AN142" i="4"/>
  <c r="AZ142" i="4"/>
  <c r="AW144" i="4"/>
  <c r="AQ144" i="4"/>
  <c r="AK144" i="4"/>
  <c r="Y144" i="4"/>
  <c r="V144" i="4"/>
  <c r="P144" i="4"/>
  <c r="J144" i="4"/>
  <c r="N144" i="4"/>
  <c r="AN144" i="4"/>
  <c r="AZ144" i="4"/>
  <c r="AW146" i="4"/>
  <c r="AQ146" i="4"/>
  <c r="AK146" i="4"/>
  <c r="Y146" i="4"/>
  <c r="V146" i="4"/>
  <c r="P146" i="4"/>
  <c r="J146" i="4"/>
  <c r="N146" i="4"/>
  <c r="AN146" i="4"/>
  <c r="AZ146" i="4"/>
  <c r="AW162" i="4"/>
  <c r="AQ162" i="4"/>
  <c r="AK162" i="4"/>
  <c r="Y162" i="4"/>
  <c r="V162" i="4"/>
  <c r="P162" i="4"/>
  <c r="J162" i="4"/>
  <c r="N162" i="4"/>
  <c r="AN162" i="4"/>
  <c r="AZ162" i="4"/>
  <c r="AW164" i="4"/>
  <c r="AQ164" i="4"/>
  <c r="AK164" i="4"/>
  <c r="Y164" i="4"/>
  <c r="V164" i="4"/>
  <c r="P164" i="4"/>
  <c r="J164" i="4"/>
  <c r="N164" i="4"/>
  <c r="AN164" i="4"/>
  <c r="AZ164" i="4"/>
  <c r="AW166" i="4"/>
  <c r="AQ166" i="4"/>
  <c r="AK166" i="4"/>
  <c r="Y166" i="4"/>
  <c r="V166" i="4"/>
  <c r="P166" i="4"/>
  <c r="J166" i="4"/>
  <c r="N166" i="4"/>
  <c r="AN166" i="4"/>
  <c r="AZ166" i="4"/>
  <c r="AW168" i="4"/>
  <c r="AQ168" i="4"/>
  <c r="AK168" i="4"/>
  <c r="Y168" i="4"/>
  <c r="V168" i="4"/>
  <c r="P168" i="4"/>
  <c r="J168" i="4"/>
  <c r="N168" i="4"/>
  <c r="AN168" i="4"/>
  <c r="AZ168" i="4"/>
  <c r="AW170" i="4"/>
  <c r="AQ170" i="4"/>
  <c r="AK170" i="4"/>
  <c r="Y170" i="4"/>
  <c r="V170" i="4"/>
  <c r="P170" i="4"/>
  <c r="J170" i="4"/>
  <c r="N170" i="4"/>
  <c r="AN170" i="4"/>
  <c r="AZ170" i="4"/>
  <c r="AW172" i="4"/>
  <c r="AQ172" i="4"/>
  <c r="AK172" i="4"/>
  <c r="Y172" i="4"/>
  <c r="V172" i="4"/>
  <c r="P172" i="4"/>
  <c r="J172" i="4"/>
  <c r="N172" i="4"/>
  <c r="AN172" i="4"/>
  <c r="AZ172" i="4"/>
  <c r="AW174" i="4"/>
  <c r="AQ174" i="4"/>
  <c r="AK174" i="4"/>
  <c r="Y174" i="4"/>
  <c r="V174" i="4"/>
  <c r="P174" i="4"/>
  <c r="J174" i="4"/>
  <c r="N174" i="4"/>
  <c r="AN174" i="4"/>
  <c r="AZ174" i="4"/>
  <c r="AW182" i="4"/>
  <c r="AQ182" i="4"/>
  <c r="AK182" i="4"/>
  <c r="Y182" i="4"/>
  <c r="V182" i="4"/>
  <c r="P182" i="4"/>
  <c r="J182" i="4"/>
  <c r="N182" i="4"/>
  <c r="AN182" i="4"/>
  <c r="AZ182" i="4"/>
  <c r="AW184" i="4"/>
  <c r="AQ184" i="4"/>
  <c r="AK184" i="4"/>
  <c r="Y184" i="4"/>
  <c r="V184" i="4"/>
  <c r="P184" i="4"/>
  <c r="J184" i="4"/>
  <c r="N184" i="4"/>
  <c r="AN184" i="4"/>
  <c r="AZ184" i="4"/>
  <c r="AW186" i="4"/>
  <c r="AQ186" i="4"/>
  <c r="AK186" i="4"/>
  <c r="Y186" i="4"/>
  <c r="V186" i="4"/>
  <c r="P186" i="4"/>
  <c r="J186" i="4"/>
  <c r="N186" i="4"/>
  <c r="AN186" i="4"/>
  <c r="AZ186" i="4"/>
  <c r="AW188" i="4"/>
  <c r="AQ188" i="4"/>
  <c r="AK188" i="4"/>
  <c r="Y188" i="4"/>
  <c r="V188" i="4"/>
  <c r="P188" i="4"/>
  <c r="J188" i="4"/>
  <c r="N188" i="4"/>
  <c r="AN188" i="4"/>
  <c r="AZ188" i="4"/>
  <c r="AW204" i="4"/>
  <c r="AQ204" i="4"/>
  <c r="AK204" i="4"/>
  <c r="Y204" i="4"/>
  <c r="V204" i="4"/>
  <c r="P204" i="4"/>
  <c r="J204" i="4"/>
  <c r="N204" i="4"/>
  <c r="AN204" i="4"/>
  <c r="AZ204" i="4"/>
  <c r="AW206" i="4"/>
  <c r="AQ206" i="4"/>
  <c r="AK206" i="4"/>
  <c r="Y206" i="4"/>
  <c r="V206" i="4"/>
  <c r="P206" i="4"/>
  <c r="J206" i="4"/>
  <c r="N206" i="4"/>
  <c r="AN206" i="4"/>
  <c r="AZ206" i="4"/>
  <c r="AW208" i="4"/>
  <c r="AQ208" i="4"/>
  <c r="AK208" i="4"/>
  <c r="Y208" i="4"/>
  <c r="V208" i="4"/>
  <c r="P208" i="4"/>
  <c r="J208" i="4"/>
  <c r="N208" i="4"/>
  <c r="AN208" i="4"/>
  <c r="AZ208" i="4"/>
  <c r="AW210" i="4"/>
  <c r="AQ210" i="4"/>
  <c r="AK210" i="4"/>
  <c r="Y210" i="4"/>
  <c r="V210" i="4"/>
  <c r="P210" i="4"/>
  <c r="J210" i="4"/>
  <c r="N210" i="4"/>
  <c r="AN210" i="4"/>
  <c r="AZ210" i="4"/>
  <c r="AW212" i="4"/>
  <c r="AQ212" i="4"/>
  <c r="AK212" i="4"/>
  <c r="Y212" i="4"/>
  <c r="V212" i="4"/>
  <c r="P212" i="4"/>
  <c r="J212" i="4"/>
  <c r="N212" i="4"/>
  <c r="AN212" i="4"/>
  <c r="AZ212" i="4"/>
  <c r="AW214" i="4"/>
  <c r="AQ214" i="4"/>
  <c r="AK214" i="4"/>
  <c r="Y214" i="4"/>
  <c r="V214" i="4"/>
  <c r="P214" i="4"/>
  <c r="J214" i="4"/>
  <c r="N214" i="4"/>
  <c r="AN214" i="4"/>
  <c r="AZ214" i="4"/>
  <c r="AW216" i="4"/>
  <c r="AQ216" i="4"/>
  <c r="AK216" i="4"/>
  <c r="Y216" i="4"/>
  <c r="V216" i="4"/>
  <c r="P216" i="4"/>
  <c r="J216" i="4"/>
  <c r="N216" i="4"/>
  <c r="AN216" i="4"/>
  <c r="AZ216" i="4"/>
  <c r="AW232" i="4"/>
  <c r="AQ232" i="4"/>
  <c r="AK232" i="4"/>
  <c r="Y232" i="4"/>
  <c r="V232" i="4"/>
  <c r="P232" i="4"/>
  <c r="J232" i="4"/>
  <c r="N232" i="4"/>
  <c r="AN232" i="4"/>
  <c r="AZ232" i="4"/>
  <c r="AW234" i="4"/>
  <c r="AQ234" i="4"/>
  <c r="AK234" i="4"/>
  <c r="Y234" i="4"/>
  <c r="V234" i="4"/>
  <c r="P234" i="4"/>
  <c r="J234" i="4"/>
  <c r="N234" i="4"/>
  <c r="AN234" i="4"/>
  <c r="AZ234" i="4"/>
  <c r="AW236" i="4"/>
  <c r="AQ236" i="4"/>
  <c r="AK236" i="4"/>
  <c r="Y236" i="4"/>
  <c r="V236" i="4"/>
  <c r="P236" i="4"/>
  <c r="J236" i="4"/>
  <c r="N236" i="4"/>
  <c r="AN236" i="4"/>
  <c r="AZ236" i="4"/>
  <c r="AW238" i="4"/>
  <c r="AQ238" i="4"/>
  <c r="AK238" i="4"/>
  <c r="Y238" i="4"/>
  <c r="V238" i="4"/>
  <c r="P238" i="4"/>
  <c r="J238" i="4"/>
  <c r="N238" i="4"/>
  <c r="AN238" i="4"/>
  <c r="AZ238" i="4"/>
  <c r="AW240" i="4"/>
  <c r="AQ240" i="4"/>
  <c r="AK240" i="4"/>
  <c r="Y240" i="4"/>
  <c r="V240" i="4"/>
  <c r="P240" i="4"/>
  <c r="J240" i="4"/>
  <c r="N240" i="4"/>
  <c r="AN240" i="4"/>
  <c r="AZ240" i="4"/>
  <c r="AW242" i="4"/>
  <c r="AQ242" i="4"/>
  <c r="AK242" i="4"/>
  <c r="Y242" i="4"/>
  <c r="V242" i="4"/>
  <c r="P242" i="4"/>
  <c r="J242" i="4"/>
  <c r="N242" i="4"/>
  <c r="AN242" i="4"/>
  <c r="AZ242" i="4"/>
  <c r="AW244" i="4"/>
  <c r="AQ244" i="4"/>
  <c r="AK244" i="4"/>
  <c r="Y244" i="4"/>
  <c r="V244" i="4"/>
  <c r="P244" i="4"/>
  <c r="J244" i="4"/>
  <c r="N244" i="4"/>
  <c r="AN244" i="4"/>
  <c r="AZ244" i="4"/>
  <c r="AW260" i="4"/>
  <c r="AQ260" i="4"/>
  <c r="AK260" i="4"/>
  <c r="Y260" i="4"/>
  <c r="V260" i="4"/>
  <c r="P260" i="4"/>
  <c r="J260" i="4"/>
  <c r="N260" i="4"/>
  <c r="AN260" i="4"/>
  <c r="AZ260" i="4"/>
  <c r="AW262" i="4"/>
  <c r="AQ262" i="4"/>
  <c r="AK262" i="4"/>
  <c r="Y262" i="4"/>
  <c r="V262" i="4"/>
  <c r="P262" i="4"/>
  <c r="J262" i="4"/>
  <c r="N262" i="4"/>
  <c r="AN262" i="4"/>
  <c r="AZ262" i="4"/>
  <c r="AW264" i="4"/>
  <c r="AQ264" i="4"/>
  <c r="AK264" i="4"/>
  <c r="Y264" i="4"/>
  <c r="V264" i="4"/>
  <c r="P264" i="4"/>
  <c r="J264" i="4"/>
  <c r="N264" i="4"/>
  <c r="AN264" i="4"/>
  <c r="AZ264" i="4"/>
  <c r="AW266" i="4"/>
  <c r="AQ266" i="4"/>
  <c r="AK266" i="4"/>
  <c r="Y266" i="4"/>
  <c r="V266" i="4"/>
  <c r="P266" i="4"/>
  <c r="J266" i="4"/>
  <c r="N266" i="4"/>
  <c r="AN266" i="4"/>
  <c r="AZ266" i="4"/>
  <c r="AW268" i="4"/>
  <c r="AQ268" i="4"/>
  <c r="AK268" i="4"/>
  <c r="Y268" i="4"/>
  <c r="V268" i="4"/>
  <c r="P268" i="4"/>
  <c r="J268" i="4"/>
  <c r="N268" i="4"/>
  <c r="AN268" i="4"/>
  <c r="AZ268" i="4"/>
  <c r="AW270" i="4"/>
  <c r="AQ270" i="4"/>
  <c r="AK270" i="4"/>
  <c r="Y270" i="4"/>
  <c r="V270" i="4"/>
  <c r="P270" i="4"/>
  <c r="J270" i="4"/>
  <c r="N270" i="4"/>
  <c r="AN270" i="4"/>
  <c r="AZ270" i="4"/>
  <c r="AW272" i="4"/>
  <c r="AQ272" i="4"/>
  <c r="AK272" i="4"/>
  <c r="Y272" i="4"/>
  <c r="V272" i="4"/>
  <c r="P272" i="4"/>
  <c r="J272" i="4"/>
  <c r="N272" i="4"/>
  <c r="AN272" i="4"/>
  <c r="AZ272" i="4"/>
  <c r="AW288" i="4"/>
  <c r="AQ288" i="4"/>
  <c r="AK288" i="4"/>
  <c r="Y288" i="4"/>
  <c r="V288" i="4"/>
  <c r="P288" i="4"/>
  <c r="J288" i="4"/>
  <c r="N288" i="4"/>
  <c r="AN288" i="4"/>
  <c r="AZ288" i="4"/>
  <c r="AW290" i="4"/>
  <c r="AQ290" i="4"/>
  <c r="AK290" i="4"/>
  <c r="Y290" i="4"/>
  <c r="V290" i="4"/>
  <c r="P290" i="4"/>
  <c r="J290" i="4"/>
  <c r="N290" i="4"/>
  <c r="AN290" i="4"/>
  <c r="AZ290" i="4"/>
  <c r="AW292" i="4"/>
  <c r="AQ292" i="4"/>
  <c r="AK292" i="4"/>
  <c r="Y292" i="4"/>
  <c r="V292" i="4"/>
  <c r="P292" i="4"/>
  <c r="J292" i="4"/>
  <c r="N292" i="4"/>
  <c r="AN292" i="4"/>
  <c r="AZ292" i="4"/>
  <c r="AW294" i="4"/>
  <c r="AQ294" i="4"/>
  <c r="AK294" i="4"/>
  <c r="Y294" i="4"/>
  <c r="V294" i="4"/>
  <c r="P294" i="4"/>
  <c r="J294" i="4"/>
  <c r="N294" i="4"/>
  <c r="AN294" i="4"/>
  <c r="AZ294" i="4"/>
  <c r="B395" i="4"/>
  <c r="AW296" i="4"/>
  <c r="AQ296" i="4"/>
  <c r="AK296" i="4"/>
  <c r="Y296" i="4"/>
  <c r="V296" i="4"/>
  <c r="P296" i="4"/>
  <c r="J296" i="4"/>
  <c r="N296" i="4"/>
  <c r="X398" i="4"/>
  <c r="X402" i="4" s="1"/>
  <c r="X395" i="4"/>
  <c r="AN296" i="4"/>
  <c r="AZ296" i="4"/>
  <c r="AW298" i="4"/>
  <c r="AQ298" i="4"/>
  <c r="AK298" i="4"/>
  <c r="Y298" i="4"/>
  <c r="V298" i="4"/>
  <c r="P298" i="4"/>
  <c r="J298" i="4"/>
  <c r="N298" i="4"/>
  <c r="AN298" i="4"/>
  <c r="AZ298" i="4"/>
  <c r="AW300" i="4"/>
  <c r="AQ300" i="4"/>
  <c r="AK300" i="4"/>
  <c r="Y300" i="4"/>
  <c r="V300" i="4"/>
  <c r="P300" i="4"/>
  <c r="J300" i="4"/>
  <c r="N300" i="4"/>
  <c r="AN300" i="4"/>
  <c r="AZ300" i="4"/>
  <c r="AE301" i="4"/>
  <c r="AW310" i="4"/>
  <c r="AQ310" i="4"/>
  <c r="AK310" i="4"/>
  <c r="Y310" i="4"/>
  <c r="V310" i="4"/>
  <c r="P310" i="4"/>
  <c r="J310" i="4"/>
  <c r="N310" i="4"/>
  <c r="AN310" i="4"/>
  <c r="AZ310" i="4"/>
  <c r="AW312" i="4"/>
  <c r="AQ312" i="4"/>
  <c r="AK312" i="4"/>
  <c r="Y312" i="4"/>
  <c r="V312" i="4"/>
  <c r="P312" i="4"/>
  <c r="J312" i="4"/>
  <c r="N312" i="4"/>
  <c r="AN312" i="4"/>
  <c r="AZ312" i="4"/>
  <c r="AW314" i="4"/>
  <c r="AQ314" i="4"/>
  <c r="AK314" i="4"/>
  <c r="Y314" i="4"/>
  <c r="V314" i="4"/>
  <c r="P314" i="4"/>
  <c r="J314" i="4"/>
  <c r="N314" i="4"/>
  <c r="AN314" i="4"/>
  <c r="AZ314" i="4"/>
  <c r="AE315" i="4"/>
  <c r="AE395" i="4" s="1"/>
  <c r="AW324" i="4"/>
  <c r="AQ324" i="4"/>
  <c r="AK324" i="4"/>
  <c r="Y324" i="4"/>
  <c r="V324" i="4"/>
  <c r="P324" i="4"/>
  <c r="J324" i="4"/>
  <c r="N324" i="4"/>
  <c r="AN324" i="4"/>
  <c r="AZ324" i="4"/>
  <c r="AW326" i="4"/>
  <c r="AQ326" i="4"/>
  <c r="AK326" i="4"/>
  <c r="Y326" i="4"/>
  <c r="V326" i="4"/>
  <c r="P326" i="4"/>
  <c r="J326" i="4"/>
  <c r="N326" i="4"/>
  <c r="AN326" i="4"/>
  <c r="AZ326" i="4"/>
  <c r="AW328" i="4"/>
  <c r="AQ328" i="4"/>
  <c r="AK328" i="4"/>
  <c r="Y328" i="4"/>
  <c r="V328" i="4"/>
  <c r="P328" i="4"/>
  <c r="J328" i="4"/>
  <c r="N328" i="4"/>
  <c r="AN328" i="4"/>
  <c r="AZ328" i="4"/>
  <c r="AE329" i="4"/>
  <c r="AW338" i="4"/>
  <c r="AQ338" i="4"/>
  <c r="AK338" i="4"/>
  <c r="Y338" i="4"/>
  <c r="V338" i="4"/>
  <c r="P338" i="4"/>
  <c r="J338" i="4"/>
  <c r="N338" i="4"/>
  <c r="AN338" i="4"/>
  <c r="AZ338" i="4"/>
  <c r="AW340" i="4"/>
  <c r="AQ340" i="4"/>
  <c r="AK340" i="4"/>
  <c r="Y340" i="4"/>
  <c r="V340" i="4"/>
  <c r="P340" i="4"/>
  <c r="J340" i="4"/>
  <c r="N340" i="4"/>
  <c r="AN340" i="4"/>
  <c r="AZ340" i="4"/>
  <c r="AW342" i="4"/>
  <c r="AQ342" i="4"/>
  <c r="AK342" i="4"/>
  <c r="Y342" i="4"/>
  <c r="V342" i="4"/>
  <c r="P342" i="4"/>
  <c r="J342" i="4"/>
  <c r="N342" i="4"/>
  <c r="AN342" i="4"/>
  <c r="AZ342" i="4"/>
  <c r="AE343" i="4"/>
  <c r="AW352" i="4"/>
  <c r="AQ352" i="4"/>
  <c r="AK352" i="4"/>
  <c r="Y352" i="4"/>
  <c r="V352" i="4"/>
  <c r="P352" i="4"/>
  <c r="J352" i="4"/>
  <c r="N352" i="4"/>
  <c r="AN352" i="4"/>
  <c r="AZ352" i="4"/>
  <c r="AW354" i="4"/>
  <c r="AQ354" i="4"/>
  <c r="AK354" i="4"/>
  <c r="Y354" i="4"/>
  <c r="V354" i="4"/>
  <c r="P354" i="4"/>
  <c r="J354" i="4"/>
  <c r="N354" i="4"/>
  <c r="AN354" i="4"/>
  <c r="AZ354" i="4"/>
  <c r="AW356" i="4"/>
  <c r="AQ356" i="4"/>
  <c r="AK356" i="4"/>
  <c r="Y356" i="4"/>
  <c r="V356" i="4"/>
  <c r="P356" i="4"/>
  <c r="J356" i="4"/>
  <c r="N356" i="4"/>
  <c r="AN356" i="4"/>
  <c r="AZ356" i="4"/>
  <c r="AE357" i="4"/>
  <c r="AW366" i="4"/>
  <c r="AQ366" i="4"/>
  <c r="AK366" i="4"/>
  <c r="Y366" i="4"/>
  <c r="V366" i="4"/>
  <c r="P366" i="4"/>
  <c r="J366" i="4"/>
  <c r="N366" i="4"/>
  <c r="AN366" i="4"/>
  <c r="AZ366" i="4"/>
  <c r="AW368" i="4"/>
  <c r="AQ368" i="4"/>
  <c r="AK368" i="4"/>
  <c r="Y368" i="4"/>
  <c r="V368" i="4"/>
  <c r="P368" i="4"/>
  <c r="J368" i="4"/>
  <c r="N368" i="4"/>
  <c r="AN368" i="4"/>
  <c r="AZ368" i="4"/>
  <c r="AW370" i="4"/>
  <c r="AQ370" i="4"/>
  <c r="AK370" i="4"/>
  <c r="Y370" i="4"/>
  <c r="V370" i="4"/>
  <c r="P370" i="4"/>
  <c r="J370" i="4"/>
  <c r="N370" i="4"/>
  <c r="AN370" i="4"/>
  <c r="AZ370" i="4"/>
  <c r="AE371" i="4"/>
  <c r="BI379" i="4"/>
  <c r="BJ379" i="3" s="1"/>
  <c r="AW379" i="4"/>
  <c r="AQ379" i="4"/>
  <c r="AK379" i="4"/>
  <c r="Y379" i="4"/>
  <c r="V379" i="4"/>
  <c r="P379" i="4"/>
  <c r="J379" i="4"/>
  <c r="N379" i="4"/>
  <c r="AN379" i="4"/>
  <c r="AZ379" i="4"/>
  <c r="I392" i="4"/>
  <c r="AF267" i="15"/>
  <c r="AF218" i="15"/>
  <c r="AL128" i="15"/>
  <c r="AF23" i="15"/>
  <c r="AF121" i="15"/>
  <c r="AL30" i="15"/>
  <c r="AL41" i="15"/>
  <c r="C392" i="4"/>
  <c r="L392" i="4"/>
  <c r="I393" i="4"/>
  <c r="L396" i="4"/>
  <c r="C399" i="4"/>
  <c r="I399" i="4"/>
  <c r="AD399" i="4"/>
  <c r="AJ399" i="4"/>
  <c r="AP399" i="4"/>
  <c r="AV399" i="4"/>
  <c r="AL584" i="15"/>
  <c r="AN584" i="15" s="1"/>
  <c r="AM584" i="15"/>
  <c r="AM535" i="15"/>
  <c r="AL535" i="15"/>
  <c r="AM486" i="15"/>
  <c r="AL486" i="15"/>
  <c r="AM437" i="15"/>
  <c r="AL437" i="15"/>
  <c r="AM388" i="15"/>
  <c r="AM339" i="15"/>
  <c r="AM290" i="15"/>
  <c r="AL388" i="15"/>
  <c r="AL339" i="15"/>
  <c r="AN339" i="15" s="1"/>
  <c r="AM241" i="15"/>
  <c r="AL193" i="15"/>
  <c r="AN193" i="15" s="1"/>
  <c r="AL290" i="15"/>
  <c r="AL241" i="15"/>
  <c r="AN241" i="15" s="1"/>
  <c r="AM193" i="15"/>
  <c r="AM144" i="15"/>
  <c r="AM95" i="15"/>
  <c r="AM46" i="15"/>
  <c r="AL144" i="15"/>
  <c r="AL46" i="15"/>
  <c r="AN46" i="15" s="1"/>
  <c r="AL95" i="15"/>
  <c r="AN95" i="15" s="1"/>
  <c r="O112" i="8"/>
  <c r="J121" i="4"/>
  <c r="N121" i="4"/>
  <c r="S121" i="4"/>
  <c r="AB121" i="4"/>
  <c r="AN121" i="4"/>
  <c r="AT121" i="4"/>
  <c r="J123" i="4"/>
  <c r="N123" i="4"/>
  <c r="S123" i="4"/>
  <c r="AB123" i="4"/>
  <c r="AN123" i="4"/>
  <c r="AT123" i="4"/>
  <c r="J125" i="4"/>
  <c r="N125" i="4"/>
  <c r="S125" i="4"/>
  <c r="AB125" i="4"/>
  <c r="AN125" i="4"/>
  <c r="AT125" i="4"/>
  <c r="J127" i="4"/>
  <c r="N127" i="4"/>
  <c r="S127" i="4"/>
  <c r="AB127" i="4"/>
  <c r="AN127" i="4"/>
  <c r="AT127" i="4"/>
  <c r="AZ127" i="4"/>
  <c r="J129" i="4"/>
  <c r="N129" i="4"/>
  <c r="S129" i="4"/>
  <c r="AB129" i="4"/>
  <c r="AN129" i="4"/>
  <c r="AT129" i="4"/>
  <c r="J131" i="4"/>
  <c r="N131" i="4"/>
  <c r="S131" i="4"/>
  <c r="AB131" i="4"/>
  <c r="AN131" i="4"/>
  <c r="AT131" i="4"/>
  <c r="J133" i="4"/>
  <c r="N133" i="4"/>
  <c r="S133" i="4"/>
  <c r="AB133" i="4"/>
  <c r="AN133" i="4"/>
  <c r="AT133" i="4"/>
  <c r="J135" i="4"/>
  <c r="N135" i="4"/>
  <c r="S135" i="4"/>
  <c r="AB135" i="4"/>
  <c r="AN135" i="4"/>
  <c r="AT135" i="4"/>
  <c r="J137" i="4"/>
  <c r="N137" i="4"/>
  <c r="S137" i="4"/>
  <c r="AB137" i="4"/>
  <c r="AN137" i="4"/>
  <c r="AT137" i="4"/>
  <c r="J139" i="4"/>
  <c r="N139" i="4"/>
  <c r="S139" i="4"/>
  <c r="AB139" i="4"/>
  <c r="AN139" i="4"/>
  <c r="AT139" i="4"/>
  <c r="J141" i="4"/>
  <c r="N141" i="4"/>
  <c r="S141" i="4"/>
  <c r="AB141" i="4"/>
  <c r="AN141" i="4"/>
  <c r="AT141" i="4"/>
  <c r="AZ141" i="4"/>
  <c r="J143" i="4"/>
  <c r="N143" i="4"/>
  <c r="S143" i="4"/>
  <c r="AB143" i="4"/>
  <c r="AN143" i="4"/>
  <c r="AT143" i="4"/>
  <c r="J145" i="4"/>
  <c r="N145" i="4"/>
  <c r="S145" i="4"/>
  <c r="AB145" i="4"/>
  <c r="AN145" i="4"/>
  <c r="AT145" i="4"/>
  <c r="J147" i="4"/>
  <c r="N147" i="4"/>
  <c r="S147" i="4"/>
  <c r="AB147" i="4"/>
  <c r="AN147" i="4"/>
  <c r="AT147" i="4"/>
  <c r="J149" i="4"/>
  <c r="N149" i="4"/>
  <c r="S149" i="4"/>
  <c r="AB149" i="4"/>
  <c r="AN149" i="4"/>
  <c r="AT149" i="4"/>
  <c r="J151" i="4"/>
  <c r="N151" i="4"/>
  <c r="S151" i="4"/>
  <c r="AB151" i="4"/>
  <c r="AN151" i="4"/>
  <c r="AT151" i="4"/>
  <c r="J153" i="4"/>
  <c r="N153" i="4"/>
  <c r="S153" i="4"/>
  <c r="AB153" i="4"/>
  <c r="AN153" i="4"/>
  <c r="AT153" i="4"/>
  <c r="J155" i="4"/>
  <c r="N155" i="4"/>
  <c r="S155" i="4"/>
  <c r="AB155" i="4"/>
  <c r="AN155" i="4"/>
  <c r="AT155" i="4"/>
  <c r="AZ155" i="4"/>
  <c r="J157" i="4"/>
  <c r="N157" i="4"/>
  <c r="S157" i="4"/>
  <c r="AB157" i="4"/>
  <c r="AN157" i="4"/>
  <c r="AT157" i="4"/>
  <c r="J159" i="4"/>
  <c r="N159" i="4"/>
  <c r="S159" i="4"/>
  <c r="AB159" i="4"/>
  <c r="AN159" i="4"/>
  <c r="AT159" i="4"/>
  <c r="J161" i="4"/>
  <c r="N161" i="4"/>
  <c r="S161" i="4"/>
  <c r="AB161" i="4"/>
  <c r="AN161" i="4"/>
  <c r="AT161" i="4"/>
  <c r="J163" i="4"/>
  <c r="N163" i="4"/>
  <c r="S163" i="4"/>
  <c r="AB163" i="4"/>
  <c r="AN163" i="4"/>
  <c r="AT163" i="4"/>
  <c r="J165" i="4"/>
  <c r="N165" i="4"/>
  <c r="S165" i="4"/>
  <c r="AB165" i="4"/>
  <c r="AN165" i="4"/>
  <c r="AT165" i="4"/>
  <c r="J167" i="4"/>
  <c r="N167" i="4"/>
  <c r="S167" i="4"/>
  <c r="AB167" i="4"/>
  <c r="AN167" i="4"/>
  <c r="AT167" i="4"/>
  <c r="J169" i="4"/>
  <c r="N169" i="4"/>
  <c r="S169" i="4"/>
  <c r="AB169" i="4"/>
  <c r="AN169" i="4"/>
  <c r="AT169" i="4"/>
  <c r="AZ169" i="4"/>
  <c r="J171" i="4"/>
  <c r="N171" i="4"/>
  <c r="S171" i="4"/>
  <c r="AB171" i="4"/>
  <c r="AN171" i="4"/>
  <c r="AT171" i="4"/>
  <c r="J173" i="4"/>
  <c r="N173" i="4"/>
  <c r="S173" i="4"/>
  <c r="AB173" i="4"/>
  <c r="AN173" i="4"/>
  <c r="AT173" i="4"/>
  <c r="J175" i="4"/>
  <c r="N175" i="4"/>
  <c r="S175" i="4"/>
  <c r="AB175" i="4"/>
  <c r="AN175" i="4"/>
  <c r="AT175" i="4"/>
  <c r="AZ175" i="4"/>
  <c r="J177" i="4"/>
  <c r="N177" i="4"/>
  <c r="S177" i="4"/>
  <c r="AB177" i="4"/>
  <c r="AN177" i="4"/>
  <c r="AT177" i="4"/>
  <c r="J179" i="4"/>
  <c r="N179" i="4"/>
  <c r="S179" i="4"/>
  <c r="AB179" i="4"/>
  <c r="AN179" i="4"/>
  <c r="AT179" i="4"/>
  <c r="J181" i="4"/>
  <c r="N181" i="4"/>
  <c r="S181" i="4"/>
  <c r="AB181" i="4"/>
  <c r="AN181" i="4"/>
  <c r="AT181" i="4"/>
  <c r="J183" i="4"/>
  <c r="N183" i="4"/>
  <c r="S183" i="4"/>
  <c r="AB183" i="4"/>
  <c r="AN183" i="4"/>
  <c r="AT183" i="4"/>
  <c r="AZ183" i="4"/>
  <c r="J185" i="4"/>
  <c r="N185" i="4"/>
  <c r="S185" i="4"/>
  <c r="AB185" i="4"/>
  <c r="AN185" i="4"/>
  <c r="AT185" i="4"/>
  <c r="J187" i="4"/>
  <c r="N187" i="4"/>
  <c r="S187" i="4"/>
  <c r="AB187" i="4"/>
  <c r="AN187" i="4"/>
  <c r="AT187" i="4"/>
  <c r="J189" i="4"/>
  <c r="N189" i="4"/>
  <c r="S189" i="4"/>
  <c r="AB189" i="4"/>
  <c r="AN189" i="4"/>
  <c r="AT189" i="4"/>
  <c r="J191" i="4"/>
  <c r="N191" i="4"/>
  <c r="S191" i="4"/>
  <c r="AB191" i="4"/>
  <c r="AN191" i="4"/>
  <c r="AT191" i="4"/>
  <c r="J193" i="4"/>
  <c r="N193" i="4"/>
  <c r="S193" i="4"/>
  <c r="AB193" i="4"/>
  <c r="AN193" i="4"/>
  <c r="AT193" i="4"/>
  <c r="J195" i="4"/>
  <c r="N195" i="4"/>
  <c r="S195" i="4"/>
  <c r="AB195" i="4"/>
  <c r="AN195" i="4"/>
  <c r="AT195" i="4"/>
  <c r="J197" i="4"/>
  <c r="N197" i="4"/>
  <c r="S197" i="4"/>
  <c r="AB197" i="4"/>
  <c r="AN197" i="4"/>
  <c r="AT197" i="4"/>
  <c r="AZ197" i="4"/>
  <c r="J199" i="4"/>
  <c r="N199" i="4"/>
  <c r="S199" i="4"/>
  <c r="AB199" i="4"/>
  <c r="AN199" i="4"/>
  <c r="AT199" i="4"/>
  <c r="J201" i="4"/>
  <c r="N201" i="4"/>
  <c r="S201" i="4"/>
  <c r="AB201" i="4"/>
  <c r="AN201" i="4"/>
  <c r="AT201" i="4"/>
  <c r="J203" i="4"/>
  <c r="N203" i="4"/>
  <c r="S203" i="4"/>
  <c r="AB203" i="4"/>
  <c r="AN203" i="4"/>
  <c r="AT203" i="4"/>
  <c r="J205" i="4"/>
  <c r="N205" i="4"/>
  <c r="S205" i="4"/>
  <c r="AB205" i="4"/>
  <c r="AN205" i="4"/>
  <c r="AT205" i="4"/>
  <c r="J207" i="4"/>
  <c r="N207" i="4"/>
  <c r="S207" i="4"/>
  <c r="AB207" i="4"/>
  <c r="AN207" i="4"/>
  <c r="AT207" i="4"/>
  <c r="J209" i="4"/>
  <c r="N209" i="4"/>
  <c r="S209" i="4"/>
  <c r="AB209" i="4"/>
  <c r="AN209" i="4"/>
  <c r="AT209" i="4"/>
  <c r="J211" i="4"/>
  <c r="N211" i="4"/>
  <c r="S211" i="4"/>
  <c r="AB211" i="4"/>
  <c r="AN211" i="4"/>
  <c r="AT211" i="4"/>
  <c r="AZ211" i="4"/>
  <c r="J213" i="4"/>
  <c r="N213" i="4"/>
  <c r="S213" i="4"/>
  <c r="AB213" i="4"/>
  <c r="AN213" i="4"/>
  <c r="AT213" i="4"/>
  <c r="J215" i="4"/>
  <c r="N215" i="4"/>
  <c r="S215" i="4"/>
  <c r="AB215" i="4"/>
  <c r="AN215" i="4"/>
  <c r="AT215" i="4"/>
  <c r="J217" i="4"/>
  <c r="N217" i="4"/>
  <c r="S217" i="4"/>
  <c r="AB217" i="4"/>
  <c r="AN217" i="4"/>
  <c r="AT217" i="4"/>
  <c r="J219" i="4"/>
  <c r="N219" i="4"/>
  <c r="S219" i="4"/>
  <c r="AB219" i="4"/>
  <c r="AN219" i="4"/>
  <c r="AT219" i="4"/>
  <c r="J221" i="4"/>
  <c r="N221" i="4"/>
  <c r="S221" i="4"/>
  <c r="AB221" i="4"/>
  <c r="AN221" i="4"/>
  <c r="AT221" i="4"/>
  <c r="J223" i="4"/>
  <c r="N223" i="4"/>
  <c r="S223" i="4"/>
  <c r="AB223" i="4"/>
  <c r="AN223" i="4"/>
  <c r="AT223" i="4"/>
  <c r="J225" i="4"/>
  <c r="N225" i="4"/>
  <c r="S225" i="4"/>
  <c r="AB225" i="4"/>
  <c r="AN225" i="4"/>
  <c r="AT225" i="4"/>
  <c r="AZ225" i="4"/>
  <c r="J227" i="4"/>
  <c r="N227" i="4"/>
  <c r="S227" i="4"/>
  <c r="AB227" i="4"/>
  <c r="AN227" i="4"/>
  <c r="AT227" i="4"/>
  <c r="J229" i="4"/>
  <c r="N229" i="4"/>
  <c r="S229" i="4"/>
  <c r="AB229" i="4"/>
  <c r="AN229" i="4"/>
  <c r="AT229" i="4"/>
  <c r="J231" i="4"/>
  <c r="N231" i="4"/>
  <c r="S231" i="4"/>
  <c r="AB231" i="4"/>
  <c r="AN231" i="4"/>
  <c r="AT231" i="4"/>
  <c r="J233" i="4"/>
  <c r="N233" i="4"/>
  <c r="S233" i="4"/>
  <c r="AB233" i="4"/>
  <c r="AN233" i="4"/>
  <c r="AT233" i="4"/>
  <c r="J235" i="4"/>
  <c r="N235" i="4"/>
  <c r="S235" i="4"/>
  <c r="AB235" i="4"/>
  <c r="AN235" i="4"/>
  <c r="AT235" i="4"/>
  <c r="J237" i="4"/>
  <c r="N237" i="4"/>
  <c r="S237" i="4"/>
  <c r="AB237" i="4"/>
  <c r="AN237" i="4"/>
  <c r="AT237" i="4"/>
  <c r="J239" i="4"/>
  <c r="N239" i="4"/>
  <c r="S239" i="4"/>
  <c r="AB239" i="4"/>
  <c r="AN239" i="4"/>
  <c r="AT239" i="4"/>
  <c r="AZ239" i="4"/>
  <c r="J241" i="4"/>
  <c r="N241" i="4"/>
  <c r="S241" i="4"/>
  <c r="AB241" i="4"/>
  <c r="AN241" i="4"/>
  <c r="AT241" i="4"/>
  <c r="J243" i="4"/>
  <c r="N243" i="4"/>
  <c r="S243" i="4"/>
  <c r="AB243" i="4"/>
  <c r="AN243" i="4"/>
  <c r="AT243" i="4"/>
  <c r="J245" i="4"/>
  <c r="N245" i="4"/>
  <c r="S245" i="4"/>
  <c r="AB245" i="4"/>
  <c r="AN245" i="4"/>
  <c r="AT245" i="4"/>
  <c r="J247" i="4"/>
  <c r="N247" i="4"/>
  <c r="S247" i="4"/>
  <c r="AB247" i="4"/>
  <c r="AN247" i="4"/>
  <c r="AT247" i="4"/>
  <c r="J249" i="4"/>
  <c r="N249" i="4"/>
  <c r="S249" i="4"/>
  <c r="AB249" i="4"/>
  <c r="AN249" i="4"/>
  <c r="AT249" i="4"/>
  <c r="J251" i="4"/>
  <c r="N251" i="4"/>
  <c r="S251" i="4"/>
  <c r="AB251" i="4"/>
  <c r="AN251" i="4"/>
  <c r="AT251" i="4"/>
  <c r="J253" i="4"/>
  <c r="N253" i="4"/>
  <c r="S253" i="4"/>
  <c r="AB253" i="4"/>
  <c r="AN253" i="4"/>
  <c r="AT253" i="4"/>
  <c r="AZ253" i="4"/>
  <c r="J255" i="4"/>
  <c r="N255" i="4"/>
  <c r="S255" i="4"/>
  <c r="AB255" i="4"/>
  <c r="AN255" i="4"/>
  <c r="AT255" i="4"/>
  <c r="J257" i="4"/>
  <c r="N257" i="4"/>
  <c r="S257" i="4"/>
  <c r="AB257" i="4"/>
  <c r="AN257" i="4"/>
  <c r="AT257" i="4"/>
  <c r="J259" i="4"/>
  <c r="N259" i="4"/>
  <c r="S259" i="4"/>
  <c r="AB259" i="4"/>
  <c r="AN259" i="4"/>
  <c r="AT259" i="4"/>
  <c r="J261" i="4"/>
  <c r="N261" i="4"/>
  <c r="S261" i="4"/>
  <c r="AB261" i="4"/>
  <c r="AN261" i="4"/>
  <c r="AT261" i="4"/>
  <c r="J263" i="4"/>
  <c r="N263" i="4"/>
  <c r="S263" i="4"/>
  <c r="AB263" i="4"/>
  <c r="AN263" i="4"/>
  <c r="AT263" i="4"/>
  <c r="J265" i="4"/>
  <c r="N265" i="4"/>
  <c r="S265" i="4"/>
  <c r="AB265" i="4"/>
  <c r="AN265" i="4"/>
  <c r="AT265" i="4"/>
  <c r="J267" i="4"/>
  <c r="N267" i="4"/>
  <c r="S267" i="4"/>
  <c r="AB267" i="4"/>
  <c r="AN267" i="4"/>
  <c r="AT267" i="4"/>
  <c r="AZ267" i="4"/>
  <c r="J269" i="4"/>
  <c r="N269" i="4"/>
  <c r="S269" i="4"/>
  <c r="AB269" i="4"/>
  <c r="AN269" i="4"/>
  <c r="AT269" i="4"/>
  <c r="J271" i="4"/>
  <c r="N271" i="4"/>
  <c r="S271" i="4"/>
  <c r="AB271" i="4"/>
  <c r="AN271" i="4"/>
  <c r="AT271" i="4"/>
  <c r="J273" i="4"/>
  <c r="N273" i="4"/>
  <c r="S273" i="4"/>
  <c r="AB273" i="4"/>
  <c r="AN273" i="4"/>
  <c r="AT273" i="4"/>
  <c r="J275" i="4"/>
  <c r="N275" i="4"/>
  <c r="S275" i="4"/>
  <c r="AB275" i="4"/>
  <c r="AN275" i="4"/>
  <c r="AT275" i="4"/>
  <c r="J277" i="4"/>
  <c r="N277" i="4"/>
  <c r="S277" i="4"/>
  <c r="AB277" i="4"/>
  <c r="AN277" i="4"/>
  <c r="AT277" i="4"/>
  <c r="J279" i="4"/>
  <c r="N279" i="4"/>
  <c r="S279" i="4"/>
  <c r="AB279" i="4"/>
  <c r="AN279" i="4"/>
  <c r="AT279" i="4"/>
  <c r="J281" i="4"/>
  <c r="N281" i="4"/>
  <c r="S281" i="4"/>
  <c r="AB281" i="4"/>
  <c r="AN281" i="4"/>
  <c r="AT281" i="4"/>
  <c r="AZ281" i="4"/>
  <c r="J283" i="4"/>
  <c r="N283" i="4"/>
  <c r="S283" i="4"/>
  <c r="AB283" i="4"/>
  <c r="AN283" i="4"/>
  <c r="AT283" i="4"/>
  <c r="J285" i="4"/>
  <c r="N285" i="4"/>
  <c r="S285" i="4"/>
  <c r="AB285" i="4"/>
  <c r="AN285" i="4"/>
  <c r="AT285" i="4"/>
  <c r="J287" i="4"/>
  <c r="N287" i="4"/>
  <c r="S287" i="4"/>
  <c r="AB287" i="4"/>
  <c r="AN287" i="4"/>
  <c r="AT287" i="4"/>
  <c r="J289" i="4"/>
  <c r="N289" i="4"/>
  <c r="S289" i="4"/>
  <c r="AB289" i="4"/>
  <c r="AN289" i="4"/>
  <c r="AT289" i="4"/>
  <c r="J291" i="4"/>
  <c r="N291" i="4"/>
  <c r="S291" i="4"/>
  <c r="AB291" i="4"/>
  <c r="AN291" i="4"/>
  <c r="AT291" i="4"/>
  <c r="J293" i="4"/>
  <c r="N293" i="4"/>
  <c r="S293" i="4"/>
  <c r="AB293" i="4"/>
  <c r="AN293" i="4"/>
  <c r="AT293" i="4"/>
  <c r="J295" i="4"/>
  <c r="N295" i="4"/>
  <c r="S295" i="4"/>
  <c r="AB295" i="4"/>
  <c r="AN295" i="4"/>
  <c r="AT295" i="4"/>
  <c r="AZ295" i="4"/>
  <c r="J297" i="4"/>
  <c r="N297" i="4"/>
  <c r="S297" i="4"/>
  <c r="AB297" i="4"/>
  <c r="AN297" i="4"/>
  <c r="AT297" i="4"/>
  <c r="AT395" i="4" s="1"/>
  <c r="J299" i="4"/>
  <c r="N299" i="4"/>
  <c r="S299" i="4"/>
  <c r="AB299" i="4"/>
  <c r="AN299" i="4"/>
  <c r="AT299" i="4"/>
  <c r="J301" i="4"/>
  <c r="N301" i="4"/>
  <c r="S301" i="4"/>
  <c r="AB301" i="4"/>
  <c r="AN301" i="4"/>
  <c r="AT301" i="4"/>
  <c r="J303" i="4"/>
  <c r="N303" i="4"/>
  <c r="S303" i="4"/>
  <c r="AB303" i="4"/>
  <c r="AN303" i="4"/>
  <c r="AT303" i="4"/>
  <c r="J305" i="4"/>
  <c r="N305" i="4"/>
  <c r="S305" i="4"/>
  <c r="AB305" i="4"/>
  <c r="AN305" i="4"/>
  <c r="AT305" i="4"/>
  <c r="J307" i="4"/>
  <c r="N307" i="4"/>
  <c r="S307" i="4"/>
  <c r="AB307" i="4"/>
  <c r="AN307" i="4"/>
  <c r="AT307" i="4"/>
  <c r="J309" i="4"/>
  <c r="N309" i="4"/>
  <c r="S309" i="4"/>
  <c r="AB309" i="4"/>
  <c r="AN309" i="4"/>
  <c r="AT309" i="4"/>
  <c r="AZ309" i="4"/>
  <c r="J311" i="4"/>
  <c r="N311" i="4"/>
  <c r="S311" i="4"/>
  <c r="AB311" i="4"/>
  <c r="AN311" i="4"/>
  <c r="AT311" i="4"/>
  <c r="J313" i="4"/>
  <c r="N313" i="4"/>
  <c r="S313" i="4"/>
  <c r="AB313" i="4"/>
  <c r="AN313" i="4"/>
  <c r="AT313" i="4"/>
  <c r="J315" i="4"/>
  <c r="N315" i="4"/>
  <c r="S315" i="4"/>
  <c r="AB315" i="4"/>
  <c r="AN315" i="4"/>
  <c r="AT315" i="4"/>
  <c r="J317" i="4"/>
  <c r="N317" i="4"/>
  <c r="S317" i="4"/>
  <c r="AB317" i="4"/>
  <c r="AN317" i="4"/>
  <c r="AT317" i="4"/>
  <c r="J319" i="4"/>
  <c r="N319" i="4"/>
  <c r="S319" i="4"/>
  <c r="AB319" i="4"/>
  <c r="AN319" i="4"/>
  <c r="AT319" i="4"/>
  <c r="J321" i="4"/>
  <c r="N321" i="4"/>
  <c r="S321" i="4"/>
  <c r="AB321" i="4"/>
  <c r="AN321" i="4"/>
  <c r="AT321" i="4"/>
  <c r="J323" i="4"/>
  <c r="N323" i="4"/>
  <c r="S323" i="4"/>
  <c r="AB323" i="4"/>
  <c r="AN323" i="4"/>
  <c r="AT323" i="4"/>
  <c r="AZ323" i="4"/>
  <c r="J325" i="4"/>
  <c r="N325" i="4"/>
  <c r="S325" i="4"/>
  <c r="AB325" i="4"/>
  <c r="AN325" i="4"/>
  <c r="AT325" i="4"/>
  <c r="J327" i="4"/>
  <c r="N327" i="4"/>
  <c r="S327" i="4"/>
  <c r="AB327" i="4"/>
  <c r="AN327" i="4"/>
  <c r="AT327" i="4"/>
  <c r="J329" i="4"/>
  <c r="N329" i="4"/>
  <c r="S329" i="4"/>
  <c r="AB329" i="4"/>
  <c r="AN329" i="4"/>
  <c r="AT329" i="4"/>
  <c r="J331" i="4"/>
  <c r="N331" i="4"/>
  <c r="S331" i="4"/>
  <c r="AB331" i="4"/>
  <c r="AN331" i="4"/>
  <c r="AT331" i="4"/>
  <c r="J333" i="4"/>
  <c r="N333" i="4"/>
  <c r="S333" i="4"/>
  <c r="AB333" i="4"/>
  <c r="AN333" i="4"/>
  <c r="AT333" i="4"/>
  <c r="J335" i="4"/>
  <c r="N335" i="4"/>
  <c r="S335" i="4"/>
  <c r="AB335" i="4"/>
  <c r="AN335" i="4"/>
  <c r="AT335" i="4"/>
  <c r="J337" i="4"/>
  <c r="N337" i="4"/>
  <c r="S337" i="4"/>
  <c r="AB337" i="4"/>
  <c r="AN337" i="4"/>
  <c r="AT337" i="4"/>
  <c r="AZ337" i="4"/>
  <c r="J339" i="4"/>
  <c r="N339" i="4"/>
  <c r="S339" i="4"/>
  <c r="AB339" i="4"/>
  <c r="AN339" i="4"/>
  <c r="AT339" i="4"/>
  <c r="J341" i="4"/>
  <c r="N341" i="4"/>
  <c r="S341" i="4"/>
  <c r="AB341" i="4"/>
  <c r="AN341" i="4"/>
  <c r="AT341" i="4"/>
  <c r="J343" i="4"/>
  <c r="N343" i="4"/>
  <c r="S343" i="4"/>
  <c r="AB343" i="4"/>
  <c r="AN343" i="4"/>
  <c r="AT343" i="4"/>
  <c r="J345" i="4"/>
  <c r="N345" i="4"/>
  <c r="S345" i="4"/>
  <c r="AB345" i="4"/>
  <c r="AN345" i="4"/>
  <c r="AT345" i="4"/>
  <c r="J347" i="4"/>
  <c r="N347" i="4"/>
  <c r="S347" i="4"/>
  <c r="AB347" i="4"/>
  <c r="AN347" i="4"/>
  <c r="AT347" i="4"/>
  <c r="J349" i="4"/>
  <c r="N349" i="4"/>
  <c r="S349" i="4"/>
  <c r="AB349" i="4"/>
  <c r="AN349" i="4"/>
  <c r="AT349" i="4"/>
  <c r="J351" i="4"/>
  <c r="N351" i="4"/>
  <c r="S351" i="4"/>
  <c r="AB351" i="4"/>
  <c r="AN351" i="4"/>
  <c r="AT351" i="4"/>
  <c r="AZ351" i="4"/>
  <c r="J353" i="4"/>
  <c r="N353" i="4"/>
  <c r="S353" i="4"/>
  <c r="AB353" i="4"/>
  <c r="AN353" i="4"/>
  <c r="AT353" i="4"/>
  <c r="J355" i="4"/>
  <c r="N355" i="4"/>
  <c r="S355" i="4"/>
  <c r="AB355" i="4"/>
  <c r="AN355" i="4"/>
  <c r="AT355" i="4"/>
  <c r="J357" i="4"/>
  <c r="N357" i="4"/>
  <c r="S357" i="4"/>
  <c r="AB357" i="4"/>
  <c r="AN357" i="4"/>
  <c r="AT357" i="4"/>
  <c r="J359" i="4"/>
  <c r="N359" i="4"/>
  <c r="S359" i="4"/>
  <c r="AB359" i="4"/>
  <c r="AN359" i="4"/>
  <c r="AT359" i="4"/>
  <c r="J361" i="4"/>
  <c r="N361" i="4"/>
  <c r="S361" i="4"/>
  <c r="AB361" i="4"/>
  <c r="AN361" i="4"/>
  <c r="AT361" i="4"/>
  <c r="J363" i="4"/>
  <c r="N363" i="4"/>
  <c r="S363" i="4"/>
  <c r="AB363" i="4"/>
  <c r="AN363" i="4"/>
  <c r="AT363" i="4"/>
  <c r="J365" i="4"/>
  <c r="N365" i="4"/>
  <c r="S365" i="4"/>
  <c r="AB365" i="4"/>
  <c r="AN365" i="4"/>
  <c r="AT365" i="4"/>
  <c r="AZ365" i="4"/>
  <c r="J367" i="4"/>
  <c r="N367" i="4"/>
  <c r="S367" i="4"/>
  <c r="AB367" i="4"/>
  <c r="AN367" i="4"/>
  <c r="AT367" i="4"/>
  <c r="J369" i="4"/>
  <c r="N369" i="4"/>
  <c r="S369" i="4"/>
  <c r="AB369" i="4"/>
  <c r="AN369" i="4"/>
  <c r="AT369" i="4"/>
  <c r="J371" i="4"/>
  <c r="N371" i="4"/>
  <c r="S371" i="4"/>
  <c r="AB371" i="4"/>
  <c r="AN371" i="4"/>
  <c r="AT371" i="4"/>
  <c r="J373" i="4"/>
  <c r="N373" i="4"/>
  <c r="S373" i="4"/>
  <c r="AB373" i="4"/>
  <c r="AN373" i="4"/>
  <c r="AT373" i="4"/>
  <c r="J375" i="4"/>
  <c r="N375" i="4"/>
  <c r="S375" i="4"/>
  <c r="AB375" i="4"/>
  <c r="AN375" i="4"/>
  <c r="AT375" i="4"/>
  <c r="J378" i="4"/>
  <c r="N378" i="4"/>
  <c r="S378" i="4"/>
  <c r="AB378" i="4"/>
  <c r="AN378" i="4"/>
  <c r="AT378" i="4"/>
  <c r="O388" i="4"/>
  <c r="O389" i="4" s="1"/>
  <c r="R388" i="4"/>
  <c r="R389" i="4" s="1"/>
  <c r="U388" i="4"/>
  <c r="U389" i="4" s="1"/>
  <c r="AA388" i="4"/>
  <c r="AA389" i="4" s="1"/>
  <c r="AD388" i="4"/>
  <c r="AD389" i="4" s="1"/>
  <c r="AG388" i="4"/>
  <c r="AG389" i="4" s="1"/>
  <c r="AJ388" i="4"/>
  <c r="AJ389" i="4" s="1"/>
  <c r="AM388" i="4"/>
  <c r="AM389" i="4" s="1"/>
  <c r="AP388" i="4"/>
  <c r="AP389" i="4" s="1"/>
  <c r="AS388" i="4"/>
  <c r="AS389" i="4" s="1"/>
  <c r="AV388" i="4"/>
  <c r="AV389" i="4" s="1"/>
  <c r="AY388" i="4"/>
  <c r="AY389" i="4" s="1"/>
  <c r="K396" i="4"/>
  <c r="AA399" i="4"/>
  <c r="AG399" i="4"/>
  <c r="AM399" i="4"/>
  <c r="AS399" i="4"/>
  <c r="AY399" i="4"/>
  <c r="AF571" i="15"/>
  <c r="AH571" i="15" s="1"/>
  <c r="AG571" i="15"/>
  <c r="AF522" i="15"/>
  <c r="AH522" i="15" s="1"/>
  <c r="AG522" i="15"/>
  <c r="AF473" i="15"/>
  <c r="AH473" i="15" s="1"/>
  <c r="AG473" i="15"/>
  <c r="AF424" i="15"/>
  <c r="AH424" i="15" s="1"/>
  <c r="AG424" i="15"/>
  <c r="AF375" i="15"/>
  <c r="AF326" i="15"/>
  <c r="AG375" i="15"/>
  <c r="AG326" i="15"/>
  <c r="AF277" i="15"/>
  <c r="AH277" i="15" s="1"/>
  <c r="AF228" i="15"/>
  <c r="AF180" i="15"/>
  <c r="AH180" i="15" s="1"/>
  <c r="AG277" i="15"/>
  <c r="AG228" i="15"/>
  <c r="AG180" i="15"/>
  <c r="AF131" i="15"/>
  <c r="AH131" i="15" s="1"/>
  <c r="AF82" i="15"/>
  <c r="AG33" i="15"/>
  <c r="AG131" i="15"/>
  <c r="AF33" i="15"/>
  <c r="AH33" i="15" s="1"/>
  <c r="AG82" i="15"/>
  <c r="AF559" i="15"/>
  <c r="AH559" i="15" s="1"/>
  <c r="AG559" i="15"/>
  <c r="AG510" i="15"/>
  <c r="AG461" i="15"/>
  <c r="AF510" i="15"/>
  <c r="AH510" i="15" s="1"/>
  <c r="AF461" i="15"/>
  <c r="AH461" i="15" s="1"/>
  <c r="AG412" i="15"/>
  <c r="AF412" i="15"/>
  <c r="AG363" i="15"/>
  <c r="AG314" i="15"/>
  <c r="AF363" i="15"/>
  <c r="AH363" i="15" s="1"/>
  <c r="AF314" i="15"/>
  <c r="AH314" i="15" s="1"/>
  <c r="AG265" i="15"/>
  <c r="AG216" i="15"/>
  <c r="AF265" i="15"/>
  <c r="AH265" i="15" s="1"/>
  <c r="AF216" i="15"/>
  <c r="AH216" i="15" s="1"/>
  <c r="AG168" i="15"/>
  <c r="AG119" i="15"/>
  <c r="AG70" i="15"/>
  <c r="AG21" i="15"/>
  <c r="AF168" i="15"/>
  <c r="AH168" i="15" s="1"/>
  <c r="AF119" i="15"/>
  <c r="AH119" i="15" s="1"/>
  <c r="AF21" i="15"/>
  <c r="AH21" i="15" s="1"/>
  <c r="AF70" i="15"/>
  <c r="AH70" i="15" s="1"/>
  <c r="AM571" i="15"/>
  <c r="AL571" i="15"/>
  <c r="AM522" i="15"/>
  <c r="AL522" i="15"/>
  <c r="AM473" i="15"/>
  <c r="AL473" i="15"/>
  <c r="AM424" i="15"/>
  <c r="AL424" i="15"/>
  <c r="AM375" i="15"/>
  <c r="AM326" i="15"/>
  <c r="AL375" i="15"/>
  <c r="AN375" i="15" s="1"/>
  <c r="AL326" i="15"/>
  <c r="AN326" i="15" s="1"/>
  <c r="AM277" i="15"/>
  <c r="AM228" i="15"/>
  <c r="AM180" i="15"/>
  <c r="AL277" i="15"/>
  <c r="AL228" i="15"/>
  <c r="AN228" i="15" s="1"/>
  <c r="AL180" i="15"/>
  <c r="AN180" i="15" s="1"/>
  <c r="AM131" i="15"/>
  <c r="AM82" i="15"/>
  <c r="AL33" i="15"/>
  <c r="AN33" i="15" s="1"/>
  <c r="AL131" i="15"/>
  <c r="AL82" i="15"/>
  <c r="AN82" i="15" s="1"/>
  <c r="AM33" i="15"/>
  <c r="AM559" i="15"/>
  <c r="AL559" i="15"/>
  <c r="AM510" i="15"/>
  <c r="AL510" i="15"/>
  <c r="AL461" i="15"/>
  <c r="AN461" i="15" s="1"/>
  <c r="AM461" i="15"/>
  <c r="AL412" i="15"/>
  <c r="AN412" i="15" s="1"/>
  <c r="AM412" i="15"/>
  <c r="AL363" i="15"/>
  <c r="AL314" i="15"/>
  <c r="AM363" i="15"/>
  <c r="AM314" i="15"/>
  <c r="AL265" i="15"/>
  <c r="AL216" i="15"/>
  <c r="AM265" i="15"/>
  <c r="AM216" i="15"/>
  <c r="AL168" i="15"/>
  <c r="AN168" i="15" s="1"/>
  <c r="AL119" i="15"/>
  <c r="AL70" i="15"/>
  <c r="AL21" i="15"/>
  <c r="AM168" i="15"/>
  <c r="AM119" i="15"/>
  <c r="AM70" i="15"/>
  <c r="AM21" i="15"/>
  <c r="AL582" i="15"/>
  <c r="AN582" i="15" s="1"/>
  <c r="AM582" i="15"/>
  <c r="AM533" i="15"/>
  <c r="AL533" i="15"/>
  <c r="AM484" i="15"/>
  <c r="AL484" i="15"/>
  <c r="AM435" i="15"/>
  <c r="AL435" i="15"/>
  <c r="AM386" i="15"/>
  <c r="AM337" i="15"/>
  <c r="AM288" i="15"/>
  <c r="AL386" i="15"/>
  <c r="AN386" i="15" s="1"/>
  <c r="AL337" i="15"/>
  <c r="AN337" i="15" s="1"/>
  <c r="AM239" i="15"/>
  <c r="AL191" i="15"/>
  <c r="AN191" i="15" s="1"/>
  <c r="AL288" i="15"/>
  <c r="AN288" i="15" s="1"/>
  <c r="AL239" i="15"/>
  <c r="AN239" i="15" s="1"/>
  <c r="AM191" i="15"/>
  <c r="AM142" i="15"/>
  <c r="AM93" i="15"/>
  <c r="AM44" i="15"/>
  <c r="AL142" i="15"/>
  <c r="AN142" i="15" s="1"/>
  <c r="AL44" i="15"/>
  <c r="AN44" i="15" s="1"/>
  <c r="AL93" i="15"/>
  <c r="AN93" i="15" s="1"/>
  <c r="AM579" i="15"/>
  <c r="AM568" i="15"/>
  <c r="AG561" i="15"/>
  <c r="AM530" i="15"/>
  <c r="AM519" i="15"/>
  <c r="AG512" i="15"/>
  <c r="AM481" i="15"/>
  <c r="AG463" i="15"/>
  <c r="AM470" i="15"/>
  <c r="AM432" i="15"/>
  <c r="AG414" i="15"/>
  <c r="AM421" i="15"/>
  <c r="AM383" i="15"/>
  <c r="AG365" i="15"/>
  <c r="AM334" i="15"/>
  <c r="AG316" i="15"/>
  <c r="AM372" i="15"/>
  <c r="AM323" i="15"/>
  <c r="AM285" i="15"/>
  <c r="AG267" i="15"/>
  <c r="AM236" i="15"/>
  <c r="AG218" i="15"/>
  <c r="AG170" i="15"/>
  <c r="AM274" i="15"/>
  <c r="AM225" i="15"/>
  <c r="AM188" i="15"/>
  <c r="AM177" i="15"/>
  <c r="AM139" i="15"/>
  <c r="AG121" i="15"/>
  <c r="AM90" i="15"/>
  <c r="AG72" i="15"/>
  <c r="AM41" i="15"/>
  <c r="AM30" i="15"/>
  <c r="AM128" i="15"/>
  <c r="AG23" i="15"/>
  <c r="AM79" i="15"/>
  <c r="A13" i="8"/>
  <c r="AX33" i="15"/>
  <c r="AX21" i="15"/>
  <c r="AX82" i="15"/>
  <c r="AX119" i="15"/>
  <c r="AX131" i="15"/>
  <c r="AX168" i="15"/>
  <c r="AX180" i="15"/>
  <c r="G51" i="15"/>
  <c r="AX216" i="15"/>
  <c r="AX228" i="15"/>
  <c r="AX265" i="15"/>
  <c r="AX277" i="15"/>
  <c r="G198" i="15"/>
  <c r="AX314" i="15"/>
  <c r="AX326" i="15"/>
  <c r="AX363" i="15"/>
  <c r="AX375" i="15"/>
  <c r="AX412" i="15"/>
  <c r="AX424" i="15"/>
  <c r="AX461" i="15"/>
  <c r="AX473" i="15"/>
  <c r="AZ491" i="15"/>
  <c r="AX510" i="15"/>
  <c r="AX522" i="15"/>
  <c r="AX571" i="15"/>
  <c r="AX559" i="15"/>
  <c r="X392" i="4" l="1"/>
  <c r="X393" i="4"/>
  <c r="B393" i="4"/>
  <c r="B392" i="4"/>
  <c r="G392" i="4"/>
  <c r="G393" i="4"/>
  <c r="AS72" i="15"/>
  <c r="AS30" i="15"/>
  <c r="AS121" i="15"/>
  <c r="AT177" i="15"/>
  <c r="AT30" i="15"/>
  <c r="AS79" i="15"/>
  <c r="AS128" i="15"/>
  <c r="AS218" i="15"/>
  <c r="AS267" i="15"/>
  <c r="AT170" i="15"/>
  <c r="AT218" i="15"/>
  <c r="AT267" i="15"/>
  <c r="AS316" i="15"/>
  <c r="AS365" i="15"/>
  <c r="AT316" i="15"/>
  <c r="AT365" i="15"/>
  <c r="AS414" i="15"/>
  <c r="AT414" i="15"/>
  <c r="AS463" i="15"/>
  <c r="AT512" i="15"/>
  <c r="AS470" i="15"/>
  <c r="AT519" i="15"/>
  <c r="AT561" i="15"/>
  <c r="AT568" i="15"/>
  <c r="AN70" i="15"/>
  <c r="AN265" i="15"/>
  <c r="AN363" i="15"/>
  <c r="AH375" i="15"/>
  <c r="AT70" i="15"/>
  <c r="AT21" i="15"/>
  <c r="AT168" i="15"/>
  <c r="AS70" i="15"/>
  <c r="AU70" i="15" s="1"/>
  <c r="AS168" i="15"/>
  <c r="AU168" i="15" s="1"/>
  <c r="AT265" i="15"/>
  <c r="AS265" i="15"/>
  <c r="AT363" i="15"/>
  <c r="AS363" i="15"/>
  <c r="AY363" i="15" s="1"/>
  <c r="AS412" i="15"/>
  <c r="AS461" i="15"/>
  <c r="AY461" i="15" s="1"/>
  <c r="AT510" i="15"/>
  <c r="AT559" i="15"/>
  <c r="AT33" i="15"/>
  <c r="AS33" i="15"/>
  <c r="AT131" i="15"/>
  <c r="AS228" i="15"/>
  <c r="AT180" i="15"/>
  <c r="AT277" i="15"/>
  <c r="AS375" i="15"/>
  <c r="AU375" i="15" s="1"/>
  <c r="AT375" i="15"/>
  <c r="AT424" i="15"/>
  <c r="AT473" i="15"/>
  <c r="AT522" i="15"/>
  <c r="AT571" i="15"/>
  <c r="AG393" i="4"/>
  <c r="AA393" i="4"/>
  <c r="R393" i="4"/>
  <c r="AV392" i="4"/>
  <c r="AP392" i="4"/>
  <c r="AN41" i="15"/>
  <c r="AN30" i="15"/>
  <c r="AH121" i="15"/>
  <c r="AH23" i="15"/>
  <c r="AN128" i="15"/>
  <c r="AH218" i="15"/>
  <c r="AH267" i="15"/>
  <c r="AL177" i="15"/>
  <c r="AN177" i="15" s="1"/>
  <c r="AL225" i="15"/>
  <c r="AN225" i="15" s="1"/>
  <c r="AF316" i="15"/>
  <c r="AH316" i="15" s="1"/>
  <c r="AF365" i="15"/>
  <c r="AH365" i="15" s="1"/>
  <c r="AL323" i="15"/>
  <c r="AN323" i="15" s="1"/>
  <c r="AF414" i="15"/>
  <c r="AH414" i="15" s="1"/>
  <c r="AL421" i="15"/>
  <c r="AN421" i="15" s="1"/>
  <c r="AL481" i="15"/>
  <c r="AN481" i="15" s="1"/>
  <c r="AF512" i="15"/>
  <c r="AH512" i="15" s="1"/>
  <c r="AL519" i="15"/>
  <c r="AN519" i="15" s="1"/>
  <c r="AL568" i="15"/>
  <c r="AN568" i="15" s="1"/>
  <c r="AP393" i="4"/>
  <c r="AD392" i="4"/>
  <c r="O392" i="4"/>
  <c r="AZ395" i="4"/>
  <c r="J395" i="4"/>
  <c r="V395" i="4"/>
  <c r="AK395" i="4"/>
  <c r="AW395" i="4"/>
  <c r="A22" i="4"/>
  <c r="S380" i="4"/>
  <c r="S388" i="4" s="1"/>
  <c r="S389" i="4" s="1"/>
  <c r="S382" i="4"/>
  <c r="S384" i="4"/>
  <c r="S391" i="4"/>
  <c r="AZ390" i="4"/>
  <c r="AZ380" i="4"/>
  <c r="AZ388" i="4" s="1"/>
  <c r="AZ389" i="4" s="1"/>
  <c r="AZ382" i="4"/>
  <c r="AZ384" i="4"/>
  <c r="AT390" i="4"/>
  <c r="AT380" i="4"/>
  <c r="AT388" i="4" s="1"/>
  <c r="AT389" i="4" s="1"/>
  <c r="AT382" i="4"/>
  <c r="AT384" i="4"/>
  <c r="AN394" i="4"/>
  <c r="AN381" i="4"/>
  <c r="AN383" i="4"/>
  <c r="AN390" i="4"/>
  <c r="AH396" i="4"/>
  <c r="AB390" i="4"/>
  <c r="AB380" i="4"/>
  <c r="AB388" i="4" s="1"/>
  <c r="AB389" i="4" s="1"/>
  <c r="AB382" i="4"/>
  <c r="AB384" i="4"/>
  <c r="X396" i="4"/>
  <c r="O24" i="8"/>
  <c r="M30" i="8"/>
  <c r="O23" i="8"/>
  <c r="O164" i="8" s="1"/>
  <c r="O165" i="8" s="1"/>
  <c r="J381" i="4"/>
  <c r="J383" i="4"/>
  <c r="J385" i="4"/>
  <c r="J391" i="4"/>
  <c r="AY393" i="4"/>
  <c r="AM393" i="4"/>
  <c r="AA392" i="4"/>
  <c r="S395" i="4"/>
  <c r="M393" i="4"/>
  <c r="M402" i="4"/>
  <c r="B401" i="4"/>
  <c r="B399" i="4"/>
  <c r="P391" i="4"/>
  <c r="P390" i="4"/>
  <c r="P384" i="4"/>
  <c r="P383" i="4"/>
  <c r="P382" i="4"/>
  <c r="P381" i="4"/>
  <c r="P380" i="4"/>
  <c r="P388" i="4" s="1"/>
  <c r="P389" i="4" s="1"/>
  <c r="P394" i="4"/>
  <c r="AQ391" i="4"/>
  <c r="AQ384" i="4"/>
  <c r="AQ383" i="4"/>
  <c r="AQ382" i="4"/>
  <c r="AQ381" i="4"/>
  <c r="AQ380" i="4"/>
  <c r="AQ388" i="4" s="1"/>
  <c r="AQ389" i="4" s="1"/>
  <c r="AQ394" i="4"/>
  <c r="AQ390" i="4"/>
  <c r="AE391" i="4"/>
  <c r="AE384" i="4"/>
  <c r="AE383" i="4"/>
  <c r="AE382" i="4"/>
  <c r="AE381" i="4"/>
  <c r="AE380" i="4"/>
  <c r="AE388" i="4" s="1"/>
  <c r="AE389" i="4" s="1"/>
  <c r="AE394" i="4"/>
  <c r="AE396" i="4" s="1"/>
  <c r="AE390" i="4"/>
  <c r="V391" i="4"/>
  <c r="V390" i="4"/>
  <c r="V384" i="4"/>
  <c r="V383" i="4"/>
  <c r="V382" i="4"/>
  <c r="V381" i="4"/>
  <c r="V380" i="4"/>
  <c r="V388" i="4" s="1"/>
  <c r="V389" i="4" s="1"/>
  <c r="V394" i="4"/>
  <c r="V396" i="4" s="1"/>
  <c r="T380" i="3"/>
  <c r="T388" i="3" s="1"/>
  <c r="T389" i="3" s="1"/>
  <c r="T382" i="3"/>
  <c r="T384" i="3"/>
  <c r="L380" i="3"/>
  <c r="L388" i="3" s="1"/>
  <c r="L389" i="3" s="1"/>
  <c r="L382" i="3"/>
  <c r="L384" i="3"/>
  <c r="H382" i="3"/>
  <c r="H384" i="3"/>
  <c r="O118" i="8"/>
  <c r="I66" i="8"/>
  <c r="O387" i="3"/>
  <c r="Y45" i="15"/>
  <c r="Y46" i="15"/>
  <c r="AY412" i="15"/>
  <c r="AY228" i="15"/>
  <c r="A14" i="8"/>
  <c r="AT23" i="15"/>
  <c r="AT79" i="15"/>
  <c r="AT128" i="15"/>
  <c r="AS23" i="15"/>
  <c r="AT72" i="15"/>
  <c r="AT121" i="15"/>
  <c r="AS170" i="15"/>
  <c r="AT225" i="15"/>
  <c r="AT274" i="15"/>
  <c r="AS177" i="15"/>
  <c r="AS225" i="15"/>
  <c r="AS274" i="15"/>
  <c r="AT323" i="15"/>
  <c r="AT372" i="15"/>
  <c r="AS323" i="15"/>
  <c r="AS372" i="15"/>
  <c r="AT421" i="15"/>
  <c r="AS421" i="15"/>
  <c r="AT470" i="15"/>
  <c r="AT463" i="15"/>
  <c r="AS512" i="15"/>
  <c r="AS519" i="15"/>
  <c r="AS561" i="15"/>
  <c r="AS568" i="15"/>
  <c r="AL583" i="15"/>
  <c r="AN583" i="15" s="1"/>
  <c r="AM583" i="15"/>
  <c r="AM534" i="15"/>
  <c r="AL534" i="15"/>
  <c r="AM485" i="15"/>
  <c r="AL485" i="15"/>
  <c r="AM436" i="15"/>
  <c r="AL436" i="15"/>
  <c r="AM387" i="15"/>
  <c r="AM338" i="15"/>
  <c r="AM289" i="15"/>
  <c r="AL387" i="15"/>
  <c r="AL338" i="15"/>
  <c r="AN338" i="15" s="1"/>
  <c r="AM240" i="15"/>
  <c r="AL192" i="15"/>
  <c r="AN192" i="15" s="1"/>
  <c r="AL289" i="15"/>
  <c r="AL240" i="15"/>
  <c r="AN240" i="15" s="1"/>
  <c r="AM192" i="15"/>
  <c r="AM143" i="15"/>
  <c r="AM94" i="15"/>
  <c r="AM45" i="15"/>
  <c r="AL143" i="15"/>
  <c r="AL45" i="15"/>
  <c r="AN45" i="15" s="1"/>
  <c r="AL94" i="15"/>
  <c r="AN94" i="15" s="1"/>
  <c r="AN435" i="15"/>
  <c r="AN484" i="15"/>
  <c r="AN533" i="15"/>
  <c r="AN21" i="15"/>
  <c r="AN119" i="15"/>
  <c r="AN216" i="15"/>
  <c r="AN314" i="15"/>
  <c r="AN510" i="15"/>
  <c r="AN559" i="15"/>
  <c r="AN131" i="15"/>
  <c r="AN277" i="15"/>
  <c r="AN424" i="15"/>
  <c r="AN473" i="15"/>
  <c r="AN522" i="15"/>
  <c r="AN571" i="15"/>
  <c r="AH412" i="15"/>
  <c r="AH82" i="15"/>
  <c r="AH228" i="15"/>
  <c r="AH326" i="15"/>
  <c r="AX70" i="15"/>
  <c r="AY70" i="15" s="1"/>
  <c r="AT119" i="15"/>
  <c r="AS21" i="15"/>
  <c r="AU21" i="15" s="1"/>
  <c r="AS119" i="15"/>
  <c r="AU119" i="15" s="1"/>
  <c r="AT216" i="15"/>
  <c r="AS216" i="15"/>
  <c r="AT314" i="15"/>
  <c r="AS314" i="15"/>
  <c r="AT412" i="15"/>
  <c r="AT461" i="15"/>
  <c r="AS510" i="15"/>
  <c r="AU510" i="15" s="1"/>
  <c r="AS559" i="15"/>
  <c r="AU559" i="15" s="1"/>
  <c r="AS82" i="15"/>
  <c r="AY82" i="15" s="1"/>
  <c r="AS131" i="15"/>
  <c r="AU131" i="15" s="1"/>
  <c r="AT82" i="15"/>
  <c r="AS180" i="15"/>
  <c r="AU180" i="15" s="1"/>
  <c r="AS277" i="15"/>
  <c r="AU277" i="15" s="1"/>
  <c r="AT228" i="15"/>
  <c r="AS326" i="15"/>
  <c r="AU326" i="15" s="1"/>
  <c r="AT326" i="15"/>
  <c r="AS424" i="15"/>
  <c r="AU424" i="15" s="1"/>
  <c r="AS473" i="15"/>
  <c r="AU473" i="15" s="1"/>
  <c r="AS522" i="15"/>
  <c r="AU522" i="15" s="1"/>
  <c r="AS571" i="15"/>
  <c r="AU571" i="15" s="1"/>
  <c r="AN144" i="15"/>
  <c r="AN290" i="15"/>
  <c r="AN388" i="15"/>
  <c r="AN437" i="15"/>
  <c r="AN486" i="15"/>
  <c r="AN535" i="15"/>
  <c r="AJ393" i="4"/>
  <c r="AD393" i="4"/>
  <c r="U393" i="4"/>
  <c r="O393" i="4"/>
  <c r="AY392" i="4"/>
  <c r="AS392" i="4"/>
  <c r="AM392" i="4"/>
  <c r="AF72" i="15"/>
  <c r="AH72" i="15" s="1"/>
  <c r="AL90" i="15"/>
  <c r="AN90" i="15" s="1"/>
  <c r="AL139" i="15"/>
  <c r="AN139" i="15" s="1"/>
  <c r="AL79" i="15"/>
  <c r="AN79" i="15" s="1"/>
  <c r="AF170" i="15"/>
  <c r="AH170" i="15" s="1"/>
  <c r="AL236" i="15"/>
  <c r="AN236" i="15" s="1"/>
  <c r="AL285" i="15"/>
  <c r="AN285" i="15" s="1"/>
  <c r="AL188" i="15"/>
  <c r="AN188" i="15" s="1"/>
  <c r="AL274" i="15"/>
  <c r="AN274" i="15" s="1"/>
  <c r="AL334" i="15"/>
  <c r="AN334" i="15" s="1"/>
  <c r="AL383" i="15"/>
  <c r="AN383" i="15" s="1"/>
  <c r="AL372" i="15"/>
  <c r="AN372" i="15" s="1"/>
  <c r="AL432" i="15"/>
  <c r="AN432" i="15" s="1"/>
  <c r="AF463" i="15"/>
  <c r="AH463" i="15" s="1"/>
  <c r="AL470" i="15"/>
  <c r="AN470" i="15" s="1"/>
  <c r="AL530" i="15"/>
  <c r="AN530" i="15" s="1"/>
  <c r="AF561" i="15"/>
  <c r="AH561" i="15" s="1"/>
  <c r="AL579" i="15"/>
  <c r="AN579" i="15" s="1"/>
  <c r="AV393" i="4"/>
  <c r="AJ392" i="4"/>
  <c r="U392" i="4"/>
  <c r="AN395" i="4"/>
  <c r="N395" i="4"/>
  <c r="P395" i="4"/>
  <c r="Y395" i="4"/>
  <c r="AQ395" i="4"/>
  <c r="G401" i="4"/>
  <c r="G399" i="4"/>
  <c r="S394" i="4"/>
  <c r="S396" i="4" s="1"/>
  <c r="S381" i="4"/>
  <c r="S392" i="4" s="1"/>
  <c r="S383" i="4"/>
  <c r="AZ394" i="4"/>
  <c r="AZ396" i="4" s="1"/>
  <c r="AZ381" i="4"/>
  <c r="AZ392" i="4" s="1"/>
  <c r="AZ383" i="4"/>
  <c r="AT394" i="4"/>
  <c r="AT396" i="4" s="1"/>
  <c r="AT381" i="4"/>
  <c r="AT393" i="4" s="1"/>
  <c r="AT383" i="4"/>
  <c r="AN380" i="4"/>
  <c r="AN388" i="4" s="1"/>
  <c r="AN389" i="4" s="1"/>
  <c r="AN382" i="4"/>
  <c r="AN384" i="4"/>
  <c r="AB394" i="4"/>
  <c r="AB381" i="4"/>
  <c r="AB393" i="4" s="1"/>
  <c r="AB383" i="4"/>
  <c r="X401" i="4"/>
  <c r="X399" i="4"/>
  <c r="N394" i="4"/>
  <c r="N396" i="4" s="1"/>
  <c r="N382" i="4"/>
  <c r="N392" i="4" s="1"/>
  <c r="J394" i="4"/>
  <c r="J380" i="4"/>
  <c r="J388" i="4" s="1"/>
  <c r="J389" i="4" s="1"/>
  <c r="J382" i="4"/>
  <c r="J393" i="4" s="1"/>
  <c r="J384" i="4"/>
  <c r="AS393" i="4"/>
  <c r="AG392" i="4"/>
  <c r="R392" i="4"/>
  <c r="AB395" i="4"/>
  <c r="AQ392" i="4"/>
  <c r="AQ393" i="4"/>
  <c r="Y393" i="4"/>
  <c r="P393" i="4"/>
  <c r="P392" i="4"/>
  <c r="M392" i="4"/>
  <c r="M401" i="4"/>
  <c r="M399" i="4"/>
  <c r="B402" i="4"/>
  <c r="AW391" i="4"/>
  <c r="AW390" i="4"/>
  <c r="AW384" i="4"/>
  <c r="AW383" i="4"/>
  <c r="AW382" i="4"/>
  <c r="AW381" i="4"/>
  <c r="AW380" i="4"/>
  <c r="AW388" i="4" s="1"/>
  <c r="AW389" i="4" s="1"/>
  <c r="AW394" i="4"/>
  <c r="AW396" i="4" s="1"/>
  <c r="AK391" i="4"/>
  <c r="AK384" i="4"/>
  <c r="AK383" i="4"/>
  <c r="AK382" i="4"/>
  <c r="AK381" i="4"/>
  <c r="AK380" i="4"/>
  <c r="AK388" i="4" s="1"/>
  <c r="AK389" i="4" s="1"/>
  <c r="AK394" i="4"/>
  <c r="AK396" i="4" s="1"/>
  <c r="AK390" i="4"/>
  <c r="Y391" i="4"/>
  <c r="Y390" i="4"/>
  <c r="Y384" i="4"/>
  <c r="Y383" i="4"/>
  <c r="Y382" i="4"/>
  <c r="Y381" i="4"/>
  <c r="Y380" i="4"/>
  <c r="Y388" i="4" s="1"/>
  <c r="Y389" i="4" s="1"/>
  <c r="Y394" i="4"/>
  <c r="Y396" i="4" s="1"/>
  <c r="M396" i="4"/>
  <c r="H391" i="4"/>
  <c r="H390" i="4"/>
  <c r="H384" i="4"/>
  <c r="H383" i="4"/>
  <c r="H382" i="4"/>
  <c r="H381" i="4"/>
  <c r="H394" i="4"/>
  <c r="H380" i="4"/>
  <c r="H388" i="4" s="1"/>
  <c r="H389" i="4" s="1"/>
  <c r="B396" i="4"/>
  <c r="A21" i="3"/>
  <c r="T381" i="3"/>
  <c r="L381" i="3"/>
  <c r="H380" i="3"/>
  <c r="H388" i="3" s="1"/>
  <c r="H389" i="3" s="1"/>
  <c r="H383" i="3"/>
  <c r="AY168" i="15" l="1"/>
  <c r="A22" i="3"/>
  <c r="H401" i="4"/>
  <c r="H396" i="4"/>
  <c r="Y392" i="4"/>
  <c r="AB396" i="4"/>
  <c r="S393" i="4"/>
  <c r="AN392" i="4"/>
  <c r="AU314" i="15"/>
  <c r="AU216" i="15"/>
  <c r="AN143" i="15"/>
  <c r="AN289" i="15"/>
  <c r="AN387" i="15"/>
  <c r="AN436" i="15"/>
  <c r="AN485" i="15"/>
  <c r="AN534" i="15"/>
  <c r="AU568" i="15"/>
  <c r="AY568" i="15"/>
  <c r="AU519" i="15"/>
  <c r="AY519" i="15"/>
  <c r="AU421" i="15"/>
  <c r="AY421" i="15"/>
  <c r="AU372" i="15"/>
  <c r="AY372" i="15"/>
  <c r="AU274" i="15"/>
  <c r="AY274" i="15"/>
  <c r="AU177" i="15"/>
  <c r="AY177" i="15"/>
  <c r="AU23" i="15"/>
  <c r="AY23" i="15"/>
  <c r="A15" i="8"/>
  <c r="AY277" i="15"/>
  <c r="AY571" i="15"/>
  <c r="P396" i="4"/>
  <c r="H393" i="4"/>
  <c r="V392" i="4"/>
  <c r="AE393" i="4"/>
  <c r="AK393" i="4"/>
  <c r="AW392" i="4"/>
  <c r="AB392" i="4"/>
  <c r="AU228" i="15"/>
  <c r="AU33" i="15"/>
  <c r="AU461" i="15"/>
  <c r="AU363" i="15"/>
  <c r="AU265" i="15"/>
  <c r="AU470" i="15"/>
  <c r="AY470" i="15"/>
  <c r="AY463" i="15"/>
  <c r="AU463" i="15"/>
  <c r="AY414" i="15"/>
  <c r="AU414" i="15"/>
  <c r="AY316" i="15"/>
  <c r="AU316" i="15"/>
  <c r="AY267" i="15"/>
  <c r="AU267" i="15"/>
  <c r="AU128" i="15"/>
  <c r="AY128" i="15"/>
  <c r="AY121" i="15"/>
  <c r="AU121" i="15"/>
  <c r="AY72" i="15"/>
  <c r="AU72" i="15"/>
  <c r="AY180" i="15"/>
  <c r="AY265" i="15"/>
  <c r="AY375" i="15"/>
  <c r="AY473" i="15"/>
  <c r="AY559" i="15"/>
  <c r="AN393" i="4"/>
  <c r="AE392" i="4"/>
  <c r="J401" i="4"/>
  <c r="J396" i="4"/>
  <c r="AT392" i="4"/>
  <c r="AU82" i="15"/>
  <c r="AU561" i="15"/>
  <c r="AY561" i="15"/>
  <c r="AU512" i="15"/>
  <c r="AY512" i="15"/>
  <c r="AU323" i="15"/>
  <c r="AY323" i="15"/>
  <c r="AU225" i="15"/>
  <c r="AY225" i="15"/>
  <c r="AY170" i="15"/>
  <c r="AU170" i="15"/>
  <c r="AY119" i="15"/>
  <c r="AY314" i="15"/>
  <c r="AY510" i="15"/>
  <c r="I227" i="8"/>
  <c r="I228" i="8" s="1"/>
  <c r="AQ396" i="4"/>
  <c r="H392" i="4"/>
  <c r="V393" i="4"/>
  <c r="AK392" i="4"/>
  <c r="AW393" i="4"/>
  <c r="AN396" i="4"/>
  <c r="A23" i="4"/>
  <c r="J392" i="4"/>
  <c r="AU412" i="15"/>
  <c r="AY365" i="15"/>
  <c r="AU365" i="15"/>
  <c r="AY218" i="15"/>
  <c r="AU218" i="15"/>
  <c r="AU79" i="15"/>
  <c r="AY79" i="15"/>
  <c r="AU30" i="15"/>
  <c r="AY30" i="15"/>
  <c r="AY33" i="15"/>
  <c r="AY21" i="15"/>
  <c r="AY131" i="15"/>
  <c r="AY216" i="15"/>
  <c r="AY326" i="15"/>
  <c r="AY424" i="15"/>
  <c r="AY522" i="15"/>
  <c r="AZ393" i="4"/>
  <c r="A16" i="8" l="1"/>
  <c r="A23" i="3"/>
  <c r="A24" i="4"/>
  <c r="A24" i="3" l="1"/>
  <c r="A25" i="4"/>
  <c r="A17" i="8"/>
  <c r="A26" i="4" l="1"/>
  <c r="A18" i="8"/>
  <c r="A25" i="3"/>
  <c r="A26" i="3" l="1"/>
  <c r="A19" i="8"/>
  <c r="A27" i="4"/>
  <c r="A27" i="3" l="1"/>
  <c r="A28" i="4"/>
  <c r="A20" i="8"/>
  <c r="A21" i="8" l="1"/>
  <c r="A29" i="4"/>
  <c r="A28" i="3"/>
  <c r="A30" i="4" l="1"/>
  <c r="A29" i="3"/>
  <c r="A22" i="8"/>
  <c r="A31" i="4" l="1"/>
  <c r="A30" i="3"/>
  <c r="A32" i="4" l="1"/>
  <c r="A31" i="3"/>
  <c r="A33" i="4" l="1"/>
  <c r="A32" i="3"/>
  <c r="A33" i="3" l="1"/>
  <c r="A34" i="4"/>
  <c r="A35" i="4" l="1"/>
  <c r="A34" i="3"/>
  <c r="A35" i="3" l="1"/>
  <c r="A36" i="4"/>
  <c r="A36" i="3" l="1"/>
  <c r="A37" i="4"/>
  <c r="A38" i="4" l="1"/>
  <c r="A37" i="3"/>
  <c r="A38" i="3" s="1"/>
  <c r="A39" i="3" s="1"/>
  <c r="A40" i="3" s="1"/>
  <c r="A41" i="3" s="1"/>
  <c r="A42" i="3" s="1"/>
  <c r="A43" i="3" l="1"/>
  <c r="A44" i="3" s="1"/>
  <c r="A45" i="3" s="1"/>
  <c r="A46" i="3" s="1"/>
  <c r="A47" i="3" s="1"/>
  <c r="A48" i="3" s="1"/>
  <c r="A49" i="3" s="1"/>
  <c r="A39" i="4"/>
  <c r="A40" i="4" s="1"/>
  <c r="A41" i="4" s="1"/>
  <c r="A42" i="4" s="1"/>
  <c r="M22" i="8"/>
  <c r="A50" i="3" l="1"/>
  <c r="A43" i="4"/>
  <c r="A44" i="4" s="1"/>
  <c r="A45" i="4" s="1"/>
  <c r="A46" i="4" s="1"/>
  <c r="A47" i="4" s="1"/>
  <c r="A48" i="4" s="1"/>
  <c r="A49" i="4" s="1"/>
  <c r="A51" i="3" l="1"/>
  <c r="A52" i="3" s="1"/>
  <c r="A53" i="3" s="1"/>
  <c r="A54" i="3" s="1"/>
  <c r="A55" i="3" s="1"/>
  <c r="A56" i="3" s="1"/>
  <c r="A50" i="4"/>
  <c r="A51" i="4" l="1"/>
  <c r="A52" i="4" s="1"/>
  <c r="A53" i="4" s="1"/>
  <c r="A54" i="4" s="1"/>
  <c r="A55" i="4" s="1"/>
  <c r="A56" i="4" s="1"/>
  <c r="A57" i="3"/>
  <c r="A58" i="3" l="1"/>
  <c r="A59" i="3" s="1"/>
  <c r="A60" i="3" s="1"/>
  <c r="A61" i="3" s="1"/>
  <c r="A62" i="3" s="1"/>
  <c r="A63" i="3" s="1"/>
  <c r="A57" i="4"/>
  <c r="A58" i="4" l="1"/>
  <c r="A59" i="4" s="1"/>
  <c r="A60" i="4" s="1"/>
  <c r="A61" i="4" s="1"/>
  <c r="A62" i="4" s="1"/>
  <c r="A63" i="4" s="1"/>
  <c r="J179" i="15"/>
  <c r="J8" i="15"/>
  <c r="J130" i="15"/>
  <c r="J325" i="15"/>
  <c r="J374" i="15"/>
  <c r="J448" i="15"/>
  <c r="J423" i="15"/>
  <c r="J472" i="15"/>
  <c r="J521" i="15"/>
  <c r="J546" i="15"/>
  <c r="J81" i="15"/>
  <c r="J32" i="15"/>
  <c r="J106" i="15"/>
  <c r="J155" i="15"/>
  <c r="J57" i="15"/>
  <c r="J203" i="15"/>
  <c r="J252" i="15"/>
  <c r="J227" i="15"/>
  <c r="J276" i="15"/>
  <c r="J301" i="15"/>
  <c r="J350" i="15"/>
  <c r="J399" i="15"/>
  <c r="J497" i="15"/>
  <c r="J570" i="15"/>
  <c r="J424" i="15"/>
  <c r="J571" i="15"/>
  <c r="J131" i="15"/>
  <c r="J228" i="15"/>
  <c r="J326" i="15"/>
  <c r="J522" i="15"/>
  <c r="J82" i="15"/>
  <c r="J473" i="15"/>
  <c r="J33" i="15"/>
  <c r="J180" i="15"/>
  <c r="J277" i="15"/>
  <c r="J375" i="15"/>
  <c r="A64" i="3"/>
  <c r="A65" i="3" l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64" i="4"/>
  <c r="A99" i="3" l="1"/>
  <c r="A100" i="3" s="1"/>
  <c r="A101" i="3" s="1"/>
  <c r="A102" i="3" s="1"/>
  <c r="A103" i="3" s="1"/>
  <c r="A104" i="3" s="1"/>
  <c r="A105" i="3" s="1"/>
  <c r="A106" i="3" s="1"/>
  <c r="A65" i="4"/>
  <c r="A66" i="4" s="1"/>
  <c r="A67" i="4" s="1"/>
  <c r="A68" i="4" s="1"/>
  <c r="A69" i="4" s="1"/>
  <c r="A70" i="4" s="1"/>
  <c r="A71" i="4" l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107" i="3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l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C64" i="15"/>
  <c r="AC15" i="15"/>
  <c r="A95" i="4"/>
  <c r="AC113" i="15"/>
  <c r="AC162" i="15"/>
  <c r="AC308" i="15"/>
  <c r="AC357" i="15"/>
  <c r="AC406" i="15"/>
  <c r="AC455" i="15"/>
  <c r="AC553" i="15"/>
  <c r="AC210" i="15"/>
  <c r="AC259" i="15"/>
  <c r="AC504" i="15"/>
  <c r="A96" i="4" l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204" i="3"/>
  <c r="A205" i="3" s="1"/>
  <c r="A206" i="3" s="1"/>
  <c r="A207" i="3" s="1"/>
  <c r="A208" i="3" s="1"/>
  <c r="A209" i="3" s="1"/>
  <c r="A210" i="3" s="1"/>
  <c r="A120" i="4" l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E578" i="15"/>
  <c r="E480" i="15"/>
  <c r="E382" i="15"/>
  <c r="E284" i="15"/>
  <c r="E187" i="15"/>
  <c r="E89" i="15"/>
  <c r="E529" i="15"/>
  <c r="E431" i="15"/>
  <c r="E333" i="15"/>
  <c r="E235" i="15"/>
  <c r="E138" i="15"/>
  <c r="E40" i="15"/>
  <c r="A211" i="3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l="1"/>
  <c r="A226" i="3" s="1"/>
  <c r="A227" i="3" s="1"/>
  <c r="A228" i="3" s="1"/>
  <c r="A229" i="3" s="1"/>
  <c r="A230" i="3" s="1"/>
  <c r="A231" i="3" s="1"/>
  <c r="G138" i="15"/>
  <c r="K138" i="15"/>
  <c r="G333" i="15"/>
  <c r="K333" i="15"/>
  <c r="G529" i="15"/>
  <c r="K529" i="15"/>
  <c r="G187" i="15"/>
  <c r="AZ187" i="15"/>
  <c r="K187" i="15"/>
  <c r="G382" i="15"/>
  <c r="K382" i="15"/>
  <c r="G578" i="15"/>
  <c r="K578" i="15"/>
  <c r="K40" i="15"/>
  <c r="G40" i="15"/>
  <c r="AZ40" i="15"/>
  <c r="G235" i="15"/>
  <c r="K235" i="15"/>
  <c r="G431" i="15"/>
  <c r="K431" i="15"/>
  <c r="G89" i="15"/>
  <c r="K89" i="15"/>
  <c r="K284" i="15"/>
  <c r="G480" i="15"/>
  <c r="K480" i="15"/>
  <c r="E590" i="15"/>
  <c r="E541" i="15"/>
  <c r="E492" i="15"/>
  <c r="E443" i="15"/>
  <c r="E394" i="15"/>
  <c r="E345" i="15"/>
  <c r="E296" i="15"/>
  <c r="E199" i="15"/>
  <c r="E247" i="15"/>
  <c r="E150" i="15"/>
  <c r="E101" i="15"/>
  <c r="E52" i="15"/>
  <c r="A137" i="4"/>
  <c r="A138" i="4" l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Z101" i="15"/>
  <c r="G101" i="15"/>
  <c r="K101" i="15"/>
  <c r="AZ150" i="15"/>
  <c r="G150" i="15"/>
  <c r="K150" i="15"/>
  <c r="G199" i="15"/>
  <c r="AZ199" i="15"/>
  <c r="K199" i="15"/>
  <c r="AZ541" i="15"/>
  <c r="G541" i="15"/>
  <c r="K541" i="15"/>
  <c r="A232" i="3"/>
  <c r="A233" i="3" s="1"/>
  <c r="A234" i="3" s="1"/>
  <c r="A235" i="3" s="1"/>
  <c r="A236" i="3" s="1"/>
  <c r="A237" i="3" s="1"/>
  <c r="A238" i="3" s="1"/>
  <c r="T85" i="15"/>
  <c r="T134" i="15"/>
  <c r="T183" i="15"/>
  <c r="T231" i="15"/>
  <c r="T280" i="15"/>
  <c r="T329" i="15"/>
  <c r="T378" i="15"/>
  <c r="T525" i="15"/>
  <c r="T574" i="15"/>
  <c r="T36" i="15"/>
  <c r="T427" i="15"/>
  <c r="T476" i="15"/>
  <c r="AZ52" i="15"/>
  <c r="K52" i="15"/>
  <c r="G52" i="15"/>
  <c r="AZ247" i="15"/>
  <c r="G247" i="15"/>
  <c r="K247" i="15"/>
  <c r="AZ296" i="15"/>
  <c r="K296" i="15"/>
  <c r="AZ345" i="15"/>
  <c r="G345" i="15"/>
  <c r="K345" i="15"/>
  <c r="AZ394" i="15"/>
  <c r="G394" i="15"/>
  <c r="K394" i="15"/>
  <c r="AZ443" i="15"/>
  <c r="G443" i="15"/>
  <c r="K443" i="15"/>
  <c r="AZ492" i="15"/>
  <c r="G492" i="15"/>
  <c r="K492" i="15"/>
  <c r="G590" i="15"/>
  <c r="AZ590" i="15"/>
  <c r="K590" i="15"/>
  <c r="A239" i="3" l="1"/>
  <c r="A240" i="3" s="1"/>
  <c r="A241" i="3" s="1"/>
  <c r="A242" i="3" s="1"/>
  <c r="A243" i="3" s="1"/>
  <c r="A244" i="3" s="1"/>
  <c r="A245" i="3" s="1"/>
  <c r="A169" i="4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46" i="3" l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T92" i="15"/>
  <c r="T581" i="15"/>
  <c r="T141" i="15"/>
  <c r="T190" i="15"/>
  <c r="T238" i="15"/>
  <c r="T287" i="15"/>
  <c r="T336" i="15"/>
  <c r="T385" i="15"/>
  <c r="T532" i="15"/>
  <c r="T43" i="15"/>
  <c r="T434" i="15"/>
  <c r="T483" i="15"/>
  <c r="A224" i="4"/>
  <c r="A225" i="4" s="1"/>
  <c r="A226" i="4" s="1"/>
  <c r="A227" i="4" s="1"/>
  <c r="A228" i="4" s="1"/>
  <c r="A229" i="4" s="1"/>
  <c r="A230" i="4" s="1"/>
  <c r="A231" i="4" s="1"/>
  <c r="A232" i="4" l="1"/>
  <c r="AC8" i="15"/>
  <c r="AC106" i="15"/>
  <c r="AC155" i="15"/>
  <c r="AC57" i="15"/>
  <c r="AC203" i="15"/>
  <c r="AC252" i="15"/>
  <c r="AC301" i="15"/>
  <c r="AC350" i="15"/>
  <c r="AC399" i="15"/>
  <c r="AC497" i="15"/>
  <c r="AC448" i="15"/>
  <c r="AC546" i="15"/>
  <c r="A337" i="3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T17" i="15"/>
  <c r="A351" i="3" l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T81" i="15"/>
  <c r="T179" i="15"/>
  <c r="T227" i="15"/>
  <c r="T521" i="15"/>
  <c r="T472" i="15"/>
  <c r="T276" i="15"/>
  <c r="T570" i="15"/>
  <c r="T325" i="15"/>
  <c r="T32" i="15"/>
  <c r="T130" i="15"/>
  <c r="T374" i="15"/>
  <c r="T423" i="15"/>
  <c r="A233" i="4"/>
  <c r="A234" i="4" s="1"/>
  <c r="A235" i="4" s="1"/>
  <c r="A236" i="4" s="1"/>
  <c r="A237" i="4" s="1"/>
  <c r="A238" i="4" s="1"/>
  <c r="J181" i="15"/>
  <c r="J34" i="15"/>
  <c r="J425" i="15"/>
  <c r="J474" i="15"/>
  <c r="J572" i="15"/>
  <c r="J83" i="15"/>
  <c r="J132" i="15"/>
  <c r="J229" i="15"/>
  <c r="J278" i="15"/>
  <c r="J327" i="15"/>
  <c r="J376" i="15"/>
  <c r="J523" i="15"/>
  <c r="O54" i="8" l="1"/>
  <c r="P41" i="15"/>
  <c r="Q41" i="15" s="1"/>
  <c r="P106" i="15"/>
  <c r="O218" i="15"/>
  <c r="P336" i="15"/>
  <c r="P506" i="15"/>
  <c r="E54" i="8"/>
  <c r="O120" i="15"/>
  <c r="P265" i="15"/>
  <c r="P326" i="15"/>
  <c r="P64" i="15"/>
  <c r="O121" i="15"/>
  <c r="O237" i="15"/>
  <c r="O357" i="15"/>
  <c r="O463" i="15"/>
  <c r="F74" i="8"/>
  <c r="P484" i="15"/>
  <c r="P21" i="15"/>
  <c r="O33" i="15"/>
  <c r="P139" i="15"/>
  <c r="Q139" i="15" s="1"/>
  <c r="P218" i="15"/>
  <c r="P325" i="15"/>
  <c r="P433" i="15"/>
  <c r="P515" i="15"/>
  <c r="P44" i="15"/>
  <c r="O217" i="15"/>
  <c r="O314" i="15"/>
  <c r="P473" i="15"/>
  <c r="P239" i="15"/>
  <c r="O119" i="15"/>
  <c r="P113" i="15"/>
  <c r="P183" i="15"/>
  <c r="O286" i="15"/>
  <c r="P408" i="15"/>
  <c r="P512" i="15"/>
  <c r="I11" i="8"/>
  <c r="P217" i="15"/>
  <c r="O412" i="15"/>
  <c r="O571" i="15"/>
  <c r="P26" i="15"/>
  <c r="P57" i="15"/>
  <c r="O170" i="15"/>
  <c r="Q170" i="15" s="1"/>
  <c r="P287" i="15"/>
  <c r="P472" i="15"/>
  <c r="O580" i="15"/>
  <c r="P288" i="15"/>
  <c r="O413" i="15"/>
  <c r="O559" i="15"/>
  <c r="J11" i="8"/>
  <c r="O15" i="15"/>
  <c r="P267" i="15"/>
  <c r="P374" i="15"/>
  <c r="O433" i="15"/>
  <c r="Q433" i="15" s="1"/>
  <c r="O553" i="15"/>
  <c r="P364" i="15"/>
  <c r="O75" i="8"/>
  <c r="P162" i="15"/>
  <c r="P236" i="15"/>
  <c r="Q236" i="15" s="1"/>
  <c r="P335" i="15"/>
  <c r="P457" i="15"/>
  <c r="P553" i="15"/>
  <c r="P191" i="15"/>
  <c r="O462" i="15"/>
  <c r="E11" i="8"/>
  <c r="P170" i="15"/>
  <c r="P248" i="15"/>
  <c r="P357" i="15"/>
  <c r="O406" i="15"/>
  <c r="P564" i="15"/>
  <c r="P142" i="15"/>
  <c r="O266" i="15"/>
  <c r="O363" i="15"/>
  <c r="O522" i="15"/>
  <c r="P102" i="15"/>
  <c r="P75" i="15"/>
  <c r="P189" i="15"/>
  <c r="O316" i="15"/>
  <c r="P482" i="15"/>
  <c r="P580" i="15"/>
  <c r="O386" i="15"/>
  <c r="O560" i="15"/>
  <c r="O180" i="15"/>
  <c r="Q180" i="15" s="1"/>
  <c r="P582" i="15"/>
  <c r="P277" i="15"/>
  <c r="P17" i="15"/>
  <c r="O42" i="15"/>
  <c r="P285" i="15"/>
  <c r="Q285" i="15" s="1"/>
  <c r="P384" i="15"/>
  <c r="O455" i="15"/>
  <c r="P570" i="15"/>
  <c r="P435" i="15"/>
  <c r="P70" i="15"/>
  <c r="P131" i="15"/>
  <c r="P121" i="15"/>
  <c r="P190" i="15"/>
  <c r="P308" i="15"/>
  <c r="P423" i="15"/>
  <c r="P525" i="15"/>
  <c r="I74" i="8"/>
  <c r="O22" i="15"/>
  <c r="O168" i="15"/>
  <c r="Q168" i="15" s="1"/>
  <c r="O326" i="15"/>
  <c r="Q326" i="15" s="1"/>
  <c r="P81" i="15"/>
  <c r="P141" i="15"/>
  <c r="O259" i="15"/>
  <c r="O384" i="15"/>
  <c r="Q384" i="15" s="1"/>
  <c r="P483" i="15"/>
  <c r="G11" i="8"/>
  <c r="P559" i="15"/>
  <c r="P375" i="15"/>
  <c r="O169" i="15"/>
  <c r="Q169" i="15" s="1"/>
  <c r="P555" i="15"/>
  <c r="P399" i="15"/>
  <c r="P346" i="15"/>
  <c r="P237" i="15"/>
  <c r="P164" i="15"/>
  <c r="O265" i="15"/>
  <c r="Q265" i="15" s="1"/>
  <c r="P22" i="15"/>
  <c r="O561" i="15"/>
  <c r="P378" i="15"/>
  <c r="O91" i="15"/>
  <c r="O70" i="15"/>
  <c r="Q70" i="15" s="1"/>
  <c r="D54" i="8"/>
  <c r="P432" i="15"/>
  <c r="Q432" i="15" s="1"/>
  <c r="P261" i="15"/>
  <c r="O228" i="15"/>
  <c r="O484" i="15"/>
  <c r="P497" i="15"/>
  <c r="P329" i="15"/>
  <c r="P85" i="15"/>
  <c r="P560" i="15"/>
  <c r="P531" i="15"/>
  <c r="P365" i="15"/>
  <c r="P134" i="15"/>
  <c r="P462" i="15"/>
  <c r="P574" i="15"/>
  <c r="P463" i="15"/>
  <c r="P395" i="15"/>
  <c r="P286" i="15"/>
  <c r="P43" i="15"/>
  <c r="O23" i="15"/>
  <c r="Q23" i="15" s="1"/>
  <c r="O277" i="15"/>
  <c r="Q277" i="15" s="1"/>
  <c r="P168" i="15"/>
  <c r="O582" i="15"/>
  <c r="O531" i="15"/>
  <c r="Q531" i="15" s="1"/>
  <c r="O267" i="15"/>
  <c r="Q267" i="15" s="1"/>
  <c r="P140" i="15"/>
  <c r="P315" i="15"/>
  <c r="P579" i="15"/>
  <c r="Q579" i="15" s="1"/>
  <c r="O308" i="15"/>
  <c r="Q308" i="15" s="1"/>
  <c r="O72" i="15"/>
  <c r="P571" i="15"/>
  <c r="P266" i="15"/>
  <c r="P591" i="15"/>
  <c r="P319" i="15"/>
  <c r="P23" i="15"/>
  <c r="P363" i="15"/>
  <c r="C54" i="8"/>
  <c r="P368" i="15"/>
  <c r="O140" i="15"/>
  <c r="F55" i="8"/>
  <c r="O216" i="15"/>
  <c r="F54" i="8"/>
  <c r="O512" i="15"/>
  <c r="Q512" i="15" s="1"/>
  <c r="P350" i="15"/>
  <c r="P221" i="15"/>
  <c r="O113" i="15"/>
  <c r="Q113" i="15" s="1"/>
  <c r="P53" i="15"/>
  <c r="O424" i="15"/>
  <c r="P511" i="15"/>
  <c r="O191" i="15"/>
  <c r="P434" i="15"/>
  <c r="P276" i="15"/>
  <c r="P15" i="15"/>
  <c r="P228" i="15"/>
  <c r="P533" i="15"/>
  <c r="P546" i="15"/>
  <c r="P316" i="15"/>
  <c r="P8" i="15"/>
  <c r="P119" i="15"/>
  <c r="D74" i="8"/>
  <c r="H54" i="8"/>
  <c r="P385" i="15"/>
  <c r="P155" i="15"/>
  <c r="O131" i="15"/>
  <c r="Q131" i="15" s="1"/>
  <c r="P386" i="15"/>
  <c r="P417" i="15"/>
  <c r="P212" i="15"/>
  <c r="B11" i="8"/>
  <c r="P33" i="15"/>
  <c r="P337" i="15"/>
  <c r="P521" i="15"/>
  <c r="P414" i="15"/>
  <c r="P297" i="15"/>
  <c r="O189" i="15"/>
  <c r="Q189" i="15" s="1"/>
  <c r="P115" i="15"/>
  <c r="P510" i="15"/>
  <c r="O315" i="15"/>
  <c r="Q315" i="15" s="1"/>
  <c r="F11" i="8"/>
  <c r="P444" i="15"/>
  <c r="P227" i="15"/>
  <c r="O510" i="15"/>
  <c r="O93" i="15"/>
  <c r="O482" i="15"/>
  <c r="Q482" i="15" s="1"/>
  <c r="P252" i="15"/>
  <c r="P90" i="15"/>
  <c r="Q90" i="15" s="1"/>
  <c r="P461" i="15"/>
  <c r="O44" i="15"/>
  <c r="Q44" i="15" s="1"/>
  <c r="O337" i="15"/>
  <c r="P493" i="15"/>
  <c r="P203" i="15"/>
  <c r="C11" i="8"/>
  <c r="O473" i="15"/>
  <c r="Q473" i="15" s="1"/>
  <c r="P120" i="15"/>
  <c r="P481" i="15"/>
  <c r="Q481" i="15" s="1"/>
  <c r="P188" i="15"/>
  <c r="Q188" i="15" s="1"/>
  <c r="P72" i="15"/>
  <c r="T314" i="15"/>
  <c r="U314" i="15" s="1"/>
  <c r="T326" i="15"/>
  <c r="U326" i="15" s="1"/>
  <c r="T168" i="15"/>
  <c r="U168" i="15" s="1"/>
  <c r="T70" i="15"/>
  <c r="U70" i="15" s="1"/>
  <c r="T216" i="15"/>
  <c r="U216" i="15" s="1"/>
  <c r="T424" i="15"/>
  <c r="U424" i="15" s="1"/>
  <c r="T412" i="15"/>
  <c r="U412" i="15" s="1"/>
  <c r="T119" i="15"/>
  <c r="U119" i="15" s="1"/>
  <c r="T559" i="15"/>
  <c r="U559" i="15" s="1"/>
  <c r="T510" i="15"/>
  <c r="U510" i="15" s="1"/>
  <c r="T571" i="15"/>
  <c r="U571" i="15" s="1"/>
  <c r="T277" i="15"/>
  <c r="U277" i="15" s="1"/>
  <c r="P32" i="15"/>
  <c r="P301" i="15"/>
  <c r="P581" i="15"/>
  <c r="O21" i="15"/>
  <c r="Q21" i="15" s="1"/>
  <c r="P91" i="15"/>
  <c r="P270" i="15"/>
  <c r="O504" i="15"/>
  <c r="O533" i="15"/>
  <c r="P522" i="15"/>
  <c r="H13" i="8"/>
  <c r="N75" i="8"/>
  <c r="H75" i="8"/>
  <c r="P36" i="15"/>
  <c r="O210" i="15"/>
  <c r="P504" i="15"/>
  <c r="O71" i="15"/>
  <c r="P424" i="15"/>
  <c r="P231" i="15"/>
  <c r="O414" i="15"/>
  <c r="Q414" i="15" s="1"/>
  <c r="H74" i="8"/>
  <c r="P314" i="15"/>
  <c r="I13" i="8"/>
  <c r="N55" i="8"/>
  <c r="P210" i="15"/>
  <c r="P406" i="15"/>
  <c r="O142" i="15"/>
  <c r="P412" i="15"/>
  <c r="O64" i="15"/>
  <c r="Q64" i="15" s="1"/>
  <c r="P383" i="15"/>
  <c r="Q383" i="15" s="1"/>
  <c r="P561" i="15"/>
  <c r="P169" i="15"/>
  <c r="N74" i="8"/>
  <c r="O76" i="8"/>
  <c r="F56" i="8"/>
  <c r="H55" i="8"/>
  <c r="E55" i="8"/>
  <c r="Q12" i="8"/>
  <c r="P259" i="15"/>
  <c r="P455" i="15"/>
  <c r="O239" i="15"/>
  <c r="D11" i="8"/>
  <c r="P92" i="15"/>
  <c r="O365" i="15"/>
  <c r="Q365" i="15" s="1"/>
  <c r="C74" i="8"/>
  <c r="O511" i="15"/>
  <c r="Q511" i="15" s="1"/>
  <c r="N56" i="8"/>
  <c r="D76" i="8"/>
  <c r="O74" i="8"/>
  <c r="T522" i="15"/>
  <c r="U522" i="15" s="1"/>
  <c r="T131" i="15"/>
  <c r="U131" i="15" s="1"/>
  <c r="T375" i="15"/>
  <c r="T461" i="15"/>
  <c r="T82" i="15"/>
  <c r="T473" i="15"/>
  <c r="U473" i="15" s="1"/>
  <c r="T33" i="15"/>
  <c r="U33" i="15" s="1"/>
  <c r="T228" i="15"/>
  <c r="U228" i="15" s="1"/>
  <c r="T265" i="15"/>
  <c r="U265" i="15" s="1"/>
  <c r="T363" i="15"/>
  <c r="U363" i="15" s="1"/>
  <c r="T180" i="15"/>
  <c r="U180" i="15" s="1"/>
  <c r="Q11" i="8"/>
  <c r="P173" i="15"/>
  <c r="P476" i="15"/>
  <c r="O435" i="15"/>
  <c r="P180" i="15"/>
  <c r="O162" i="15"/>
  <c r="Q162" i="15" s="1"/>
  <c r="P427" i="15"/>
  <c r="H11" i="8"/>
  <c r="O461" i="15"/>
  <c r="Q461" i="15" s="1"/>
  <c r="E56" i="8"/>
  <c r="G13" i="8"/>
  <c r="F13" i="8"/>
  <c r="I75" i="8"/>
  <c r="E75" i="8"/>
  <c r="P124" i="15"/>
  <c r="O335" i="15"/>
  <c r="Q335" i="15" s="1"/>
  <c r="E74" i="8"/>
  <c r="P216" i="15"/>
  <c r="P151" i="15"/>
  <c r="P334" i="15"/>
  <c r="Q334" i="15" s="1"/>
  <c r="P532" i="15"/>
  <c r="P71" i="15"/>
  <c r="O375" i="15"/>
  <c r="Q375" i="15" s="1"/>
  <c r="H56" i="8"/>
  <c r="H12" i="8"/>
  <c r="P130" i="15"/>
  <c r="P310" i="15"/>
  <c r="P530" i="15"/>
  <c r="Q530" i="15" s="1"/>
  <c r="O364" i="15"/>
  <c r="Q364" i="15" s="1"/>
  <c r="P42" i="15"/>
  <c r="P280" i="15"/>
  <c r="P448" i="15"/>
  <c r="P93" i="15"/>
  <c r="P82" i="15"/>
  <c r="H76" i="8"/>
  <c r="N54" i="8"/>
  <c r="G12" i="8"/>
  <c r="E12" i="8"/>
  <c r="P179" i="15"/>
  <c r="P359" i="15"/>
  <c r="P542" i="15"/>
  <c r="P413" i="15"/>
  <c r="P66" i="15"/>
  <c r="P238" i="15"/>
  <c r="P466" i="15"/>
  <c r="O288" i="15"/>
  <c r="O82" i="15"/>
  <c r="Q82" i="15" s="1"/>
  <c r="F76" i="8"/>
  <c r="F12" i="8"/>
  <c r="H31" i="8" s="1"/>
  <c r="J12" i="8"/>
  <c r="B13" i="8"/>
  <c r="C56" i="8"/>
  <c r="N76" i="8"/>
  <c r="N100" i="8" s="1"/>
  <c r="B12" i="8"/>
  <c r="C55" i="8"/>
  <c r="I76" i="8"/>
  <c r="J13" i="8"/>
  <c r="C13" i="8"/>
  <c r="C75" i="8"/>
  <c r="C99" i="8" s="1"/>
  <c r="F75" i="8"/>
  <c r="F99" i="8" s="1"/>
  <c r="D75" i="8"/>
  <c r="D99" i="8" s="1"/>
  <c r="E76" i="8"/>
  <c r="D12" i="8"/>
  <c r="G31" i="8" s="1"/>
  <c r="D56" i="8"/>
  <c r="C76" i="8"/>
  <c r="C100" i="8" s="1"/>
  <c r="O55" i="8"/>
  <c r="D13" i="8"/>
  <c r="G32" i="8" s="1"/>
  <c r="I12" i="8"/>
  <c r="C12" i="8"/>
  <c r="Q13" i="8"/>
  <c r="E13" i="8"/>
  <c r="D55" i="8"/>
  <c r="O56" i="8"/>
  <c r="C57" i="8"/>
  <c r="H57" i="8"/>
  <c r="H14" i="8"/>
  <c r="C77" i="8"/>
  <c r="Q14" i="8"/>
  <c r="F57" i="8"/>
  <c r="I14" i="8"/>
  <c r="E14" i="8"/>
  <c r="D14" i="8"/>
  <c r="T21" i="15"/>
  <c r="U21" i="15" s="1"/>
  <c r="H77" i="8"/>
  <c r="F77" i="8"/>
  <c r="O77" i="8"/>
  <c r="H15" i="8"/>
  <c r="Q15" i="8"/>
  <c r="D78" i="8"/>
  <c r="C14" i="8"/>
  <c r="C78" i="8"/>
  <c r="D77" i="8"/>
  <c r="D58" i="8"/>
  <c r="N78" i="8"/>
  <c r="F15" i="8"/>
  <c r="C15" i="8"/>
  <c r="B14" i="8"/>
  <c r="J14" i="8"/>
  <c r="D57" i="8"/>
  <c r="E15" i="8"/>
  <c r="E77" i="8"/>
  <c r="E101" i="8" s="1"/>
  <c r="O78" i="8"/>
  <c r="H78" i="8"/>
  <c r="H102" i="8" s="1"/>
  <c r="I15" i="8"/>
  <c r="I77" i="8"/>
  <c r="I101" i="8" s="1"/>
  <c r="E58" i="8"/>
  <c r="D15" i="8"/>
  <c r="G34" i="8" s="1"/>
  <c r="J15" i="8"/>
  <c r="H58" i="8"/>
  <c r="G14" i="8"/>
  <c r="G121" i="8" s="1"/>
  <c r="O58" i="8"/>
  <c r="N57" i="8"/>
  <c r="N58" i="8"/>
  <c r="F58" i="8"/>
  <c r="E78" i="8"/>
  <c r="E102" i="8" s="1"/>
  <c r="F14" i="8"/>
  <c r="H33" i="8" s="1"/>
  <c r="F78" i="8"/>
  <c r="F102" i="8" s="1"/>
  <c r="I78" i="8"/>
  <c r="E57" i="8"/>
  <c r="C58" i="8"/>
  <c r="O57" i="8"/>
  <c r="B15" i="8"/>
  <c r="G15" i="8"/>
  <c r="N77" i="8"/>
  <c r="N101" i="8" s="1"/>
  <c r="C63" i="8"/>
  <c r="T288" i="15"/>
  <c r="U288" i="15" s="1"/>
  <c r="E20" i="8"/>
  <c r="T142" i="15"/>
  <c r="U142" i="15" s="1"/>
  <c r="T93" i="15"/>
  <c r="U93" i="15" s="1"/>
  <c r="T191" i="15"/>
  <c r="U191" i="15" s="1"/>
  <c r="G16" i="8"/>
  <c r="E16" i="8"/>
  <c r="D80" i="8"/>
  <c r="E60" i="8"/>
  <c r="O79" i="8"/>
  <c r="O103" i="8" s="1"/>
  <c r="N80" i="8"/>
  <c r="F79" i="8"/>
  <c r="F103" i="8" s="1"/>
  <c r="C80" i="8"/>
  <c r="H59" i="8"/>
  <c r="D59" i="8"/>
  <c r="I80" i="8"/>
  <c r="I104" i="8" s="1"/>
  <c r="Q17" i="8"/>
  <c r="O60" i="8"/>
  <c r="T582" i="15"/>
  <c r="U582" i="15" s="1"/>
  <c r="T44" i="15"/>
  <c r="U44" i="15" s="1"/>
  <c r="T386" i="15"/>
  <c r="U386" i="15" s="1"/>
  <c r="C79" i="8"/>
  <c r="C103" i="8" s="1"/>
  <c r="O80" i="8"/>
  <c r="C16" i="8"/>
  <c r="D60" i="8"/>
  <c r="N79" i="8"/>
  <c r="N103" i="8" s="1"/>
  <c r="I79" i="8"/>
  <c r="F17" i="8"/>
  <c r="H36" i="8" s="1"/>
  <c r="H60" i="8"/>
  <c r="H80" i="8"/>
  <c r="H104" i="8" s="1"/>
  <c r="D16" i="8"/>
  <c r="I17" i="8"/>
  <c r="O83" i="8"/>
  <c r="C83" i="8"/>
  <c r="T484" i="15"/>
  <c r="U484" i="15" s="1"/>
  <c r="T337" i="15"/>
  <c r="U337" i="15" s="1"/>
  <c r="T533" i="15"/>
  <c r="U533" i="15" s="1"/>
  <c r="D79" i="8"/>
  <c r="D103" i="8" s="1"/>
  <c r="C59" i="8"/>
  <c r="H17" i="8"/>
  <c r="I36" i="8" s="1"/>
  <c r="B16" i="8"/>
  <c r="F59" i="8"/>
  <c r="F60" i="8"/>
  <c r="E17" i="8"/>
  <c r="B17" i="8"/>
  <c r="E79" i="8"/>
  <c r="E103" i="8" s="1"/>
  <c r="I16" i="8"/>
  <c r="D17" i="8"/>
  <c r="G36" i="8" s="1"/>
  <c r="Q16" i="8"/>
  <c r="T239" i="15"/>
  <c r="U239" i="15" s="1"/>
  <c r="T435" i="15"/>
  <c r="U435" i="15" s="1"/>
  <c r="F16" i="8"/>
  <c r="H35" i="8" s="1"/>
  <c r="J17" i="8"/>
  <c r="C60" i="8"/>
  <c r="N59" i="8"/>
  <c r="H16" i="8"/>
  <c r="I35" i="8" s="1"/>
  <c r="G17" i="8"/>
  <c r="G124" i="8" s="1"/>
  <c r="N60" i="8"/>
  <c r="E80" i="8"/>
  <c r="E104" i="8" s="1"/>
  <c r="H79" i="8"/>
  <c r="H103" i="8" s="1"/>
  <c r="F80" i="8"/>
  <c r="F104" i="8" s="1"/>
  <c r="E59" i="8"/>
  <c r="O59" i="8"/>
  <c r="C17" i="8"/>
  <c r="J16" i="8"/>
  <c r="C65" i="8"/>
  <c r="D81" i="8"/>
  <c r="F63" i="8"/>
  <c r="D20" i="8"/>
  <c r="G22" i="8"/>
  <c r="G129" i="8" s="1"/>
  <c r="F83" i="8"/>
  <c r="O81" i="8"/>
  <c r="D18" i="8"/>
  <c r="H83" i="8"/>
  <c r="H107" i="8" s="1"/>
  <c r="G18" i="8"/>
  <c r="G125" i="8" s="1"/>
  <c r="I18" i="8"/>
  <c r="H125" i="8" s="1"/>
  <c r="C81" i="8"/>
  <c r="O61" i="8"/>
  <c r="F81" i="8"/>
  <c r="H63" i="8"/>
  <c r="N81" i="8"/>
  <c r="N61" i="8"/>
  <c r="E18" i="8"/>
  <c r="N85" i="8"/>
  <c r="F18" i="8"/>
  <c r="H37" i="8" s="1"/>
  <c r="F61" i="8"/>
  <c r="I81" i="8"/>
  <c r="E61" i="8"/>
  <c r="H61" i="8"/>
  <c r="E81" i="8"/>
  <c r="H18" i="8"/>
  <c r="I37" i="8" s="1"/>
  <c r="D61" i="8"/>
  <c r="I20" i="8"/>
  <c r="H81" i="8"/>
  <c r="C61" i="8"/>
  <c r="H20" i="8"/>
  <c r="I39" i="8" s="1"/>
  <c r="J18" i="8"/>
  <c r="C18" i="8"/>
  <c r="Q20" i="8"/>
  <c r="O62" i="8"/>
  <c r="J19" i="8"/>
  <c r="E62" i="8"/>
  <c r="F62" i="8"/>
  <c r="C82" i="8"/>
  <c r="C106" i="8" s="1"/>
  <c r="C62" i="8"/>
  <c r="F20" i="8"/>
  <c r="H39" i="8" s="1"/>
  <c r="I83" i="8"/>
  <c r="H62" i="8"/>
  <c r="N126" i="8" s="1"/>
  <c r="B20" i="8"/>
  <c r="Q19" i="8"/>
  <c r="C19" i="8"/>
  <c r="H82" i="8"/>
  <c r="H106" i="8" s="1"/>
  <c r="G19" i="8"/>
  <c r="J20" i="8"/>
  <c r="N82" i="8"/>
  <c r="E83" i="8"/>
  <c r="E107" i="8" s="1"/>
  <c r="F82" i="8"/>
  <c r="D63" i="8"/>
  <c r="N63" i="8"/>
  <c r="O65" i="8"/>
  <c r="Q18" i="8"/>
  <c r="B18" i="8"/>
  <c r="E82" i="8"/>
  <c r="N83" i="8"/>
  <c r="N107" i="8" s="1"/>
  <c r="E63" i="8"/>
  <c r="H19" i="8"/>
  <c r="I38" i="8" s="1"/>
  <c r="O63" i="8"/>
  <c r="D62" i="8"/>
  <c r="B19" i="8"/>
  <c r="I19" i="8"/>
  <c r="F19" i="8"/>
  <c r="H38" i="8" s="1"/>
  <c r="F22" i="8"/>
  <c r="H41" i="8" s="1"/>
  <c r="D19" i="8"/>
  <c r="G38" i="8" s="1"/>
  <c r="G20" i="8"/>
  <c r="D83" i="8"/>
  <c r="D107" i="8" s="1"/>
  <c r="O82" i="8"/>
  <c r="O106" i="8" s="1"/>
  <c r="C20" i="8"/>
  <c r="E19" i="8"/>
  <c r="I82" i="8"/>
  <c r="I106" i="8" s="1"/>
  <c r="N62" i="8"/>
  <c r="D82" i="8"/>
  <c r="D106" i="8" s="1"/>
  <c r="F85" i="8"/>
  <c r="T151" i="15"/>
  <c r="T466" i="15"/>
  <c r="T444" i="15"/>
  <c r="T346" i="15"/>
  <c r="T591" i="15"/>
  <c r="T75" i="15"/>
  <c r="T53" i="15"/>
  <c r="T417" i="15"/>
  <c r="T270" i="15"/>
  <c r="T173" i="15"/>
  <c r="T515" i="15"/>
  <c r="H65" i="8"/>
  <c r="N129" i="8" s="1"/>
  <c r="O85" i="8"/>
  <c r="T395" i="15"/>
  <c r="T221" i="15"/>
  <c r="T248" i="15"/>
  <c r="T368" i="15"/>
  <c r="T297" i="15"/>
  <c r="T493" i="15"/>
  <c r="T542" i="15"/>
  <c r="T124" i="15"/>
  <c r="T319" i="15"/>
  <c r="E85" i="8"/>
  <c r="D65" i="8"/>
  <c r="H64" i="8"/>
  <c r="C84" i="8"/>
  <c r="C85" i="8"/>
  <c r="E21" i="8"/>
  <c r="N65" i="8"/>
  <c r="F64" i="8"/>
  <c r="Q22" i="8"/>
  <c r="C21" i="8"/>
  <c r="Q21" i="8"/>
  <c r="B22" i="8"/>
  <c r="L41" i="8" s="1"/>
  <c r="I84" i="8"/>
  <c r="E22" i="8"/>
  <c r="C64" i="8"/>
  <c r="N64" i="8"/>
  <c r="H85" i="8"/>
  <c r="E64" i="8"/>
  <c r="D22" i="8"/>
  <c r="J21" i="8"/>
  <c r="F84" i="8"/>
  <c r="I85" i="8"/>
  <c r="I109" i="8" s="1"/>
  <c r="C22" i="8"/>
  <c r="F21" i="8"/>
  <c r="H40" i="8" s="1"/>
  <c r="O64" i="8"/>
  <c r="D84" i="8"/>
  <c r="I22" i="8"/>
  <c r="H129" i="8" s="1"/>
  <c r="N84" i="8"/>
  <c r="O84" i="8"/>
  <c r="D85" i="8"/>
  <c r="D109" i="8" s="1"/>
  <c r="H21" i="8"/>
  <c r="I40" i="8" s="1"/>
  <c r="H22" i="8"/>
  <c r="I41" i="8" s="1"/>
  <c r="J22" i="8"/>
  <c r="I21" i="8"/>
  <c r="H128" i="8" s="1"/>
  <c r="E65" i="8"/>
  <c r="B21" i="8"/>
  <c r="D64" i="8"/>
  <c r="G21" i="8"/>
  <c r="G128" i="8" s="1"/>
  <c r="D21" i="8"/>
  <c r="E84" i="8"/>
  <c r="E108" i="8" s="1"/>
  <c r="H84" i="8"/>
  <c r="F65" i="8"/>
  <c r="K74" i="8"/>
  <c r="J76" i="8"/>
  <c r="J100" i="8" s="1"/>
  <c r="M75" i="8"/>
  <c r="M99" i="8" s="1"/>
  <c r="L76" i="8"/>
  <c r="L100" i="8" s="1"/>
  <c r="L54" i="8"/>
  <c r="P56" i="8"/>
  <c r="J55" i="8"/>
  <c r="K76" i="8"/>
  <c r="K100" i="8" s="1"/>
  <c r="M56" i="8"/>
  <c r="P54" i="8"/>
  <c r="K56" i="8"/>
  <c r="J75" i="8"/>
  <c r="J99" i="8" s="1"/>
  <c r="J56" i="8"/>
  <c r="K75" i="8"/>
  <c r="K99" i="8" s="1"/>
  <c r="P74" i="8"/>
  <c r="P55" i="8"/>
  <c r="M74" i="8"/>
  <c r="J54" i="8"/>
  <c r="L56" i="8"/>
  <c r="K55" i="8"/>
  <c r="P76" i="8"/>
  <c r="P100" i="8" s="1"/>
  <c r="L55" i="8"/>
  <c r="P75" i="8"/>
  <c r="P99" i="8" s="1"/>
  <c r="L74" i="8"/>
  <c r="M76" i="8"/>
  <c r="M100" i="8" s="1"/>
  <c r="L75" i="8"/>
  <c r="L99" i="8" s="1"/>
  <c r="M55" i="8"/>
  <c r="J74" i="8"/>
  <c r="K54" i="8"/>
  <c r="M54" i="8"/>
  <c r="T57" i="15"/>
  <c r="T546" i="15"/>
  <c r="T155" i="15"/>
  <c r="T252" i="15"/>
  <c r="T399" i="15"/>
  <c r="T8" i="15"/>
  <c r="U8" i="15" s="1"/>
  <c r="T301" i="15"/>
  <c r="T497" i="15"/>
  <c r="T448" i="15"/>
  <c r="T106" i="15"/>
  <c r="T203" i="15"/>
  <c r="T350" i="15"/>
  <c r="U350" i="15" s="1"/>
  <c r="P83" i="8"/>
  <c r="P107" i="8" s="1"/>
  <c r="O368" i="15"/>
  <c r="Q368" i="15" s="1"/>
  <c r="O26" i="15"/>
  <c r="Q26" i="15" s="1"/>
  <c r="O287" i="15"/>
  <c r="O124" i="15"/>
  <c r="Q124" i="15" s="1"/>
  <c r="O359" i="15"/>
  <c r="Q359" i="15" s="1"/>
  <c r="K58" i="8"/>
  <c r="J80" i="8"/>
  <c r="J104" i="8" s="1"/>
  <c r="L82" i="8"/>
  <c r="L106" i="8" s="1"/>
  <c r="O555" i="15"/>
  <c r="Q555" i="15" s="1"/>
  <c r="O297" i="15"/>
  <c r="Q297" i="15" s="1"/>
  <c r="O53" i="15"/>
  <c r="Q53" i="15" s="1"/>
  <c r="O319" i="15"/>
  <c r="Q319" i="15" s="1"/>
  <c r="O155" i="15"/>
  <c r="Q155" i="15" s="1"/>
  <c r="O378" i="15"/>
  <c r="K59" i="8"/>
  <c r="M80" i="8"/>
  <c r="M104" i="8" s="1"/>
  <c r="J82" i="8"/>
  <c r="J106" i="8" s="1"/>
  <c r="O570" i="15"/>
  <c r="Q570" i="15" s="1"/>
  <c r="O325" i="15"/>
  <c r="Q325" i="15" s="1"/>
  <c r="O81" i="15"/>
  <c r="Q81" i="15" s="1"/>
  <c r="L57" i="8"/>
  <c r="O115" i="15"/>
  <c r="Q115" i="15" s="1"/>
  <c r="O574" i="15"/>
  <c r="O310" i="15"/>
  <c r="Q310" i="15" s="1"/>
  <c r="L59" i="8"/>
  <c r="J61" i="8"/>
  <c r="L62" i="8"/>
  <c r="J63" i="8"/>
  <c r="O497" i="15"/>
  <c r="Q497" i="15" s="1"/>
  <c r="O231" i="15"/>
  <c r="T102" i="15"/>
  <c r="U102" i="15" s="1"/>
  <c r="O542" i="15"/>
  <c r="Q542" i="15" s="1"/>
  <c r="O36" i="15"/>
  <c r="O521" i="15"/>
  <c r="Q521" i="15" s="1"/>
  <c r="J57" i="8"/>
  <c r="M79" i="8"/>
  <c r="M103" i="8" s="1"/>
  <c r="P60" i="8"/>
  <c r="K62" i="8"/>
  <c r="O476" i="15"/>
  <c r="O261" i="15"/>
  <c r="Q261" i="15" s="1"/>
  <c r="O57" i="15"/>
  <c r="Q57" i="15" s="1"/>
  <c r="O190" i="15"/>
  <c r="O546" i="15"/>
  <c r="Q546" i="15" s="1"/>
  <c r="P78" i="8"/>
  <c r="P102" i="8" s="1"/>
  <c r="L80" i="8"/>
  <c r="L104" i="8" s="1"/>
  <c r="P81" i="8"/>
  <c r="P105" i="8" s="1"/>
  <c r="L63" i="8"/>
  <c r="O395" i="15"/>
  <c r="Q395" i="15" s="1"/>
  <c r="O151" i="15"/>
  <c r="Q151" i="15" s="1"/>
  <c r="P77" i="8"/>
  <c r="P101" i="8" s="1"/>
  <c r="O85" i="15"/>
  <c r="O564" i="15"/>
  <c r="Q564" i="15" s="1"/>
  <c r="O385" i="15"/>
  <c r="K78" i="8"/>
  <c r="K102" i="8" s="1"/>
  <c r="K60" i="8"/>
  <c r="P82" i="8"/>
  <c r="P106" i="8" s="1"/>
  <c r="P63" i="8"/>
  <c r="O417" i="15"/>
  <c r="Q417" i="15" s="1"/>
  <c r="O203" i="15"/>
  <c r="Q203" i="15" s="1"/>
  <c r="O350" i="15"/>
  <c r="Q350" i="15" s="1"/>
  <c r="O17" i="15"/>
  <c r="O515" i="15"/>
  <c r="Q515" i="15" s="1"/>
  <c r="K57" i="8"/>
  <c r="J59" i="8"/>
  <c r="L60" i="8"/>
  <c r="J62" i="8"/>
  <c r="O525" i="15"/>
  <c r="O336" i="15"/>
  <c r="O173" i="15"/>
  <c r="Q173" i="15" s="1"/>
  <c r="O276" i="15"/>
  <c r="Q276" i="15" s="1"/>
  <c r="O75" i="15"/>
  <c r="Q75" i="15" s="1"/>
  <c r="O483" i="15"/>
  <c r="L78" i="8"/>
  <c r="L102" i="8" s="1"/>
  <c r="J60" i="8"/>
  <c r="L81" i="8"/>
  <c r="L105" i="8" s="1"/>
  <c r="O423" i="15"/>
  <c r="Q423" i="15" s="1"/>
  <c r="O270" i="15"/>
  <c r="Q270" i="15" s="1"/>
  <c r="K77" i="8"/>
  <c r="K101" i="8" s="1"/>
  <c r="O164" i="15"/>
  <c r="Q164" i="15" s="1"/>
  <c r="O472" i="15"/>
  <c r="Q472" i="15" s="1"/>
  <c r="P58" i="8"/>
  <c r="L79" i="8"/>
  <c r="L103" i="8" s="1"/>
  <c r="K61" i="8"/>
  <c r="M62" i="8"/>
  <c r="M83" i="8"/>
  <c r="M107" i="8" s="1"/>
  <c r="O444" i="15"/>
  <c r="Q444" i="15" s="1"/>
  <c r="O183" i="15"/>
  <c r="O8" i="15"/>
  <c r="Q8" i="15" s="1"/>
  <c r="O221" i="15"/>
  <c r="Q221" i="15" s="1"/>
  <c r="O493" i="15"/>
  <c r="Q493" i="15" s="1"/>
  <c r="M58" i="8"/>
  <c r="P80" i="8"/>
  <c r="P104" i="8" s="1"/>
  <c r="L61" i="8"/>
  <c r="M63" i="8"/>
  <c r="O466" i="15"/>
  <c r="Q466" i="15" s="1"/>
  <c r="O212" i="15"/>
  <c r="Q212" i="15" s="1"/>
  <c r="O32" i="15"/>
  <c r="Q32" i="15" s="1"/>
  <c r="O248" i="15"/>
  <c r="Q248" i="15" s="1"/>
  <c r="O106" i="15"/>
  <c r="Q106" i="15" s="1"/>
  <c r="O457" i="15"/>
  <c r="Q457" i="15" s="1"/>
  <c r="J58" i="8"/>
  <c r="K80" i="8"/>
  <c r="K104" i="8" s="1"/>
  <c r="M61" i="8"/>
  <c r="O591" i="15"/>
  <c r="Q591" i="15" s="1"/>
  <c r="O346" i="15"/>
  <c r="Q346" i="15" s="1"/>
  <c r="O102" i="15"/>
  <c r="Q102" i="15" s="1"/>
  <c r="M57" i="8"/>
  <c r="O179" i="15"/>
  <c r="Q179" i="15" s="1"/>
  <c r="M77" i="8"/>
  <c r="M101" i="8" s="1"/>
  <c r="O434" i="15"/>
  <c r="L58" i="8"/>
  <c r="M59" i="8"/>
  <c r="K81" i="8"/>
  <c r="K105" i="8" s="1"/>
  <c r="J83" i="8"/>
  <c r="J107" i="8" s="1"/>
  <c r="K83" i="8"/>
  <c r="K107" i="8" s="1"/>
  <c r="O374" i="15"/>
  <c r="Q374" i="15" s="1"/>
  <c r="O130" i="15"/>
  <c r="Q130" i="15" s="1"/>
  <c r="L77" i="8"/>
  <c r="L101" i="8" s="1"/>
  <c r="O66" i="15"/>
  <c r="Q66" i="15" s="1"/>
  <c r="O408" i="15"/>
  <c r="Q408" i="15" s="1"/>
  <c r="K79" i="8"/>
  <c r="K103" i="8" s="1"/>
  <c r="M60" i="8"/>
  <c r="K82" i="8"/>
  <c r="K106" i="8" s="1"/>
  <c r="O506" i="15"/>
  <c r="Q506" i="15" s="1"/>
  <c r="O280" i="15"/>
  <c r="O92" i="15"/>
  <c r="O227" i="15"/>
  <c r="Q227" i="15" s="1"/>
  <c r="O43" i="15"/>
  <c r="O427" i="15"/>
  <c r="J78" i="8"/>
  <c r="J102" i="8" s="1"/>
  <c r="P79" i="8"/>
  <c r="P103" i="8" s="1"/>
  <c r="J81" i="8"/>
  <c r="J105" i="8" s="1"/>
  <c r="M82" i="8"/>
  <c r="M106" i="8" s="1"/>
  <c r="O532" i="15"/>
  <c r="O301" i="15"/>
  <c r="Q301" i="15" s="1"/>
  <c r="O141" i="15"/>
  <c r="O252" i="15"/>
  <c r="Q252" i="15" s="1"/>
  <c r="J77" i="8"/>
  <c r="J101" i="8" s="1"/>
  <c r="O399" i="15"/>
  <c r="Q399" i="15" s="1"/>
  <c r="M78" i="8"/>
  <c r="M102" i="8" s="1"/>
  <c r="J79" i="8"/>
  <c r="J103" i="8" s="1"/>
  <c r="P61" i="8"/>
  <c r="K63" i="8"/>
  <c r="L83" i="8"/>
  <c r="L107" i="8" s="1"/>
  <c r="O448" i="15"/>
  <c r="Q448" i="15" s="1"/>
  <c r="O238" i="15"/>
  <c r="P57" i="8"/>
  <c r="O134" i="15"/>
  <c r="O581" i="15"/>
  <c r="O329" i="15"/>
  <c r="P59" i="8"/>
  <c r="M81" i="8"/>
  <c r="M105" i="8" s="1"/>
  <c r="P62" i="8"/>
  <c r="K64" i="8"/>
  <c r="K84" i="8"/>
  <c r="K108" i="8" s="1"/>
  <c r="J84" i="8"/>
  <c r="J108" i="8" s="1"/>
  <c r="K85" i="8"/>
  <c r="K109" i="8" s="1"/>
  <c r="M65" i="8"/>
  <c r="L85" i="8"/>
  <c r="L109" i="8" s="1"/>
  <c r="P85" i="8"/>
  <c r="P109" i="8" s="1"/>
  <c r="J65" i="8"/>
  <c r="M85" i="8"/>
  <c r="M109" i="8" s="1"/>
  <c r="L84" i="8"/>
  <c r="L108" i="8" s="1"/>
  <c r="P84" i="8"/>
  <c r="P108" i="8" s="1"/>
  <c r="M64" i="8"/>
  <c r="J85" i="8"/>
  <c r="J109" i="8" s="1"/>
  <c r="L64" i="8"/>
  <c r="L65" i="8"/>
  <c r="P65" i="8"/>
  <c r="J64" i="8"/>
  <c r="M84" i="8"/>
  <c r="M108" i="8" s="1"/>
  <c r="P64" i="8"/>
  <c r="K65" i="8"/>
  <c r="T72" i="15"/>
  <c r="U72" i="15" s="1"/>
  <c r="T365" i="15"/>
  <c r="U365" i="15" s="1"/>
  <c r="T218" i="15"/>
  <c r="U218" i="15" s="1"/>
  <c r="T512" i="15"/>
  <c r="U512" i="15" s="1"/>
  <c r="T121" i="15"/>
  <c r="U121" i="15" s="1"/>
  <c r="T414" i="15"/>
  <c r="U414" i="15" s="1"/>
  <c r="T267" i="15"/>
  <c r="U267" i="15" s="1"/>
  <c r="T561" i="15"/>
  <c r="U561" i="15" s="1"/>
  <c r="T316" i="15"/>
  <c r="U316" i="15" s="1"/>
  <c r="T23" i="15"/>
  <c r="U23" i="15" s="1"/>
  <c r="T463" i="15"/>
  <c r="U463" i="15" s="1"/>
  <c r="T26" i="15"/>
  <c r="U26" i="15" s="1"/>
  <c r="T564" i="15"/>
  <c r="U564" i="15" s="1"/>
  <c r="T170" i="15"/>
  <c r="U170" i="15" s="1"/>
  <c r="T115" i="15"/>
  <c r="U115" i="15" s="1"/>
  <c r="T261" i="15"/>
  <c r="U261" i="15" s="1"/>
  <c r="T359" i="15"/>
  <c r="U359" i="15" s="1"/>
  <c r="T310" i="15"/>
  <c r="U310" i="15" s="1"/>
  <c r="T457" i="15"/>
  <c r="U457" i="15" s="1"/>
  <c r="T408" i="15"/>
  <c r="U408" i="15" s="1"/>
  <c r="T66" i="15"/>
  <c r="T212" i="15"/>
  <c r="U212" i="15" s="1"/>
  <c r="T555" i="15"/>
  <c r="U555" i="15" s="1"/>
  <c r="T164" i="15"/>
  <c r="U164" i="15" s="1"/>
  <c r="T506" i="15"/>
  <c r="U506" i="15" s="1"/>
  <c r="A239" i="4"/>
  <c r="A240" i="4" s="1"/>
  <c r="A241" i="4" s="1"/>
  <c r="A242" i="4" s="1"/>
  <c r="A243" i="4" s="1"/>
  <c r="A244" i="4" s="1"/>
  <c r="A245" i="4" s="1"/>
  <c r="U374" i="15"/>
  <c r="U32" i="15"/>
  <c r="U570" i="15"/>
  <c r="U472" i="15"/>
  <c r="U81" i="15"/>
  <c r="Q183" i="15" l="1"/>
  <c r="U183" i="15"/>
  <c r="Q525" i="15"/>
  <c r="U525" i="15"/>
  <c r="Q17" i="15"/>
  <c r="U17" i="15"/>
  <c r="Q385" i="15"/>
  <c r="U385" i="15"/>
  <c r="Q85" i="15"/>
  <c r="U85" i="15"/>
  <c r="Q476" i="15"/>
  <c r="U476" i="15"/>
  <c r="Q36" i="15"/>
  <c r="U36" i="15"/>
  <c r="Q574" i="15"/>
  <c r="U574" i="15"/>
  <c r="Q287" i="15"/>
  <c r="U287" i="15"/>
  <c r="U106" i="15"/>
  <c r="U497" i="15"/>
  <c r="U252" i="15"/>
  <c r="U546" i="15"/>
  <c r="M66" i="8"/>
  <c r="M227" i="8" s="1"/>
  <c r="M228" i="8" s="1"/>
  <c r="J98" i="8"/>
  <c r="J110" i="8" s="1"/>
  <c r="J86" i="8"/>
  <c r="J258" i="8" s="1"/>
  <c r="J259" i="8" s="1"/>
  <c r="L98" i="8"/>
  <c r="L110" i="8" s="1"/>
  <c r="L86" i="8"/>
  <c r="L258" i="8" s="1"/>
  <c r="L259" i="8" s="1"/>
  <c r="J66" i="8"/>
  <c r="J227" i="8" s="1"/>
  <c r="J228" i="8" s="1"/>
  <c r="P66" i="8"/>
  <c r="L129" i="8"/>
  <c r="N108" i="8"/>
  <c r="D108" i="8"/>
  <c r="K128" i="8"/>
  <c r="E128" i="8"/>
  <c r="F40" i="8"/>
  <c r="L128" i="8"/>
  <c r="C108" i="8"/>
  <c r="J129" i="8"/>
  <c r="U319" i="15"/>
  <c r="U542" i="15"/>
  <c r="U297" i="15"/>
  <c r="U248" i="15"/>
  <c r="U395" i="15"/>
  <c r="U173" i="15"/>
  <c r="U417" i="15"/>
  <c r="U75" i="15"/>
  <c r="U346" i="15"/>
  <c r="U466" i="15"/>
  <c r="F109" i="8"/>
  <c r="J126" i="8"/>
  <c r="J127" i="8"/>
  <c r="K126" i="8"/>
  <c r="F37" i="8"/>
  <c r="E125" i="8"/>
  <c r="H105" i="8"/>
  <c r="J125" i="8"/>
  <c r="E105" i="8"/>
  <c r="K125" i="8"/>
  <c r="L125" i="8"/>
  <c r="N109" i="8"/>
  <c r="N127" i="8"/>
  <c r="O105" i="8"/>
  <c r="L127" i="8"/>
  <c r="I129" i="8"/>
  <c r="E124" i="8"/>
  <c r="F36" i="8"/>
  <c r="K123" i="8"/>
  <c r="I124" i="8"/>
  <c r="L123" i="8"/>
  <c r="C107" i="8"/>
  <c r="F35" i="8"/>
  <c r="E123" i="8"/>
  <c r="N123" i="8"/>
  <c r="D104" i="8"/>
  <c r="I127" i="8"/>
  <c r="K121" i="8"/>
  <c r="N122" i="8"/>
  <c r="J121" i="8"/>
  <c r="H34" i="8"/>
  <c r="J122" i="8"/>
  <c r="C102" i="8"/>
  <c r="D102" i="8"/>
  <c r="I34" i="8"/>
  <c r="F101" i="8"/>
  <c r="L121" i="8"/>
  <c r="C101" i="8"/>
  <c r="N121" i="8"/>
  <c r="F31" i="8"/>
  <c r="E119" i="8"/>
  <c r="I119" i="8"/>
  <c r="H100" i="8"/>
  <c r="I31" i="8"/>
  <c r="E86" i="8"/>
  <c r="E258" i="8" s="1"/>
  <c r="E259" i="8" s="1"/>
  <c r="E98" i="8"/>
  <c r="I99" i="8"/>
  <c r="Q23" i="8"/>
  <c r="Q164" i="8" s="1"/>
  <c r="Q165" i="8" s="1"/>
  <c r="U461" i="15"/>
  <c r="O86" i="8"/>
  <c r="O258" i="8" s="1"/>
  <c r="O259" i="8" s="1"/>
  <c r="O98" i="8"/>
  <c r="C86" i="8"/>
  <c r="C258" i="8" s="1"/>
  <c r="C259" i="8" s="1"/>
  <c r="C98" i="8"/>
  <c r="Q239" i="15"/>
  <c r="K119" i="8"/>
  <c r="L120" i="8"/>
  <c r="N98" i="8"/>
  <c r="N86" i="8"/>
  <c r="N258" i="8" s="1"/>
  <c r="N259" i="8" s="1"/>
  <c r="Q142" i="15"/>
  <c r="H98" i="8"/>
  <c r="H86" i="8"/>
  <c r="H258" i="8" s="1"/>
  <c r="H259" i="8" s="1"/>
  <c r="Q71" i="15"/>
  <c r="Q210" i="15"/>
  <c r="H99" i="8"/>
  <c r="I32" i="8"/>
  <c r="Q533" i="15"/>
  <c r="Q337" i="15"/>
  <c r="Q93" i="15"/>
  <c r="F24" i="8"/>
  <c r="F23" i="8"/>
  <c r="F164" i="8" s="1"/>
  <c r="F165" i="8" s="1"/>
  <c r="G194" i="8" s="1"/>
  <c r="H30" i="8"/>
  <c r="B24" i="8"/>
  <c r="B23" i="8"/>
  <c r="B164" i="8" s="1"/>
  <c r="B165" i="8" s="1"/>
  <c r="D98" i="8"/>
  <c r="D86" i="8"/>
  <c r="D258" i="8" s="1"/>
  <c r="D259" i="8" s="1"/>
  <c r="Q191" i="15"/>
  <c r="Q424" i="15"/>
  <c r="F66" i="8"/>
  <c r="L118" i="8"/>
  <c r="G54" i="8"/>
  <c r="L119" i="8"/>
  <c r="Q72" i="15"/>
  <c r="Q484" i="15"/>
  <c r="D66" i="8"/>
  <c r="J118" i="8"/>
  <c r="Q91" i="15"/>
  <c r="Q561" i="15"/>
  <c r="Q259" i="15"/>
  <c r="I86" i="8"/>
  <c r="I258" i="8" s="1"/>
  <c r="I259" i="8" s="1"/>
  <c r="I98" i="8"/>
  <c r="Q455" i="15"/>
  <c r="Q560" i="15"/>
  <c r="Q316" i="15"/>
  <c r="Q522" i="15"/>
  <c r="Q266" i="15"/>
  <c r="Q462" i="15"/>
  <c r="J23" i="8"/>
  <c r="J164" i="8" s="1"/>
  <c r="J165" i="8" s="1"/>
  <c r="Q413" i="15"/>
  <c r="Q580" i="15"/>
  <c r="Q571" i="15"/>
  <c r="Q286" i="15"/>
  <c r="Q314" i="15"/>
  <c r="Q33" i="15"/>
  <c r="Q463" i="15"/>
  <c r="Q237" i="15"/>
  <c r="K118" i="8"/>
  <c r="E66" i="8"/>
  <c r="O66" i="8"/>
  <c r="O227" i="8" s="1"/>
  <c r="O228" i="8" s="1"/>
  <c r="U521" i="15"/>
  <c r="U325" i="15"/>
  <c r="U423" i="15"/>
  <c r="A246" i="4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C319" i="15"/>
  <c r="AC173" i="15"/>
  <c r="AC124" i="15"/>
  <c r="AC368" i="15"/>
  <c r="AC417" i="15"/>
  <c r="AC564" i="15"/>
  <c r="AC221" i="15"/>
  <c r="AC515" i="15"/>
  <c r="AC466" i="15"/>
  <c r="AC270" i="15"/>
  <c r="AC75" i="15"/>
  <c r="AC26" i="15"/>
  <c r="Q581" i="15"/>
  <c r="U581" i="15"/>
  <c r="Q427" i="15"/>
  <c r="U427" i="15"/>
  <c r="Q280" i="15"/>
  <c r="U280" i="15"/>
  <c r="U227" i="15"/>
  <c r="U66" i="15"/>
  <c r="Q329" i="15"/>
  <c r="U329" i="15"/>
  <c r="Q134" i="15"/>
  <c r="U134" i="15"/>
  <c r="Q238" i="15"/>
  <c r="U238" i="15"/>
  <c r="Q141" i="15"/>
  <c r="U141" i="15"/>
  <c r="Q532" i="15"/>
  <c r="U532" i="15"/>
  <c r="Q43" i="15"/>
  <c r="U43" i="15"/>
  <c r="Q92" i="15"/>
  <c r="U92" i="15"/>
  <c r="Q434" i="15"/>
  <c r="U434" i="15"/>
  <c r="Q483" i="15"/>
  <c r="U483" i="15"/>
  <c r="Q336" i="15"/>
  <c r="U336" i="15"/>
  <c r="Q190" i="15"/>
  <c r="U190" i="15"/>
  <c r="Q231" i="15"/>
  <c r="U231" i="15"/>
  <c r="Q378" i="15"/>
  <c r="U378" i="15"/>
  <c r="U203" i="15"/>
  <c r="U448" i="15"/>
  <c r="U301" i="15"/>
  <c r="U399" i="15"/>
  <c r="U155" i="15"/>
  <c r="U57" i="15"/>
  <c r="K66" i="8"/>
  <c r="K227" i="8" s="1"/>
  <c r="K228" i="8" s="1"/>
  <c r="M86" i="8"/>
  <c r="M258" i="8" s="1"/>
  <c r="M259" i="8" s="1"/>
  <c r="M98" i="8"/>
  <c r="M110" i="8" s="1"/>
  <c r="P98" i="8"/>
  <c r="P110" i="8" s="1"/>
  <c r="P86" i="8"/>
  <c r="P258" i="8" s="1"/>
  <c r="P259" i="8" s="1"/>
  <c r="L66" i="8"/>
  <c r="L227" i="8" s="1"/>
  <c r="L228" i="8" s="1"/>
  <c r="K86" i="8"/>
  <c r="K258" i="8" s="1"/>
  <c r="K259" i="8" s="1"/>
  <c r="K98" i="8"/>
  <c r="K110" i="8" s="1"/>
  <c r="H108" i="8"/>
  <c r="G40" i="8"/>
  <c r="J128" i="8"/>
  <c r="K129" i="8"/>
  <c r="O108" i="8"/>
  <c r="F41" i="8"/>
  <c r="E129" i="8"/>
  <c r="F108" i="8"/>
  <c r="G41" i="8"/>
  <c r="H109" i="8"/>
  <c r="I128" i="8"/>
  <c r="I108" i="8"/>
  <c r="C109" i="8"/>
  <c r="N128" i="8"/>
  <c r="E109" i="8"/>
  <c r="U124" i="15"/>
  <c r="U493" i="15"/>
  <c r="U368" i="15"/>
  <c r="U221" i="15"/>
  <c r="O109" i="8"/>
  <c r="U515" i="15"/>
  <c r="U270" i="15"/>
  <c r="U53" i="15"/>
  <c r="U591" i="15"/>
  <c r="U444" i="15"/>
  <c r="U151" i="15"/>
  <c r="F39" i="8"/>
  <c r="E127" i="8"/>
  <c r="K127" i="8"/>
  <c r="E106" i="8"/>
  <c r="F106" i="8"/>
  <c r="N106" i="8"/>
  <c r="E126" i="8"/>
  <c r="F38" i="8"/>
  <c r="I107" i="8"/>
  <c r="I126" i="8"/>
  <c r="L126" i="8"/>
  <c r="I125" i="8"/>
  <c r="N125" i="8"/>
  <c r="I105" i="8"/>
  <c r="N105" i="8"/>
  <c r="F105" i="8"/>
  <c r="C105" i="8"/>
  <c r="G37" i="8"/>
  <c r="F107" i="8"/>
  <c r="G39" i="8"/>
  <c r="D105" i="8"/>
  <c r="L124" i="8"/>
  <c r="I123" i="8"/>
  <c r="O107" i="8"/>
  <c r="G35" i="8"/>
  <c r="N124" i="8"/>
  <c r="I103" i="8"/>
  <c r="J124" i="8"/>
  <c r="O104" i="8"/>
  <c r="J123" i="8"/>
  <c r="C104" i="8"/>
  <c r="N104" i="8"/>
  <c r="K124" i="8"/>
  <c r="I122" i="8"/>
  <c r="I102" i="8"/>
  <c r="L122" i="8"/>
  <c r="K122" i="8"/>
  <c r="O102" i="8"/>
  <c r="E122" i="8"/>
  <c r="F34" i="8"/>
  <c r="N102" i="8"/>
  <c r="D101" i="8"/>
  <c r="F33" i="8"/>
  <c r="E121" i="8"/>
  <c r="O101" i="8"/>
  <c r="H101" i="8"/>
  <c r="G33" i="8"/>
  <c r="I33" i="8"/>
  <c r="I121" i="8"/>
  <c r="J119" i="8"/>
  <c r="J120" i="8"/>
  <c r="E100" i="8"/>
  <c r="E120" i="8"/>
  <c r="F32" i="8"/>
  <c r="I100" i="8"/>
  <c r="I120" i="8"/>
  <c r="F100" i="8"/>
  <c r="Q288" i="15"/>
  <c r="N66" i="8"/>
  <c r="N227" i="8" s="1"/>
  <c r="N228" i="8" s="1"/>
  <c r="N120" i="8"/>
  <c r="E99" i="8"/>
  <c r="H32" i="8"/>
  <c r="K120" i="8"/>
  <c r="I30" i="8"/>
  <c r="H23" i="8"/>
  <c r="H164" i="8" s="1"/>
  <c r="H165" i="8" s="1"/>
  <c r="I194" i="8" s="1"/>
  <c r="H24" i="8"/>
  <c r="Q435" i="15"/>
  <c r="U82" i="15"/>
  <c r="U375" i="15"/>
  <c r="D100" i="8"/>
  <c r="G30" i="8"/>
  <c r="D23" i="8"/>
  <c r="D164" i="8" s="1"/>
  <c r="D165" i="8" s="1"/>
  <c r="D24" i="8"/>
  <c r="N119" i="8"/>
  <c r="O100" i="8"/>
  <c r="N99" i="8"/>
  <c r="Q504" i="15"/>
  <c r="E118" i="8"/>
  <c r="E130" i="8" s="1"/>
  <c r="F30" i="8"/>
  <c r="C23" i="8"/>
  <c r="C164" i="8" s="1"/>
  <c r="C165" i="8" s="1"/>
  <c r="Q510" i="15"/>
  <c r="H66" i="8"/>
  <c r="N118" i="8"/>
  <c r="Q216" i="15"/>
  <c r="Q140" i="15"/>
  <c r="I118" i="8"/>
  <c r="C66" i="8"/>
  <c r="Q582" i="15"/>
  <c r="Q228" i="15"/>
  <c r="G23" i="8"/>
  <c r="Q22" i="15"/>
  <c r="Q42" i="15"/>
  <c r="Q386" i="15"/>
  <c r="Q363" i="15"/>
  <c r="Q406" i="15"/>
  <c r="E23" i="8"/>
  <c r="O99" i="8"/>
  <c r="Q553" i="15"/>
  <c r="Q15" i="15"/>
  <c r="Q559" i="15"/>
  <c r="Q412" i="15"/>
  <c r="H118" i="8"/>
  <c r="I23" i="8"/>
  <c r="Q119" i="15"/>
  <c r="Q217" i="15"/>
  <c r="F98" i="8"/>
  <c r="F110" i="8" s="1"/>
  <c r="F86" i="8"/>
  <c r="F258" i="8" s="1"/>
  <c r="F259" i="8" s="1"/>
  <c r="G74" i="8"/>
  <c r="Q357" i="15"/>
  <c r="Q121" i="15"/>
  <c r="Q120" i="15"/>
  <c r="Q218" i="15"/>
  <c r="U179" i="15"/>
  <c r="U276" i="15"/>
  <c r="U130" i="15"/>
  <c r="G86" i="8" l="1"/>
  <c r="G258" i="8" s="1"/>
  <c r="G259" i="8" s="1"/>
  <c r="G98" i="8"/>
  <c r="G110" i="8" s="1"/>
  <c r="E164" i="8"/>
  <c r="E165" i="8" s="1"/>
  <c r="H227" i="8"/>
  <c r="H228" i="8" s="1"/>
  <c r="N130" i="8"/>
  <c r="M193" i="8" s="1"/>
  <c r="I164" i="8"/>
  <c r="I165" i="8" s="1"/>
  <c r="J194" i="8" s="1"/>
  <c r="H130" i="8"/>
  <c r="G193" i="8" s="1"/>
  <c r="I130" i="8"/>
  <c r="H193" i="8" s="1"/>
  <c r="C227" i="8"/>
  <c r="C228" i="8" s="1"/>
  <c r="F42" i="8"/>
  <c r="G42" i="8"/>
  <c r="I42" i="8"/>
  <c r="I110" i="8"/>
  <c r="D227" i="8"/>
  <c r="D228" i="8" s="1"/>
  <c r="J130" i="8"/>
  <c r="I193" i="8" s="1"/>
  <c r="D110" i="8"/>
  <c r="N110" i="8"/>
  <c r="G164" i="8"/>
  <c r="G165" i="8" s="1"/>
  <c r="H194" i="8" s="1"/>
  <c r="G130" i="8"/>
  <c r="F193" i="8" s="1"/>
  <c r="A295" i="4"/>
  <c r="A296" i="4" s="1"/>
  <c r="A297" i="4" s="1"/>
  <c r="A298" i="4" s="1"/>
  <c r="A299" i="4" s="1"/>
  <c r="A300" i="4" s="1"/>
  <c r="A301" i="4" s="1"/>
  <c r="AC85" i="15"/>
  <c r="AC134" i="15"/>
  <c r="AC427" i="15"/>
  <c r="AC36" i="15"/>
  <c r="AC574" i="15"/>
  <c r="AC378" i="15"/>
  <c r="AC329" i="15"/>
  <c r="AC231" i="15"/>
  <c r="AC476" i="15"/>
  <c r="AC280" i="15"/>
  <c r="AC525" i="15"/>
  <c r="AC183" i="15"/>
  <c r="K130" i="8"/>
  <c r="J193" i="8" s="1"/>
  <c r="E227" i="8"/>
  <c r="E228" i="8" s="1"/>
  <c r="M118" i="8"/>
  <c r="G66" i="8"/>
  <c r="F227" i="8"/>
  <c r="F228" i="8" s="1"/>
  <c r="L130" i="8"/>
  <c r="K193" i="8" s="1"/>
  <c r="K194" i="8" s="1"/>
  <c r="H42" i="8"/>
  <c r="H110" i="8"/>
  <c r="C110" i="8"/>
  <c r="O110" i="8"/>
  <c r="E110" i="8"/>
  <c r="P227" i="8"/>
  <c r="P228" i="8" s="1"/>
  <c r="O130" i="8"/>
  <c r="N193" i="8" s="1"/>
  <c r="M130" i="8" l="1"/>
  <c r="L193" i="8" s="1"/>
  <c r="G227" i="8"/>
  <c r="G228" i="8" s="1"/>
  <c r="A302" i="4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A352" i="4" s="1"/>
  <c r="A353" i="4" s="1"/>
  <c r="F194" i="8"/>
  <c r="A354" i="4" l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l="1"/>
  <c r="A366" i="4" s="1"/>
  <c r="AC239" i="15"/>
  <c r="AC142" i="15"/>
  <c r="AC288" i="15"/>
  <c r="AC386" i="15"/>
  <c r="AC484" i="15"/>
  <c r="AC44" i="15"/>
  <c r="AC533" i="15"/>
  <c r="AC582" i="15"/>
  <c r="AC93" i="15"/>
  <c r="AC191" i="15"/>
  <c r="AC337" i="15"/>
  <c r="AC435" i="15"/>
  <c r="J31" i="15"/>
  <c r="J80" i="15"/>
  <c r="J422" i="15"/>
  <c r="J471" i="15"/>
  <c r="J569" i="15"/>
  <c r="J129" i="15"/>
  <c r="J178" i="15"/>
  <c r="J226" i="15"/>
  <c r="J275" i="15"/>
  <c r="J324" i="15"/>
  <c r="J373" i="15"/>
  <c r="J520" i="15"/>
  <c r="E502" i="15" l="1"/>
  <c r="E404" i="15"/>
  <c r="E306" i="15"/>
  <c r="E208" i="15"/>
  <c r="E111" i="15"/>
  <c r="E13" i="15"/>
  <c r="E550" i="15"/>
  <c r="E110" i="15"/>
  <c r="E452" i="15"/>
  <c r="E354" i="15"/>
  <c r="E256" i="15"/>
  <c r="E12" i="15"/>
  <c r="E551" i="15"/>
  <c r="E453" i="15"/>
  <c r="E355" i="15"/>
  <c r="E257" i="15"/>
  <c r="E160" i="15"/>
  <c r="E62" i="15"/>
  <c r="E159" i="15"/>
  <c r="E501" i="15"/>
  <c r="E403" i="15"/>
  <c r="E305" i="15"/>
  <c r="E207" i="15"/>
  <c r="E61" i="15"/>
  <c r="A367" i="4"/>
  <c r="AC559" i="15"/>
  <c r="AC119" i="15"/>
  <c r="AC363" i="15"/>
  <c r="AC412" i="15"/>
  <c r="AC216" i="15"/>
  <c r="AC510" i="15"/>
  <c r="AC461" i="15"/>
  <c r="AC70" i="15"/>
  <c r="AC265" i="15"/>
  <c r="AC21" i="15"/>
  <c r="AC168" i="15"/>
  <c r="AC314" i="15"/>
  <c r="AZ207" i="15" l="1"/>
  <c r="G207" i="15"/>
  <c r="K207" i="15"/>
  <c r="AZ403" i="15"/>
  <c r="G403" i="15"/>
  <c r="K403" i="15"/>
  <c r="AZ159" i="15"/>
  <c r="G159" i="15"/>
  <c r="K159" i="15"/>
  <c r="G160" i="15"/>
  <c r="AZ160" i="15"/>
  <c r="K160" i="15"/>
  <c r="G355" i="15"/>
  <c r="AZ355" i="15"/>
  <c r="K355" i="15"/>
  <c r="AZ551" i="15"/>
  <c r="K551" i="15"/>
  <c r="AZ256" i="15"/>
  <c r="K256" i="15"/>
  <c r="AZ452" i="15"/>
  <c r="K452" i="15"/>
  <c r="AZ550" i="15"/>
  <c r="K550" i="15"/>
  <c r="G111" i="15"/>
  <c r="AZ111" i="15"/>
  <c r="K111" i="15"/>
  <c r="G306" i="15"/>
  <c r="AZ306" i="15"/>
  <c r="K306" i="15"/>
  <c r="AZ502" i="15"/>
  <c r="K502" i="15"/>
  <c r="A368" i="4"/>
  <c r="A369" i="4" s="1"/>
  <c r="A370" i="4" s="1"/>
  <c r="A371" i="4" s="1"/>
  <c r="AZ61" i="15"/>
  <c r="G61" i="15"/>
  <c r="K61" i="15"/>
  <c r="AZ305" i="15"/>
  <c r="G305" i="15"/>
  <c r="K305" i="15"/>
  <c r="AZ501" i="15"/>
  <c r="K501" i="15"/>
  <c r="G62" i="15"/>
  <c r="AZ62" i="15"/>
  <c r="K62" i="15"/>
  <c r="G257" i="15"/>
  <c r="AZ257" i="15"/>
  <c r="K257" i="15"/>
  <c r="AZ453" i="15"/>
  <c r="K453" i="15"/>
  <c r="K12" i="15"/>
  <c r="G12" i="15"/>
  <c r="AZ12" i="15"/>
  <c r="AZ354" i="15"/>
  <c r="G354" i="15"/>
  <c r="K354" i="15"/>
  <c r="AZ110" i="15"/>
  <c r="G110" i="15"/>
  <c r="K110" i="15"/>
  <c r="K13" i="15"/>
  <c r="G13" i="15"/>
  <c r="AZ13" i="15"/>
  <c r="G208" i="15"/>
  <c r="AZ208" i="15"/>
  <c r="K208" i="15"/>
  <c r="G404" i="15"/>
  <c r="AZ404" i="15"/>
  <c r="K404" i="15"/>
  <c r="E567" i="15"/>
  <c r="E549" i="15"/>
  <c r="E556" i="15"/>
  <c r="E539" i="15"/>
  <c r="E514" i="15"/>
  <c r="E500" i="15"/>
  <c r="E465" i="15"/>
  <c r="E503" i="15"/>
  <c r="E451" i="15"/>
  <c r="E416" i="15"/>
  <c r="E454" i="15"/>
  <c r="E405" i="15"/>
  <c r="E367" i="15"/>
  <c r="E322" i="15"/>
  <c r="E304" i="15"/>
  <c r="E356" i="15"/>
  <c r="E307" i="15"/>
  <c r="E269" i="15"/>
  <c r="E224" i="15"/>
  <c r="E206" i="15"/>
  <c r="E197" i="15"/>
  <c r="E172" i="15"/>
  <c r="E258" i="15"/>
  <c r="E209" i="15"/>
  <c r="E127" i="15"/>
  <c r="E109" i="15"/>
  <c r="E74" i="15"/>
  <c r="E29" i="15"/>
  <c r="E14" i="15"/>
  <c r="E165" i="15"/>
  <c r="E148" i="15"/>
  <c r="E116" i="15"/>
  <c r="E50" i="15"/>
  <c r="E25" i="15"/>
  <c r="E63" i="15"/>
  <c r="E588" i="15"/>
  <c r="E563" i="15"/>
  <c r="E552" i="15"/>
  <c r="E518" i="15"/>
  <c r="E469" i="15"/>
  <c r="E507" i="15"/>
  <c r="E490" i="15"/>
  <c r="E458" i="15"/>
  <c r="E420" i="15"/>
  <c r="E402" i="15"/>
  <c r="E441" i="15"/>
  <c r="E409" i="15"/>
  <c r="E371" i="15"/>
  <c r="E353" i="15"/>
  <c r="E318" i="15"/>
  <c r="E392" i="15"/>
  <c r="E360" i="15"/>
  <c r="E343" i="15"/>
  <c r="E311" i="15"/>
  <c r="E273" i="15"/>
  <c r="E255" i="15"/>
  <c r="E220" i="15"/>
  <c r="E176" i="15"/>
  <c r="E294" i="15"/>
  <c r="E262" i="15"/>
  <c r="E245" i="15"/>
  <c r="E213" i="15"/>
  <c r="E158" i="15"/>
  <c r="E123" i="15"/>
  <c r="E78" i="15"/>
  <c r="E60" i="15"/>
  <c r="E18" i="15"/>
  <c r="E161" i="15"/>
  <c r="E112" i="15"/>
  <c r="E11" i="15"/>
  <c r="E99" i="15"/>
  <c r="E67" i="15"/>
  <c r="E400" i="15"/>
  <c r="E351" i="15"/>
  <c r="E107" i="15"/>
  <c r="E58" i="15"/>
  <c r="E547" i="15"/>
  <c r="E302" i="15"/>
  <c r="E401" i="15"/>
  <c r="E205" i="15"/>
  <c r="E59" i="15"/>
  <c r="E415" i="15"/>
  <c r="E219" i="15"/>
  <c r="E10" i="15"/>
  <c r="E450" i="15"/>
  <c r="E254" i="15"/>
  <c r="E24" i="15"/>
  <c r="E464" i="15"/>
  <c r="E268" i="15"/>
  <c r="E73" i="15"/>
  <c r="E253" i="15"/>
  <c r="E9" i="15"/>
  <c r="E498" i="15"/>
  <c r="E449" i="15"/>
  <c r="E204" i="15"/>
  <c r="E156" i="15"/>
  <c r="E499" i="15"/>
  <c r="E303" i="15"/>
  <c r="E108" i="15"/>
  <c r="E513" i="15"/>
  <c r="E317" i="15"/>
  <c r="E122" i="15"/>
  <c r="E548" i="15"/>
  <c r="E352" i="15"/>
  <c r="E157" i="15"/>
  <c r="E562" i="15"/>
  <c r="E366" i="15"/>
  <c r="E171" i="15"/>
  <c r="AZ171" i="15" l="1"/>
  <c r="G171" i="15"/>
  <c r="K171" i="15"/>
  <c r="AZ562" i="15"/>
  <c r="K562" i="15"/>
  <c r="AZ352" i="15"/>
  <c r="G352" i="15"/>
  <c r="K352" i="15"/>
  <c r="AZ122" i="15"/>
  <c r="K122" i="15"/>
  <c r="AZ513" i="15"/>
  <c r="G513" i="15"/>
  <c r="K513" i="15"/>
  <c r="AZ303" i="15"/>
  <c r="G303" i="15"/>
  <c r="K303" i="15"/>
  <c r="G156" i="15"/>
  <c r="AZ156" i="15"/>
  <c r="K156" i="15"/>
  <c r="G449" i="15"/>
  <c r="AZ449" i="15"/>
  <c r="K449" i="15"/>
  <c r="AZ9" i="15"/>
  <c r="K9" i="15"/>
  <c r="G9" i="15"/>
  <c r="AZ73" i="15"/>
  <c r="G73" i="15"/>
  <c r="K73" i="15"/>
  <c r="AZ464" i="15"/>
  <c r="G464" i="15"/>
  <c r="K464" i="15"/>
  <c r="AZ254" i="15"/>
  <c r="K254" i="15"/>
  <c r="AZ10" i="15"/>
  <c r="K10" i="15"/>
  <c r="G10" i="15"/>
  <c r="AZ415" i="15"/>
  <c r="K415" i="15"/>
  <c r="AZ205" i="15"/>
  <c r="G205" i="15"/>
  <c r="K205" i="15"/>
  <c r="G302" i="15"/>
  <c r="AZ302" i="15"/>
  <c r="K302" i="15"/>
  <c r="G58" i="15"/>
  <c r="AZ58" i="15"/>
  <c r="K58" i="15"/>
  <c r="G351" i="15"/>
  <c r="AZ351" i="15"/>
  <c r="K351" i="15"/>
  <c r="AZ67" i="15"/>
  <c r="G67" i="15"/>
  <c r="K67" i="15"/>
  <c r="K11" i="15"/>
  <c r="G11" i="15"/>
  <c r="AZ11" i="15"/>
  <c r="AZ161" i="15"/>
  <c r="G161" i="15"/>
  <c r="K161" i="15"/>
  <c r="G60" i="15"/>
  <c r="AZ60" i="15"/>
  <c r="K60" i="15"/>
  <c r="G123" i="15"/>
  <c r="AZ123" i="15"/>
  <c r="AZ213" i="15"/>
  <c r="G213" i="15"/>
  <c r="K213" i="15"/>
  <c r="AZ262" i="15"/>
  <c r="K262" i="15"/>
  <c r="G176" i="15"/>
  <c r="AZ176" i="15"/>
  <c r="K176" i="15"/>
  <c r="AZ255" i="15"/>
  <c r="K255" i="15"/>
  <c r="AZ311" i="15"/>
  <c r="G311" i="15"/>
  <c r="K311" i="15"/>
  <c r="AZ360" i="15"/>
  <c r="G360" i="15"/>
  <c r="K360" i="15"/>
  <c r="G318" i="15"/>
  <c r="AZ318" i="15"/>
  <c r="G371" i="15"/>
  <c r="AZ371" i="15"/>
  <c r="K371" i="15"/>
  <c r="AZ441" i="15"/>
  <c r="G441" i="15"/>
  <c r="K441" i="15"/>
  <c r="G420" i="15"/>
  <c r="AZ420" i="15"/>
  <c r="K420" i="15"/>
  <c r="AZ490" i="15"/>
  <c r="G490" i="15"/>
  <c r="K490" i="15"/>
  <c r="G469" i="15"/>
  <c r="AZ469" i="15"/>
  <c r="K469" i="15"/>
  <c r="AZ552" i="15"/>
  <c r="K552" i="15"/>
  <c r="AZ588" i="15"/>
  <c r="K588" i="15"/>
  <c r="K25" i="15"/>
  <c r="AZ25" i="15"/>
  <c r="G25" i="15"/>
  <c r="AZ116" i="15"/>
  <c r="G116" i="15"/>
  <c r="K116" i="15"/>
  <c r="AZ165" i="15"/>
  <c r="G165" i="15"/>
  <c r="K165" i="15"/>
  <c r="K29" i="15"/>
  <c r="G29" i="15"/>
  <c r="AZ29" i="15"/>
  <c r="G109" i="15"/>
  <c r="AZ109" i="15"/>
  <c r="K109" i="15"/>
  <c r="AZ209" i="15"/>
  <c r="G209" i="15"/>
  <c r="K209" i="15"/>
  <c r="G172" i="15"/>
  <c r="AZ172" i="15"/>
  <c r="G206" i="15"/>
  <c r="AZ206" i="15"/>
  <c r="K206" i="15"/>
  <c r="AZ269" i="15"/>
  <c r="AZ356" i="15"/>
  <c r="G356" i="15"/>
  <c r="K356" i="15"/>
  <c r="G322" i="15"/>
  <c r="AZ322" i="15"/>
  <c r="K322" i="15"/>
  <c r="AZ405" i="15"/>
  <c r="G405" i="15"/>
  <c r="K405" i="15"/>
  <c r="G416" i="15"/>
  <c r="AZ416" i="15"/>
  <c r="AZ503" i="15"/>
  <c r="G503" i="15"/>
  <c r="K503" i="15"/>
  <c r="G500" i="15"/>
  <c r="AZ500" i="15"/>
  <c r="K500" i="15"/>
  <c r="AZ539" i="15"/>
  <c r="G539" i="15"/>
  <c r="K539" i="15"/>
  <c r="AZ549" i="15"/>
  <c r="K549" i="15"/>
  <c r="AZ366" i="15"/>
  <c r="G366" i="15"/>
  <c r="K366" i="15"/>
  <c r="AZ157" i="15"/>
  <c r="G157" i="15"/>
  <c r="K157" i="15"/>
  <c r="AZ548" i="15"/>
  <c r="K548" i="15"/>
  <c r="AZ317" i="15"/>
  <c r="G317" i="15"/>
  <c r="K317" i="15"/>
  <c r="AZ108" i="15"/>
  <c r="K108" i="15"/>
  <c r="AZ499" i="15"/>
  <c r="G499" i="15"/>
  <c r="K499" i="15"/>
  <c r="G204" i="15"/>
  <c r="AZ204" i="15"/>
  <c r="K204" i="15"/>
  <c r="G498" i="15"/>
  <c r="AZ498" i="15"/>
  <c r="K498" i="15"/>
  <c r="AZ253" i="15"/>
  <c r="K253" i="15"/>
  <c r="AZ268" i="15"/>
  <c r="K268" i="15"/>
  <c r="AZ24" i="15"/>
  <c r="K24" i="15"/>
  <c r="G24" i="15"/>
  <c r="AZ450" i="15"/>
  <c r="G450" i="15"/>
  <c r="K450" i="15"/>
  <c r="AZ219" i="15"/>
  <c r="G219" i="15"/>
  <c r="K219" i="15"/>
  <c r="AZ59" i="15"/>
  <c r="G59" i="15"/>
  <c r="K59" i="15"/>
  <c r="AZ401" i="15"/>
  <c r="K401" i="15"/>
  <c r="AZ547" i="15"/>
  <c r="K547" i="15"/>
  <c r="AZ107" i="15"/>
  <c r="K107" i="15"/>
  <c r="AZ400" i="15"/>
  <c r="K400" i="15"/>
  <c r="AZ99" i="15"/>
  <c r="G99" i="15"/>
  <c r="K99" i="15"/>
  <c r="AZ112" i="15"/>
  <c r="G112" i="15"/>
  <c r="K112" i="15"/>
  <c r="K18" i="15"/>
  <c r="G18" i="15"/>
  <c r="AZ18" i="15"/>
  <c r="G78" i="15"/>
  <c r="AZ78" i="15"/>
  <c r="K78" i="15"/>
  <c r="G158" i="15"/>
  <c r="AZ158" i="15"/>
  <c r="K158" i="15"/>
  <c r="AZ245" i="15"/>
  <c r="G245" i="15"/>
  <c r="K245" i="15"/>
  <c r="AZ294" i="15"/>
  <c r="K294" i="15"/>
  <c r="G220" i="15"/>
  <c r="AZ220" i="15"/>
  <c r="AZ273" i="15"/>
  <c r="K273" i="15"/>
  <c r="AZ343" i="15"/>
  <c r="G343" i="15"/>
  <c r="K343" i="15"/>
  <c r="AZ392" i="15"/>
  <c r="G392" i="15"/>
  <c r="K392" i="15"/>
  <c r="G353" i="15"/>
  <c r="AZ353" i="15"/>
  <c r="K353" i="15"/>
  <c r="AZ409" i="15"/>
  <c r="G409" i="15"/>
  <c r="K409" i="15"/>
  <c r="G402" i="15"/>
  <c r="AZ402" i="15"/>
  <c r="K402" i="15"/>
  <c r="AZ458" i="15"/>
  <c r="G458" i="15"/>
  <c r="K458" i="15"/>
  <c r="AZ507" i="15"/>
  <c r="G507" i="15"/>
  <c r="K507" i="15"/>
  <c r="G518" i="15"/>
  <c r="AZ518" i="15"/>
  <c r="K518" i="15"/>
  <c r="AZ563" i="15"/>
  <c r="AZ63" i="15"/>
  <c r="G63" i="15"/>
  <c r="K63" i="15"/>
  <c r="AZ50" i="15"/>
  <c r="K50" i="15"/>
  <c r="G50" i="15"/>
  <c r="AZ148" i="15"/>
  <c r="G148" i="15"/>
  <c r="K148" i="15"/>
  <c r="K14" i="15"/>
  <c r="G14" i="15"/>
  <c r="AZ14" i="15"/>
  <c r="G74" i="15"/>
  <c r="AZ74" i="15"/>
  <c r="G127" i="15"/>
  <c r="AZ127" i="15"/>
  <c r="K127" i="15"/>
  <c r="AZ258" i="15"/>
  <c r="K258" i="15"/>
  <c r="G197" i="15"/>
  <c r="AZ197" i="15"/>
  <c r="K197" i="15"/>
  <c r="G224" i="15"/>
  <c r="AZ224" i="15"/>
  <c r="K224" i="15"/>
  <c r="AZ307" i="15"/>
  <c r="G307" i="15"/>
  <c r="K307" i="15"/>
  <c r="G304" i="15"/>
  <c r="AZ304" i="15"/>
  <c r="K304" i="15"/>
  <c r="G367" i="15"/>
  <c r="AZ367" i="15"/>
  <c r="AZ454" i="15"/>
  <c r="G454" i="15"/>
  <c r="K454" i="15"/>
  <c r="G451" i="15"/>
  <c r="AZ451" i="15"/>
  <c r="K451" i="15"/>
  <c r="G465" i="15"/>
  <c r="AZ465" i="15"/>
  <c r="G514" i="15"/>
  <c r="AZ514" i="15"/>
  <c r="AZ556" i="15"/>
  <c r="K556" i="15"/>
  <c r="AZ567" i="15"/>
  <c r="K567" i="15"/>
  <c r="A372" i="4"/>
  <c r="A373" i="4" s="1"/>
  <c r="A374" i="4" s="1"/>
  <c r="A375" i="4" s="1"/>
  <c r="A376" i="4" s="1"/>
  <c r="A377" i="4" s="1"/>
  <c r="X114" i="15"/>
  <c r="X260" i="15"/>
  <c r="X456" i="15"/>
  <c r="X16" i="15"/>
  <c r="X358" i="15"/>
  <c r="X554" i="15"/>
  <c r="X211" i="15"/>
  <c r="X505" i="15"/>
  <c r="X163" i="15"/>
  <c r="X407" i="15"/>
  <c r="X65" i="15"/>
  <c r="X309" i="15"/>
  <c r="Z65" i="15" l="1"/>
  <c r="AD65" i="15"/>
  <c r="Z163" i="15"/>
  <c r="AD163" i="15"/>
  <c r="Z211" i="15"/>
  <c r="AD211" i="15"/>
  <c r="Z358" i="15"/>
  <c r="AD358" i="15"/>
  <c r="AD456" i="15"/>
  <c r="Z114" i="15"/>
  <c r="AD114" i="15"/>
  <c r="J75" i="15"/>
  <c r="J417" i="15"/>
  <c r="J124" i="15"/>
  <c r="J270" i="15"/>
  <c r="J368" i="15"/>
  <c r="J26" i="15"/>
  <c r="J564" i="15"/>
  <c r="J173" i="15"/>
  <c r="J466" i="15"/>
  <c r="J221" i="15"/>
  <c r="J319" i="15"/>
  <c r="J515" i="15"/>
  <c r="Z309" i="15"/>
  <c r="AD309" i="15"/>
  <c r="Z407" i="15"/>
  <c r="AD407" i="15"/>
  <c r="AD505" i="15"/>
  <c r="AD554" i="15"/>
  <c r="Z16" i="15"/>
  <c r="AD16" i="15"/>
  <c r="Z260" i="15"/>
  <c r="AD260" i="15"/>
  <c r="A378" i="4"/>
  <c r="A379" i="4" s="1"/>
  <c r="X232" i="15"/>
  <c r="Z232" i="15" s="1"/>
  <c r="X380" i="15"/>
  <c r="Z380" i="15" s="1"/>
  <c r="X576" i="15"/>
  <c r="X87" i="15"/>
  <c r="Z87" i="15" s="1"/>
  <c r="X330" i="15"/>
  <c r="Z330" i="15" s="1"/>
  <c r="X526" i="15"/>
  <c r="Z526" i="15" s="1"/>
  <c r="X136" i="15"/>
  <c r="Z136" i="15" s="1"/>
  <c r="X379" i="15"/>
  <c r="Z379" i="15" s="1"/>
  <c r="X527" i="15"/>
  <c r="Z527" i="15" s="1"/>
  <c r="X184" i="15"/>
  <c r="Z184" i="15" s="1"/>
  <c r="X331" i="15"/>
  <c r="Z331" i="15" s="1"/>
  <c r="X575" i="15"/>
  <c r="X38" i="15"/>
  <c r="Z38" i="15" s="1"/>
  <c r="X282" i="15"/>
  <c r="Z282" i="15" s="1"/>
  <c r="X478" i="15"/>
  <c r="Z478" i="15" s="1"/>
  <c r="X86" i="15"/>
  <c r="Z86" i="15" s="1"/>
  <c r="X281" i="15"/>
  <c r="Z281" i="15" s="1"/>
  <c r="X428" i="15"/>
  <c r="Z428" i="15" s="1"/>
  <c r="X135" i="15"/>
  <c r="Z135" i="15" s="1"/>
  <c r="X185" i="15"/>
  <c r="Z185" i="15" s="1"/>
  <c r="X429" i="15"/>
  <c r="Z429" i="15" s="1"/>
  <c r="X37" i="15"/>
  <c r="Z37" i="15" s="1"/>
  <c r="X233" i="15"/>
  <c r="Z233" i="15" s="1"/>
  <c r="X477" i="15"/>
  <c r="Z477" i="15" s="1"/>
  <c r="Y17" i="15" l="1"/>
  <c r="Y102" i="15"/>
  <c r="Y65" i="15"/>
  <c r="Y261" i="15"/>
  <c r="Y331" i="15"/>
  <c r="Y412" i="15"/>
  <c r="Y477" i="15"/>
  <c r="Y580" i="15"/>
  <c r="Y326" i="15"/>
  <c r="Y85" i="15"/>
  <c r="Y114" i="15"/>
  <c r="Y184" i="15"/>
  <c r="Y378" i="15"/>
  <c r="Y399" i="15"/>
  <c r="Y525" i="15"/>
  <c r="Y229" i="15"/>
  <c r="X571" i="15"/>
  <c r="Y136" i="15"/>
  <c r="Y163" i="15"/>
  <c r="Y232" i="15"/>
  <c r="X314" i="15"/>
  <c r="Y448" i="15"/>
  <c r="Y553" i="15"/>
  <c r="L11" i="8"/>
  <c r="Y8" i="15"/>
  <c r="Y216" i="15"/>
  <c r="Y281" i="15"/>
  <c r="X363" i="15"/>
  <c r="Y481" i="15"/>
  <c r="X559" i="15"/>
  <c r="X180" i="15"/>
  <c r="Z180" i="15" s="1"/>
  <c r="Y432" i="15"/>
  <c r="Y282" i="15"/>
  <c r="Y115" i="15"/>
  <c r="X131" i="15"/>
  <c r="Y506" i="15"/>
  <c r="Y310" i="15"/>
  <c r="X42" i="15"/>
  <c r="Y532" i="15"/>
  <c r="Y336" i="15"/>
  <c r="X189" i="15"/>
  <c r="Z189" i="15" s="1"/>
  <c r="Y38" i="15"/>
  <c r="Y34" i="15"/>
  <c r="Y417" i="15"/>
  <c r="X210" i="15"/>
  <c r="Y53" i="15"/>
  <c r="X504" i="15"/>
  <c r="Y357" i="15"/>
  <c r="X91" i="15"/>
  <c r="X473" i="15"/>
  <c r="Y575" i="15"/>
  <c r="Z575" i="15" s="1"/>
  <c r="Y385" i="15"/>
  <c r="Y236" i="15"/>
  <c r="Y461" i="15"/>
  <c r="X259" i="15"/>
  <c r="Y162" i="15"/>
  <c r="Y228" i="15"/>
  <c r="Y515" i="15"/>
  <c r="Y287" i="15"/>
  <c r="X140" i="15"/>
  <c r="Y168" i="15"/>
  <c r="Y210" i="15"/>
  <c r="X265" i="15"/>
  <c r="X357" i="15"/>
  <c r="Y476" i="15"/>
  <c r="X553" i="15"/>
  <c r="X424" i="15"/>
  <c r="Y582" i="15"/>
  <c r="Y151" i="15"/>
  <c r="Y185" i="15"/>
  <c r="Y252" i="15"/>
  <c r="X335" i="15"/>
  <c r="Y457" i="15"/>
  <c r="Y564" i="15"/>
  <c r="K11" i="8"/>
  <c r="Y386" i="15"/>
  <c r="X533" i="15"/>
  <c r="Y164" i="15"/>
  <c r="Y190" i="15"/>
  <c r="Y260" i="15"/>
  <c r="Y350" i="15"/>
  <c r="Y472" i="15"/>
  <c r="Y546" i="15"/>
  <c r="Y33" i="15"/>
  <c r="X191" i="15"/>
  <c r="Y267" i="15"/>
  <c r="Y191" i="15"/>
  <c r="Y90" i="15"/>
  <c r="Y124" i="15"/>
  <c r="Y189" i="15"/>
  <c r="Y383" i="15"/>
  <c r="Y407" i="15"/>
  <c r="Y530" i="15"/>
  <c r="Y82" i="15"/>
  <c r="Y337" i="15"/>
  <c r="X414" i="15"/>
  <c r="Y81" i="15"/>
  <c r="X113" i="15"/>
  <c r="Y173" i="15"/>
  <c r="Y374" i="15"/>
  <c r="Y455" i="15"/>
  <c r="Y521" i="15"/>
  <c r="Y327" i="15"/>
  <c r="Y424" i="15"/>
  <c r="X239" i="15"/>
  <c r="X463" i="15"/>
  <c r="Y87" i="15"/>
  <c r="X119" i="15"/>
  <c r="Y188" i="15"/>
  <c r="Y380" i="15"/>
  <c r="X406" i="15"/>
  <c r="Y527" i="15"/>
  <c r="Y181" i="15"/>
  <c r="Y473" i="15"/>
  <c r="Y463" i="15"/>
  <c r="Y64" i="15"/>
  <c r="Y57" i="15"/>
  <c r="Y248" i="15"/>
  <c r="Y325" i="15"/>
  <c r="Y406" i="15"/>
  <c r="X461" i="15"/>
  <c r="Y581" i="15"/>
  <c r="Y44" i="15"/>
  <c r="X72" i="15"/>
  <c r="Y37" i="15"/>
  <c r="Y32" i="15"/>
  <c r="Y233" i="15"/>
  <c r="Y308" i="15"/>
  <c r="X384" i="15"/>
  <c r="Y504" i="15"/>
  <c r="Y576" i="15"/>
  <c r="Y131" i="15"/>
  <c r="Y170" i="15"/>
  <c r="Y218" i="15"/>
  <c r="Y41" i="15"/>
  <c r="Y43" i="15"/>
  <c r="Y237" i="15"/>
  <c r="Y314" i="15"/>
  <c r="Y395" i="15"/>
  <c r="Y510" i="15"/>
  <c r="X580" i="15"/>
  <c r="Z580" i="15" s="1"/>
  <c r="X228" i="15"/>
  <c r="Z228" i="15" s="1"/>
  <c r="X337" i="15"/>
  <c r="Y414" i="15"/>
  <c r="Y533" i="15"/>
  <c r="Y36" i="15"/>
  <c r="Y75" i="15"/>
  <c r="Y276" i="15"/>
  <c r="Y335" i="15"/>
  <c r="Y427" i="15"/>
  <c r="Y483" i="15"/>
  <c r="Y83" i="15"/>
  <c r="X44" i="15"/>
  <c r="X170" i="15"/>
  <c r="Z170" i="15" s="1"/>
  <c r="Y91" i="15"/>
  <c r="X64" i="15"/>
  <c r="Y259" i="15"/>
  <c r="Y329" i="15"/>
  <c r="Y408" i="15"/>
  <c r="Y466" i="15"/>
  <c r="Y579" i="15"/>
  <c r="Y180" i="15"/>
  <c r="X316" i="15"/>
  <c r="Y93" i="15"/>
  <c r="X267" i="15"/>
  <c r="Z267" i="15" s="1"/>
  <c r="Y16" i="15"/>
  <c r="X70" i="15"/>
  <c r="Y265" i="15"/>
  <c r="Y334" i="15"/>
  <c r="Y423" i="15"/>
  <c r="X482" i="15"/>
  <c r="Y591" i="15"/>
  <c r="Y277" i="15"/>
  <c r="Y484" i="15"/>
  <c r="X512" i="15"/>
  <c r="X121" i="15"/>
  <c r="M15" i="8"/>
  <c r="L34" i="8" s="1"/>
  <c r="Y70" i="15"/>
  <c r="Y106" i="15"/>
  <c r="Y286" i="15"/>
  <c r="Y363" i="15"/>
  <c r="Y444" i="15"/>
  <c r="X510" i="15"/>
  <c r="Y376" i="15"/>
  <c r="Y239" i="15"/>
  <c r="Y365" i="15"/>
  <c r="Y42" i="15"/>
  <c r="Y86" i="15"/>
  <c r="Y280" i="15"/>
  <c r="Y346" i="15"/>
  <c r="Y429" i="15"/>
  <c r="Y497" i="15"/>
  <c r="Y278" i="15"/>
  <c r="X375" i="15"/>
  <c r="X561" i="15"/>
  <c r="X142" i="15"/>
  <c r="X365" i="15"/>
  <c r="Z365" i="15" s="1"/>
  <c r="Y66" i="15"/>
  <c r="Y92" i="15"/>
  <c r="Y285" i="15"/>
  <c r="Y359" i="15"/>
  <c r="Y433" i="15"/>
  <c r="Y505" i="15"/>
  <c r="Z505" i="15" s="1"/>
  <c r="Y132" i="15"/>
  <c r="Y375" i="15"/>
  <c r="X582" i="15"/>
  <c r="X218" i="15"/>
  <c r="Z218" i="15" s="1"/>
  <c r="Y26" i="15"/>
  <c r="X21" i="15"/>
  <c r="Y231" i="15"/>
  <c r="Y297" i="15"/>
  <c r="Y379" i="15"/>
  <c r="Y493" i="15"/>
  <c r="Y574" i="15"/>
  <c r="X522" i="15"/>
  <c r="Y121" i="15"/>
  <c r="Y15" i="15"/>
  <c r="Y179" i="15"/>
  <c r="Y212" i="15"/>
  <c r="Y270" i="15"/>
  <c r="Y358" i="15"/>
  <c r="Y478" i="15"/>
  <c r="Y554" i="15"/>
  <c r="Z554" i="15" s="1"/>
  <c r="X82" i="15"/>
  <c r="Z82" i="15" s="1"/>
  <c r="X23" i="15"/>
  <c r="Y21" i="15"/>
  <c r="X15" i="15"/>
  <c r="Y227" i="15"/>
  <c r="X286" i="15"/>
  <c r="Z286" i="15" s="1"/>
  <c r="Y368" i="15"/>
  <c r="Y482" i="15"/>
  <c r="Y570" i="15"/>
  <c r="X33" i="15"/>
  <c r="Z33" i="15" s="1"/>
  <c r="Y288" i="15"/>
  <c r="Y316" i="15"/>
  <c r="Y435" i="15"/>
  <c r="Y130" i="15"/>
  <c r="Y155" i="15"/>
  <c r="X216" i="15"/>
  <c r="X308" i="15"/>
  <c r="X433" i="15"/>
  <c r="Z433" i="15" s="1"/>
  <c r="X531" i="15"/>
  <c r="X277" i="15"/>
  <c r="Z277" i="15" s="1"/>
  <c r="X386" i="15"/>
  <c r="Y512" i="15"/>
  <c r="Y113" i="15"/>
  <c r="Y135" i="15"/>
  <c r="Y203" i="15"/>
  <c r="Y384" i="15"/>
  <c r="X412" i="15"/>
  <c r="Y531" i="15"/>
  <c r="Y425" i="15"/>
  <c r="Y522" i="15"/>
  <c r="X288" i="15"/>
  <c r="Y561" i="15"/>
  <c r="Y119" i="15"/>
  <c r="Y141" i="15"/>
  <c r="Y211" i="15"/>
  <c r="Y301" i="15"/>
  <c r="Y428" i="15"/>
  <c r="Y526" i="15"/>
  <c r="Y474" i="15"/>
  <c r="Y571" i="15"/>
  <c r="Y72" i="15"/>
  <c r="Y140" i="15"/>
  <c r="Y183" i="15"/>
  <c r="Y238" i="15"/>
  <c r="Y330" i="15"/>
  <c r="Y456" i="15"/>
  <c r="Z456" i="15" s="1"/>
  <c r="Y559" i="15"/>
  <c r="X326" i="15"/>
  <c r="Z326" i="15" s="1"/>
  <c r="X484" i="15"/>
  <c r="Y134" i="15"/>
  <c r="X162" i="15"/>
  <c r="Y221" i="15"/>
  <c r="Y309" i="15"/>
  <c r="Y434" i="15"/>
  <c r="Y542" i="15"/>
  <c r="Y523" i="15"/>
  <c r="X93" i="15"/>
  <c r="X435" i="15"/>
  <c r="Y139" i="15"/>
  <c r="X168" i="15"/>
  <c r="X237" i="15"/>
  <c r="Z237" i="15" s="1"/>
  <c r="Y319" i="15"/>
  <c r="X455" i="15"/>
  <c r="Y555" i="15"/>
  <c r="Y572" i="15"/>
  <c r="Y142" i="15"/>
  <c r="Y23" i="15"/>
  <c r="M12" i="8"/>
  <c r="L31" i="8" s="1"/>
  <c r="K12" i="8"/>
  <c r="K31" i="8" s="1"/>
  <c r="N12" i="8"/>
  <c r="G119" i="8" s="1"/>
  <c r="L12" i="8"/>
  <c r="F119" i="8" s="1"/>
  <c r="O12" i="8"/>
  <c r="M31" i="8" s="1"/>
  <c r="P12" i="8"/>
  <c r="H119" i="8" s="1"/>
  <c r="Y534" i="15"/>
  <c r="X290" i="15"/>
  <c r="X242" i="15"/>
  <c r="X143" i="15"/>
  <c r="N13" i="8"/>
  <c r="G120" i="8" s="1"/>
  <c r="Y389" i="15"/>
  <c r="X486" i="15"/>
  <c r="X585" i="15"/>
  <c r="Y437" i="15"/>
  <c r="N11" i="8"/>
  <c r="X145" i="15"/>
  <c r="Y94" i="15"/>
  <c r="Y145" i="15"/>
  <c r="X584" i="15"/>
  <c r="Y340" i="15"/>
  <c r="X338" i="15"/>
  <c r="Y241" i="15"/>
  <c r="Y535" i="15"/>
  <c r="Y194" i="15"/>
  <c r="L15" i="8"/>
  <c r="F122" i="8" s="1"/>
  <c r="Y387" i="15"/>
  <c r="X144" i="15"/>
  <c r="Y486" i="15"/>
  <c r="Y585" i="15"/>
  <c r="Y485" i="15"/>
  <c r="Y339" i="15"/>
  <c r="X194" i="15"/>
  <c r="X45" i="15"/>
  <c r="X291" i="15"/>
  <c r="Y289" i="15"/>
  <c r="M13" i="8"/>
  <c r="L32" i="8" s="1"/>
  <c r="Y192" i="15"/>
  <c r="O13" i="8"/>
  <c r="M32" i="8" s="1"/>
  <c r="X47" i="15"/>
  <c r="L14" i="8"/>
  <c r="F121" i="8" s="1"/>
  <c r="X192" i="15"/>
  <c r="P13" i="8"/>
  <c r="H120" i="8" s="1"/>
  <c r="Y583" i="15"/>
  <c r="Y388" i="15"/>
  <c r="X438" i="15"/>
  <c r="Y487" i="15"/>
  <c r="X94" i="15"/>
  <c r="L13" i="8"/>
  <c r="F120" i="8" s="1"/>
  <c r="X534" i="15"/>
  <c r="X241" i="15"/>
  <c r="X389" i="15"/>
  <c r="X240" i="15"/>
  <c r="X46" i="15"/>
  <c r="Y338" i="15"/>
  <c r="Y95" i="15"/>
  <c r="X536" i="15"/>
  <c r="P14" i="8"/>
  <c r="H121" i="8" s="1"/>
  <c r="Y436" i="15"/>
  <c r="Y193" i="15"/>
  <c r="X436" i="15"/>
  <c r="X193" i="15"/>
  <c r="X96" i="15"/>
  <c r="Y584" i="15"/>
  <c r="X387" i="15"/>
  <c r="X95" i="15"/>
  <c r="Y96" i="15"/>
  <c r="X535" i="15"/>
  <c r="X289" i="15"/>
  <c r="Y144" i="15"/>
  <c r="Y242" i="15"/>
  <c r="Y143" i="15"/>
  <c r="M11" i="8"/>
  <c r="X485" i="15"/>
  <c r="Y290" i="15"/>
  <c r="Y291" i="15"/>
  <c r="X437" i="15"/>
  <c r="Y438" i="15"/>
  <c r="X339" i="15"/>
  <c r="X487" i="15"/>
  <c r="Y536" i="15"/>
  <c r="X583" i="15"/>
  <c r="X388" i="15"/>
  <c r="X340" i="15"/>
  <c r="Y240" i="15"/>
  <c r="K13" i="8"/>
  <c r="K32" i="8" s="1"/>
  <c r="Y47" i="15"/>
  <c r="M14" i="8"/>
  <c r="L33" i="8" s="1"/>
  <c r="M18" i="8"/>
  <c r="L37" i="8" s="1"/>
  <c r="K14" i="8"/>
  <c r="K33" i="8" s="1"/>
  <c r="O14" i="8"/>
  <c r="M33" i="8" s="1"/>
  <c r="P15" i="8"/>
  <c r="H122" i="8" s="1"/>
  <c r="K15" i="8"/>
  <c r="K34" i="8" s="1"/>
  <c r="N14" i="8"/>
  <c r="O15" i="8"/>
  <c r="M34" i="8" s="1"/>
  <c r="P18" i="8"/>
  <c r="N15" i="8"/>
  <c r="G122" i="8" s="1"/>
  <c r="L18" i="8"/>
  <c r="F125" i="8" s="1"/>
  <c r="O16" i="8"/>
  <c r="M35" i="8" s="1"/>
  <c r="P16" i="8"/>
  <c r="H123" i="8" s="1"/>
  <c r="M16" i="8"/>
  <c r="L35" i="8" s="1"/>
  <c r="K16" i="8"/>
  <c r="K35" i="8" s="1"/>
  <c r="N16" i="8"/>
  <c r="G123" i="8" s="1"/>
  <c r="L16" i="8"/>
  <c r="F123" i="8" s="1"/>
  <c r="L17" i="8"/>
  <c r="F124" i="8" s="1"/>
  <c r="M17" i="8"/>
  <c r="L36" i="8" s="1"/>
  <c r="K17" i="8"/>
  <c r="K36" i="8" s="1"/>
  <c r="N17" i="8"/>
  <c r="P17" i="8"/>
  <c r="H124" i="8" s="1"/>
  <c r="O17" i="8"/>
  <c r="M36" i="8" s="1"/>
  <c r="N18" i="8"/>
  <c r="O18" i="8"/>
  <c r="M37" i="8" s="1"/>
  <c r="K18" i="8"/>
  <c r="K37" i="8" s="1"/>
  <c r="L22" i="8"/>
  <c r="F129" i="8" s="1"/>
  <c r="P19" i="8"/>
  <c r="H126" i="8" s="1"/>
  <c r="N20" i="8"/>
  <c r="G127" i="8" s="1"/>
  <c r="M20" i="8"/>
  <c r="L39" i="8" s="1"/>
  <c r="N19" i="8"/>
  <c r="G126" i="8" s="1"/>
  <c r="L20" i="8"/>
  <c r="F127" i="8" s="1"/>
  <c r="K20" i="8"/>
  <c r="K39" i="8" s="1"/>
  <c r="K19" i="8"/>
  <c r="K38" i="8" s="1"/>
  <c r="N22" i="8"/>
  <c r="O19" i="8"/>
  <c r="M38" i="8" s="1"/>
  <c r="P20" i="8"/>
  <c r="H127" i="8" s="1"/>
  <c r="M19" i="8"/>
  <c r="L38" i="8" s="1"/>
  <c r="O20" i="8"/>
  <c r="M39" i="8" s="1"/>
  <c r="L19" i="8"/>
  <c r="F126" i="8" s="1"/>
  <c r="K22" i="8"/>
  <c r="K41" i="8" s="1"/>
  <c r="N21" i="8"/>
  <c r="L21" i="8"/>
  <c r="F128" i="8" s="1"/>
  <c r="M21" i="8"/>
  <c r="L40" i="8" s="1"/>
  <c r="K21" i="8"/>
  <c r="K40" i="8" s="1"/>
  <c r="P21" i="8"/>
  <c r="O21" i="8"/>
  <c r="M40" i="8" s="1"/>
  <c r="P22" i="8"/>
  <c r="O22" i="8"/>
  <c r="M41" i="8" s="1"/>
  <c r="AC581" i="15"/>
  <c r="X376" i="15"/>
  <c r="Z376" i="15" s="1"/>
  <c r="AC287" i="15"/>
  <c r="AC483" i="15"/>
  <c r="X34" i="15"/>
  <c r="Z34" i="15" s="1"/>
  <c r="AC141" i="15"/>
  <c r="X181" i="15"/>
  <c r="Z181" i="15" s="1"/>
  <c r="X572" i="15"/>
  <c r="Z572" i="15" s="1"/>
  <c r="AC336" i="15"/>
  <c r="AC43" i="15"/>
  <c r="X278" i="15"/>
  <c r="Z278" i="15" s="1"/>
  <c r="AC190" i="15"/>
  <c r="X523" i="15"/>
  <c r="Z523" i="15" s="1"/>
  <c r="X327" i="15"/>
  <c r="Z327" i="15" s="1"/>
  <c r="AC385" i="15"/>
  <c r="AC532" i="15"/>
  <c r="X132" i="15"/>
  <c r="Z132" i="15" s="1"/>
  <c r="X474" i="15"/>
  <c r="Z474" i="15" s="1"/>
  <c r="AC238" i="15"/>
  <c r="X83" i="15"/>
  <c r="Z83" i="15" s="1"/>
  <c r="AC92" i="15"/>
  <c r="AC434" i="15"/>
  <c r="X425" i="15"/>
  <c r="Z425" i="15" s="1"/>
  <c r="X229" i="15"/>
  <c r="Z229" i="15" s="1"/>
  <c r="X515" i="15"/>
  <c r="X350" i="15"/>
  <c r="X85" i="15"/>
  <c r="X579" i="15"/>
  <c r="Z579" i="15" s="1"/>
  <c r="X374" i="15"/>
  <c r="X203" i="15"/>
  <c r="X542" i="15"/>
  <c r="Z542" i="15" s="1"/>
  <c r="X325" i="15"/>
  <c r="X139" i="15"/>
  <c r="Z139" i="15" s="1"/>
  <c r="X521" i="15"/>
  <c r="X368" i="15"/>
  <c r="X90" i="15"/>
  <c r="Z90" i="15" s="1"/>
  <c r="X591" i="15"/>
  <c r="Z591" i="15" s="1"/>
  <c r="X378" i="15"/>
  <c r="X221" i="15"/>
  <c r="X555" i="15"/>
  <c r="Z555" i="15" s="1"/>
  <c r="X329" i="15"/>
  <c r="X151" i="15"/>
  <c r="Z151" i="15" s="1"/>
  <c r="X525" i="15"/>
  <c r="X385" i="15"/>
  <c r="Z385" i="15" s="1"/>
  <c r="X102" i="15"/>
  <c r="Z102" i="15" s="1"/>
  <c r="X581" i="15"/>
  <c r="Z581" i="15" s="1"/>
  <c r="X383" i="15"/>
  <c r="Z383" i="15" s="1"/>
  <c r="X238" i="15"/>
  <c r="Z238" i="15" s="1"/>
  <c r="X564" i="15"/>
  <c r="X334" i="15"/>
  <c r="Z334" i="15" s="1"/>
  <c r="X164" i="15"/>
  <c r="Z164" i="15" s="1"/>
  <c r="X530" i="15"/>
  <c r="Z530" i="15" s="1"/>
  <c r="X399" i="15"/>
  <c r="X115" i="15"/>
  <c r="Z115" i="15" s="1"/>
  <c r="X493" i="15"/>
  <c r="Z493" i="15" s="1"/>
  <c r="X319" i="15"/>
  <c r="X66" i="15"/>
  <c r="Z66" i="15" s="1"/>
  <c r="X483" i="15"/>
  <c r="Z483" i="15" s="1"/>
  <c r="X261" i="15"/>
  <c r="Z261" i="15" s="1"/>
  <c r="X17" i="15"/>
  <c r="Z17" i="15" s="1"/>
  <c r="X427" i="15"/>
  <c r="X212" i="15"/>
  <c r="Z212" i="15" s="1"/>
  <c r="X43" i="15"/>
  <c r="Z43" i="15" s="1"/>
  <c r="X434" i="15"/>
  <c r="Z434" i="15" s="1"/>
  <c r="X270" i="15"/>
  <c r="X57" i="15"/>
  <c r="X276" i="15"/>
  <c r="X432" i="15"/>
  <c r="Z432" i="15" s="1"/>
  <c r="X227" i="15"/>
  <c r="X448" i="15"/>
  <c r="X287" i="15"/>
  <c r="Z287" i="15" s="1"/>
  <c r="X75" i="15"/>
  <c r="X472" i="15"/>
  <c r="X280" i="15"/>
  <c r="X36" i="15"/>
  <c r="X444" i="15"/>
  <c r="Z444" i="15" s="1"/>
  <c r="X231" i="15"/>
  <c r="X124" i="15"/>
  <c r="X395" i="15"/>
  <c r="Z395" i="15" s="1"/>
  <c r="X179" i="15"/>
  <c r="X92" i="15"/>
  <c r="Z92" i="15" s="1"/>
  <c r="X476" i="15"/>
  <c r="X285" i="15"/>
  <c r="Z285" i="15" s="1"/>
  <c r="X41" i="15"/>
  <c r="Z41" i="15" s="1"/>
  <c r="X457" i="15"/>
  <c r="Z457" i="15" s="1"/>
  <c r="X236" i="15"/>
  <c r="Z236" i="15" s="1"/>
  <c r="X141" i="15"/>
  <c r="Z141" i="15" s="1"/>
  <c r="X408" i="15"/>
  <c r="Z408" i="15" s="1"/>
  <c r="X183" i="15"/>
  <c r="X8" i="15"/>
  <c r="X481" i="15"/>
  <c r="Z481" i="15" s="1"/>
  <c r="X301" i="15"/>
  <c r="X53" i="15"/>
  <c r="Z53" i="15" s="1"/>
  <c r="X466" i="15"/>
  <c r="X248" i="15"/>
  <c r="Z248" i="15" s="1"/>
  <c r="X155" i="15"/>
  <c r="X423" i="15"/>
  <c r="X190" i="15"/>
  <c r="Z190" i="15" s="1"/>
  <c r="X32" i="15"/>
  <c r="X417" i="15"/>
  <c r="X252" i="15"/>
  <c r="X570" i="15"/>
  <c r="X346" i="15"/>
  <c r="Z346" i="15" s="1"/>
  <c r="X173" i="15"/>
  <c r="X532" i="15"/>
  <c r="Z532" i="15" s="1"/>
  <c r="X297" i="15"/>
  <c r="Z297" i="15" s="1"/>
  <c r="X130" i="15"/>
  <c r="X506" i="15"/>
  <c r="Z506" i="15" s="1"/>
  <c r="X336" i="15"/>
  <c r="Z336" i="15" s="1"/>
  <c r="X81" i="15"/>
  <c r="X574" i="15"/>
  <c r="X359" i="15"/>
  <c r="Z359" i="15" s="1"/>
  <c r="X188" i="15"/>
  <c r="Z188" i="15" s="1"/>
  <c r="X546" i="15"/>
  <c r="X310" i="15"/>
  <c r="Z310" i="15" s="1"/>
  <c r="X134" i="15"/>
  <c r="X497" i="15"/>
  <c r="X26" i="15"/>
  <c r="X106" i="15"/>
  <c r="AC561" i="15"/>
  <c r="AD561" i="15" s="1"/>
  <c r="AC170" i="15"/>
  <c r="AD170" i="15" s="1"/>
  <c r="AC218" i="15"/>
  <c r="AD218" i="15" s="1"/>
  <c r="AC414" i="15"/>
  <c r="AD414" i="15" s="1"/>
  <c r="AC365" i="15"/>
  <c r="AD365" i="15" s="1"/>
  <c r="AC72" i="15"/>
  <c r="AD72" i="15" s="1"/>
  <c r="AC267" i="15"/>
  <c r="AD267" i="15" s="1"/>
  <c r="AC463" i="15"/>
  <c r="AD463" i="15" s="1"/>
  <c r="AC512" i="15"/>
  <c r="AD512" i="15" s="1"/>
  <c r="AC121" i="15"/>
  <c r="AD121" i="15" s="1"/>
  <c r="AC23" i="15"/>
  <c r="AD23" i="15" s="1"/>
  <c r="AC316" i="15"/>
  <c r="AD316" i="15" s="1"/>
  <c r="AC261" i="15"/>
  <c r="AD261" i="15" s="1"/>
  <c r="AC212" i="15"/>
  <c r="AD212" i="15" s="1"/>
  <c r="AC555" i="15"/>
  <c r="AD555" i="15" s="1"/>
  <c r="AC164" i="15"/>
  <c r="AD164" i="15" s="1"/>
  <c r="AC115" i="15"/>
  <c r="AD115" i="15" s="1"/>
  <c r="AC457" i="15"/>
  <c r="AD457" i="15" s="1"/>
  <c r="AC66" i="15"/>
  <c r="AD66" i="15" s="1"/>
  <c r="AC408" i="15"/>
  <c r="AD408" i="15" s="1"/>
  <c r="AC506" i="15"/>
  <c r="AD506" i="15" s="1"/>
  <c r="AC359" i="15"/>
  <c r="AD359" i="15" s="1"/>
  <c r="AC310" i="15"/>
  <c r="AD310" i="15" s="1"/>
  <c r="AC346" i="15"/>
  <c r="AD346" i="15" s="1"/>
  <c r="AC493" i="15"/>
  <c r="AD493" i="15" s="1"/>
  <c r="AC395" i="15"/>
  <c r="AD395" i="15" s="1"/>
  <c r="AC151" i="15"/>
  <c r="AD151" i="15" s="1"/>
  <c r="AC53" i="15"/>
  <c r="AD53" i="15" s="1"/>
  <c r="AC444" i="15"/>
  <c r="AD444" i="15" s="1"/>
  <c r="AC248" i="15"/>
  <c r="AD248" i="15" s="1"/>
  <c r="AC297" i="15"/>
  <c r="AD297" i="15" s="1"/>
  <c r="AC542" i="15"/>
  <c r="AD542" i="15" s="1"/>
  <c r="AC591" i="15"/>
  <c r="AD591" i="15" s="1"/>
  <c r="AC131" i="15"/>
  <c r="AD131" i="15" s="1"/>
  <c r="AC82" i="15"/>
  <c r="AD82" i="15" s="1"/>
  <c r="AC375" i="15"/>
  <c r="AD375" i="15" s="1"/>
  <c r="AC228" i="15"/>
  <c r="AD228" i="15" s="1"/>
  <c r="AC473" i="15"/>
  <c r="AD473" i="15" s="1"/>
  <c r="AC571" i="15"/>
  <c r="AD571" i="15" s="1"/>
  <c r="AC326" i="15"/>
  <c r="AD326" i="15" s="1"/>
  <c r="AC180" i="15"/>
  <c r="AD180" i="15" s="1"/>
  <c r="AC424" i="15"/>
  <c r="AD424" i="15" s="1"/>
  <c r="AC522" i="15"/>
  <c r="AD522" i="15" s="1"/>
  <c r="AC277" i="15"/>
  <c r="AD277" i="15" s="1"/>
  <c r="AC33" i="15"/>
  <c r="AD33" i="15" s="1"/>
  <c r="AC17" i="15"/>
  <c r="AD17" i="15" s="1"/>
  <c r="AC102" i="15"/>
  <c r="AD102" i="15" s="1"/>
  <c r="Z576" i="15"/>
  <c r="E34" i="15"/>
  <c r="F22" i="15"/>
  <c r="E82" i="15"/>
  <c r="F109" i="15"/>
  <c r="F76" i="15"/>
  <c r="F571" i="15"/>
  <c r="F363" i="15"/>
  <c r="E169" i="15"/>
  <c r="E587" i="15"/>
  <c r="F548" i="15"/>
  <c r="G548" i="15" s="1"/>
  <c r="F515" i="15"/>
  <c r="E481" i="15"/>
  <c r="F476" i="15"/>
  <c r="F421" i="15"/>
  <c r="E421" i="15"/>
  <c r="E365" i="15"/>
  <c r="F309" i="15"/>
  <c r="F357" i="15"/>
  <c r="F293" i="15"/>
  <c r="F234" i="15"/>
  <c r="F177" i="15"/>
  <c r="F237" i="15"/>
  <c r="F183" i="15"/>
  <c r="F122" i="15"/>
  <c r="G122" i="15" s="1"/>
  <c r="E66" i="15"/>
  <c r="F179" i="15"/>
  <c r="E114" i="15"/>
  <c r="F565" i="15"/>
  <c r="F21" i="15"/>
  <c r="E326" i="15"/>
  <c r="F119" i="15"/>
  <c r="E327" i="15"/>
  <c r="E570" i="15"/>
  <c r="E558" i="15"/>
  <c r="F521" i="15"/>
  <c r="F468" i="15"/>
  <c r="E460" i="15"/>
  <c r="E406" i="15"/>
  <c r="E407" i="15"/>
  <c r="F350" i="15"/>
  <c r="E293" i="15"/>
  <c r="F334" i="15"/>
  <c r="E276" i="15"/>
  <c r="F221" i="15"/>
  <c r="F282" i="15"/>
  <c r="F224" i="15"/>
  <c r="F163" i="15"/>
  <c r="F108" i="15"/>
  <c r="G108" i="15" s="1"/>
  <c r="F50" i="15"/>
  <c r="F158" i="15"/>
  <c r="F29" i="15"/>
  <c r="E222" i="15"/>
  <c r="E559" i="15"/>
  <c r="F132" i="15"/>
  <c r="E530" i="15"/>
  <c r="E505" i="15"/>
  <c r="F451" i="15"/>
  <c r="E325" i="15"/>
  <c r="E321" i="15"/>
  <c r="F207" i="15"/>
  <c r="E203" i="15"/>
  <c r="F88" i="15"/>
  <c r="F136" i="15"/>
  <c r="E76" i="15"/>
  <c r="F412" i="15"/>
  <c r="F579" i="15"/>
  <c r="F524" i="15"/>
  <c r="F504" i="15"/>
  <c r="F443" i="15"/>
  <c r="F449" i="15"/>
  <c r="E335" i="15"/>
  <c r="F331" i="15"/>
  <c r="E218" i="15"/>
  <c r="F214" i="15"/>
  <c r="F92" i="15"/>
  <c r="E155" i="15"/>
  <c r="F467" i="15"/>
  <c r="E375" i="15"/>
  <c r="E376" i="15"/>
  <c r="F557" i="15"/>
  <c r="F466" i="15"/>
  <c r="F457" i="15"/>
  <c r="E346" i="15"/>
  <c r="E328" i="15"/>
  <c r="E212" i="15"/>
  <c r="E215" i="15"/>
  <c r="E98" i="15"/>
  <c r="E141" i="15"/>
  <c r="F369" i="15"/>
  <c r="E131" i="15"/>
  <c r="F34" i="15"/>
  <c r="F528" i="15"/>
  <c r="F410" i="15"/>
  <c r="F296" i="15"/>
  <c r="G296" i="15" s="1"/>
  <c r="E285" i="15"/>
  <c r="F171" i="15"/>
  <c r="F165" i="15"/>
  <c r="F63" i="15"/>
  <c r="E23" i="15"/>
  <c r="E27" i="15"/>
  <c r="E92" i="15"/>
  <c r="E412" i="15"/>
  <c r="E217" i="15"/>
  <c r="F578" i="15"/>
  <c r="F554" i="15"/>
  <c r="E521" i="15"/>
  <c r="F490" i="15"/>
  <c r="F481" i="15"/>
  <c r="E427" i="15"/>
  <c r="E428" i="15"/>
  <c r="F372" i="15"/>
  <c r="E316" i="15"/>
  <c r="E362" i="15"/>
  <c r="F304" i="15"/>
  <c r="E244" i="15"/>
  <c r="E183" i="15"/>
  <c r="E252" i="15"/>
  <c r="E188" i="15"/>
  <c r="F129" i="15"/>
  <c r="F73" i="15"/>
  <c r="E20" i="15"/>
  <c r="F121" i="15"/>
  <c r="E84" i="15"/>
  <c r="F12" i="15"/>
  <c r="E424" i="15"/>
  <c r="E119" i="15"/>
  <c r="F474" i="15"/>
  <c r="E576" i="15"/>
  <c r="E538" i="15"/>
  <c r="F527" i="15"/>
  <c r="F475" i="15"/>
  <c r="E468" i="15"/>
  <c r="F411" i="15"/>
  <c r="F414" i="15"/>
  <c r="E357" i="15"/>
  <c r="F301" i="15"/>
  <c r="F346" i="15"/>
  <c r="E282" i="15"/>
  <c r="E227" i="15"/>
  <c r="E287" i="15"/>
  <c r="F231" i="15"/>
  <c r="F172" i="15"/>
  <c r="F114" i="15"/>
  <c r="F59" i="15"/>
  <c r="F164" i="15"/>
  <c r="F18" i="15"/>
  <c r="E565" i="15"/>
  <c r="F180" i="15"/>
  <c r="E278" i="15"/>
  <c r="F551" i="15"/>
  <c r="G551" i="15" s="1"/>
  <c r="F458" i="15"/>
  <c r="F405" i="15"/>
  <c r="F336" i="15"/>
  <c r="F333" i="15"/>
  <c r="F219" i="15"/>
  <c r="E223" i="15"/>
  <c r="F106" i="15"/>
  <c r="F156" i="15"/>
  <c r="E174" i="15"/>
  <c r="E461" i="15"/>
  <c r="F591" i="15"/>
  <c r="F538" i="15"/>
  <c r="E509" i="15"/>
  <c r="F452" i="15"/>
  <c r="G452" i="15" s="1"/>
  <c r="E456" i="15"/>
  <c r="E359" i="15"/>
  <c r="F351" i="15"/>
  <c r="E231" i="15"/>
  <c r="F233" i="15"/>
  <c r="F116" i="15"/>
  <c r="F162" i="15"/>
  <c r="F98" i="15"/>
  <c r="F522" i="15"/>
  <c r="E474" i="15"/>
  <c r="E542" i="15"/>
  <c r="E472" i="15"/>
  <c r="F409" i="15"/>
  <c r="F360" i="15"/>
  <c r="F353" i="15"/>
  <c r="F232" i="15"/>
  <c r="E230" i="15"/>
  <c r="F118" i="15"/>
  <c r="E163" i="15"/>
  <c r="E418" i="15"/>
  <c r="E180" i="15"/>
  <c r="F327" i="15"/>
  <c r="F549" i="15"/>
  <c r="G549" i="15" s="1"/>
  <c r="F423" i="15"/>
  <c r="E310" i="15"/>
  <c r="F306" i="15"/>
  <c r="F178" i="15"/>
  <c r="E189" i="15"/>
  <c r="F75" i="15"/>
  <c r="F115" i="15"/>
  <c r="F271" i="15"/>
  <c r="E77" i="15"/>
  <c r="E510" i="15"/>
  <c r="F266" i="15"/>
  <c r="F587" i="15"/>
  <c r="F562" i="15"/>
  <c r="G562" i="15" s="1"/>
  <c r="E527" i="15"/>
  <c r="F499" i="15"/>
  <c r="F493" i="15"/>
  <c r="E432" i="15"/>
  <c r="F433" i="15"/>
  <c r="E378" i="15"/>
  <c r="F323" i="15"/>
  <c r="E370" i="15"/>
  <c r="F310" i="15"/>
  <c r="F252" i="15"/>
  <c r="F188" i="15"/>
  <c r="F259" i="15"/>
  <c r="F197" i="15"/>
  <c r="F135" i="15"/>
  <c r="F80" i="15"/>
  <c r="E26" i="15"/>
  <c r="F127" i="15"/>
  <c r="E71" i="15"/>
  <c r="F49" i="15"/>
  <c r="F82" i="15"/>
  <c r="E413" i="15"/>
  <c r="E132" i="15"/>
  <c r="F570" i="15"/>
  <c r="E546" i="15"/>
  <c r="F509" i="15"/>
  <c r="F506" i="15"/>
  <c r="F448" i="15"/>
  <c r="F453" i="15"/>
  <c r="G453" i="15" s="1"/>
  <c r="E391" i="15"/>
  <c r="F332" i="15"/>
  <c r="F380" i="15"/>
  <c r="F322" i="15"/>
  <c r="F262" i="15"/>
  <c r="G262" i="15" s="1"/>
  <c r="F209" i="15"/>
  <c r="E270" i="15"/>
  <c r="E211" i="15"/>
  <c r="F148" i="15"/>
  <c r="E90" i="15"/>
  <c r="F37" i="15"/>
  <c r="F138" i="15"/>
  <c r="F62" i="15"/>
  <c r="F28" i="15"/>
  <c r="E168" i="15"/>
  <c r="E580" i="15"/>
  <c r="E526" i="15"/>
  <c r="F472" i="15"/>
  <c r="E419" i="15"/>
  <c r="F307" i="15"/>
  <c r="F281" i="15"/>
  <c r="F173" i="15"/>
  <c r="F167" i="15"/>
  <c r="F57" i="15"/>
  <c r="F111" i="15"/>
  <c r="F26" i="15"/>
  <c r="E462" i="15"/>
  <c r="F574" i="15"/>
  <c r="F518" i="15"/>
  <c r="F482" i="15"/>
  <c r="F428" i="15"/>
  <c r="F429" i="15"/>
  <c r="F317" i="15"/>
  <c r="F297" i="15"/>
  <c r="F184" i="15"/>
  <c r="E184" i="15"/>
  <c r="F67" i="15"/>
  <c r="F123" i="15"/>
  <c r="E125" i="15"/>
  <c r="E363" i="15"/>
  <c r="F580" i="15"/>
  <c r="E525" i="15"/>
  <c r="E483" i="15"/>
  <c r="E426" i="15"/>
  <c r="F311" i="15"/>
  <c r="F308" i="15"/>
  <c r="E179" i="15"/>
  <c r="F185" i="15"/>
  <c r="F69" i="15"/>
  <c r="E124" i="15"/>
  <c r="K124" i="15" s="1"/>
  <c r="F17" i="15"/>
  <c r="F216" i="15"/>
  <c r="E579" i="15"/>
  <c r="F530" i="15"/>
  <c r="E384" i="15"/>
  <c r="F371" i="15"/>
  <c r="F260" i="15"/>
  <c r="E260" i="15"/>
  <c r="E136" i="15"/>
  <c r="E35" i="15"/>
  <c r="F70" i="15"/>
  <c r="F19" i="15"/>
  <c r="F473" i="15"/>
  <c r="F265" i="15"/>
  <c r="E523" i="15"/>
  <c r="F577" i="15"/>
  <c r="F539" i="15"/>
  <c r="F529" i="15"/>
  <c r="E476" i="15"/>
  <c r="F469" i="15"/>
  <c r="E414" i="15"/>
  <c r="F416" i="15"/>
  <c r="F358" i="15"/>
  <c r="F303" i="15"/>
  <c r="E350" i="15"/>
  <c r="F283" i="15"/>
  <c r="F230" i="15"/>
  <c r="E170" i="15"/>
  <c r="E232" i="15"/>
  <c r="E173" i="15"/>
  <c r="E115" i="15"/>
  <c r="F61" i="15"/>
  <c r="F166" i="15"/>
  <c r="F13" i="15"/>
  <c r="E467" i="15"/>
  <c r="F30" i="15"/>
  <c r="E277" i="15"/>
  <c r="F462" i="15"/>
  <c r="E229" i="15"/>
  <c r="F576" i="15"/>
  <c r="F553" i="15"/>
  <c r="E515" i="15"/>
  <c r="F460" i="15"/>
  <c r="E455" i="15"/>
  <c r="F399" i="15"/>
  <c r="F400" i="15"/>
  <c r="G400" i="15" s="1"/>
  <c r="E342" i="15"/>
  <c r="E385" i="15"/>
  <c r="F329" i="15"/>
  <c r="F270" i="15"/>
  <c r="F213" i="15"/>
  <c r="F276" i="15"/>
  <c r="F218" i="15"/>
  <c r="F157" i="15"/>
  <c r="F99" i="15"/>
  <c r="E42" i="15"/>
  <c r="F147" i="15"/>
  <c r="F40" i="15"/>
  <c r="F174" i="15"/>
  <c r="F510" i="15"/>
  <c r="F590" i="15"/>
  <c r="F519" i="15"/>
  <c r="F478" i="15"/>
  <c r="F431" i="15"/>
  <c r="F319" i="15"/>
  <c r="E301" i="15"/>
  <c r="E185" i="15"/>
  <c r="F190" i="15"/>
  <c r="F77" i="15"/>
  <c r="F117" i="15"/>
  <c r="E8" i="15"/>
  <c r="E21" i="15"/>
  <c r="E574" i="15"/>
  <c r="F525" i="15"/>
  <c r="E497" i="15"/>
  <c r="E433" i="15"/>
  <c r="E434" i="15"/>
  <c r="F324" i="15"/>
  <c r="F312" i="15"/>
  <c r="F205" i="15"/>
  <c r="F208" i="15"/>
  <c r="E81" i="15"/>
  <c r="E128" i="15"/>
  <c r="E320" i="15"/>
  <c r="F131" i="15"/>
  <c r="F229" i="15"/>
  <c r="F542" i="15"/>
  <c r="F498" i="15"/>
  <c r="F440" i="15"/>
  <c r="E331" i="15"/>
  <c r="E313" i="15"/>
  <c r="E190" i="15"/>
  <c r="F210" i="15"/>
  <c r="F84" i="15"/>
  <c r="F130" i="15"/>
  <c r="F27" i="15"/>
  <c r="F314" i="15"/>
  <c r="F588" i="15"/>
  <c r="G588" i="15" s="1"/>
  <c r="F517" i="15"/>
  <c r="F404" i="15"/>
  <c r="F383" i="15"/>
  <c r="E267" i="15"/>
  <c r="F280" i="15"/>
  <c r="E151" i="15"/>
  <c r="E44" i="15"/>
  <c r="F35" i="15"/>
  <c r="F359" i="15"/>
  <c r="F255" i="15"/>
  <c r="G255" i="15" s="1"/>
  <c r="F24" i="15"/>
  <c r="F326" i="15"/>
  <c r="F541" i="15"/>
  <c r="F465" i="15"/>
  <c r="F379" i="15"/>
  <c r="F254" i="15"/>
  <c r="G254" i="15" s="1"/>
  <c r="F141" i="15"/>
  <c r="E65" i="15"/>
  <c r="E364" i="15"/>
  <c r="F507" i="15"/>
  <c r="E380" i="15"/>
  <c r="F261" i="15"/>
  <c r="E30" i="15"/>
  <c r="E571" i="15"/>
  <c r="E555" i="15"/>
  <c r="F345" i="15"/>
  <c r="F211" i="15"/>
  <c r="E102" i="15"/>
  <c r="F418" i="15"/>
  <c r="F44" i="15"/>
  <c r="E228" i="15"/>
  <c r="F511" i="15"/>
  <c r="E181" i="15"/>
  <c r="E573" i="15"/>
  <c r="F547" i="15"/>
  <c r="G547" i="15" s="1"/>
  <c r="E512" i="15"/>
  <c r="F508" i="15"/>
  <c r="F450" i="15"/>
  <c r="F455" i="15"/>
  <c r="F392" i="15"/>
  <c r="E334" i="15"/>
  <c r="F382" i="15"/>
  <c r="E323" i="15"/>
  <c r="F264" i="15"/>
  <c r="E210" i="15"/>
  <c r="E272" i="15"/>
  <c r="F212" i="15"/>
  <c r="F150" i="15"/>
  <c r="E91" i="15"/>
  <c r="F38" i="15"/>
  <c r="F139" i="15"/>
  <c r="F53" i="15"/>
  <c r="F222" i="15"/>
  <c r="F89" i="15"/>
  <c r="F461" i="15"/>
  <c r="E266" i="15"/>
  <c r="E581" i="15"/>
  <c r="F558" i="15"/>
  <c r="F526" i="15"/>
  <c r="F497" i="15"/>
  <c r="F489" i="15"/>
  <c r="F430" i="15"/>
  <c r="F432" i="15"/>
  <c r="F377" i="15"/>
  <c r="F321" i="15"/>
  <c r="E368" i="15"/>
  <c r="E309" i="15"/>
  <c r="E248" i="15"/>
  <c r="F186" i="15"/>
  <c r="F257" i="15"/>
  <c r="E196" i="15"/>
  <c r="E134" i="15"/>
  <c r="F79" i="15"/>
  <c r="F25" i="15"/>
  <c r="E126" i="15"/>
  <c r="F72" i="15"/>
  <c r="E75" i="15"/>
  <c r="F413" i="15"/>
  <c r="F563" i="15"/>
  <c r="G563" i="15" s="1"/>
  <c r="F503" i="15"/>
  <c r="E444" i="15"/>
  <c r="F385" i="15"/>
  <c r="E379" i="15"/>
  <c r="E261" i="15"/>
  <c r="F269" i="15"/>
  <c r="G269" i="15" s="1"/>
  <c r="E147" i="15"/>
  <c r="E36" i="15"/>
  <c r="F60" i="15"/>
  <c r="F90" i="15"/>
  <c r="F120" i="15"/>
  <c r="F550" i="15"/>
  <c r="G550" i="15" s="1"/>
  <c r="E482" i="15"/>
  <c r="E470" i="15"/>
  <c r="F415" i="15"/>
  <c r="G415" i="15" s="1"/>
  <c r="F394" i="15"/>
  <c r="F395" i="15"/>
  <c r="F274" i="15"/>
  <c r="F273" i="15"/>
  <c r="G273" i="15" s="1"/>
  <c r="F161" i="15"/>
  <c r="F39" i="15"/>
  <c r="F58" i="15"/>
  <c r="E37" i="15"/>
  <c r="E511" i="15"/>
  <c r="E575" i="15"/>
  <c r="E519" i="15"/>
  <c r="F454" i="15"/>
  <c r="E395" i="15"/>
  <c r="F384" i="15"/>
  <c r="F275" i="15"/>
  <c r="E274" i="15"/>
  <c r="E162" i="15"/>
  <c r="F41" i="15"/>
  <c r="E43" i="15"/>
  <c r="E86" i="15"/>
  <c r="F315" i="15"/>
  <c r="F567" i="15"/>
  <c r="G567" i="15" s="1"/>
  <c r="F501" i="15"/>
  <c r="G501" i="15" s="1"/>
  <c r="F354" i="15"/>
  <c r="E336" i="15"/>
  <c r="F225" i="15"/>
  <c r="F227" i="15"/>
  <c r="F112" i="15"/>
  <c r="E167" i="15"/>
  <c r="F516" i="15"/>
  <c r="E41" i="15"/>
  <c r="F277" i="15"/>
  <c r="E560" i="15"/>
  <c r="F376" i="15"/>
  <c r="F566" i="15"/>
  <c r="E554" i="15"/>
  <c r="E517" i="15"/>
  <c r="E463" i="15"/>
  <c r="F456" i="15"/>
  <c r="F401" i="15"/>
  <c r="G401" i="15" s="1"/>
  <c r="F402" i="15"/>
  <c r="F343" i="15"/>
  <c r="F391" i="15"/>
  <c r="E330" i="15"/>
  <c r="F272" i="15"/>
  <c r="F215" i="15"/>
  <c r="E279" i="15"/>
  <c r="F220" i="15"/>
  <c r="F159" i="15"/>
  <c r="F101" i="15"/>
  <c r="F43" i="15"/>
  <c r="F151" i="15"/>
  <c r="F36" i="15"/>
  <c r="E271" i="15"/>
  <c r="E79" i="15"/>
  <c r="F559" i="15"/>
  <c r="E315" i="15"/>
  <c r="F181" i="15"/>
  <c r="E564" i="15"/>
  <c r="E531" i="15"/>
  <c r="E504" i="15"/>
  <c r="F500" i="15"/>
  <c r="E440" i="15"/>
  <c r="F444" i="15"/>
  <c r="F381" i="15"/>
  <c r="F328" i="15"/>
  <c r="F374" i="15"/>
  <c r="F316" i="15"/>
  <c r="F258" i="15"/>
  <c r="G258" i="15" s="1"/>
  <c r="F196" i="15"/>
  <c r="F263" i="15"/>
  <c r="F204" i="15"/>
  <c r="E139" i="15"/>
  <c r="E85" i="15"/>
  <c r="F31" i="15"/>
  <c r="E133" i="15"/>
  <c r="F68" i="15"/>
  <c r="F42" i="15"/>
  <c r="F168" i="15"/>
  <c r="F569" i="15"/>
  <c r="F514" i="15"/>
  <c r="F459" i="15"/>
  <c r="F406" i="15"/>
  <c r="E399" i="15"/>
  <c r="F268" i="15"/>
  <c r="G268" i="15" s="1"/>
  <c r="E281" i="15"/>
  <c r="F155" i="15"/>
  <c r="E49" i="15"/>
  <c r="E32" i="15"/>
  <c r="F74" i="15"/>
  <c r="F217" i="15"/>
  <c r="F561" i="15"/>
  <c r="E506" i="15"/>
  <c r="E477" i="15"/>
  <c r="F422" i="15"/>
  <c r="E417" i="15"/>
  <c r="F305" i="15"/>
  <c r="E280" i="15"/>
  <c r="F285" i="15"/>
  <c r="E175" i="15"/>
  <c r="E53" i="15"/>
  <c r="F15" i="15"/>
  <c r="F14" i="15"/>
  <c r="E265" i="15"/>
  <c r="F575" i="15"/>
  <c r="F531" i="15"/>
  <c r="E466" i="15"/>
  <c r="E411" i="15"/>
  <c r="E297" i="15"/>
  <c r="E286" i="15"/>
  <c r="F286" i="15"/>
  <c r="E177" i="15"/>
  <c r="E64" i="15"/>
  <c r="F16" i="15"/>
  <c r="E38" i="15"/>
  <c r="F560" i="15"/>
  <c r="F568" i="15"/>
  <c r="F512" i="15"/>
  <c r="F373" i="15"/>
  <c r="E358" i="15"/>
  <c r="E236" i="15"/>
  <c r="E238" i="15"/>
  <c r="F124" i="15"/>
  <c r="E15" i="15"/>
  <c r="F81" i="15"/>
  <c r="F33" i="15"/>
  <c r="F375" i="15"/>
  <c r="E70" i="15"/>
  <c r="E425" i="15"/>
  <c r="F573" i="15"/>
  <c r="E561" i="15"/>
  <c r="E524" i="15"/>
  <c r="F470" i="15"/>
  <c r="F463" i="15"/>
  <c r="F407" i="15"/>
  <c r="F408" i="15"/>
  <c r="F352" i="15"/>
  <c r="F294" i="15"/>
  <c r="G294" i="15" s="1"/>
  <c r="F335" i="15"/>
  <c r="F279" i="15"/>
  <c r="F223" i="15"/>
  <c r="F284" i="15"/>
  <c r="G284" i="15" s="1"/>
  <c r="E225" i="15"/>
  <c r="E164" i="15"/>
  <c r="F110" i="15"/>
  <c r="F52" i="15"/>
  <c r="F160" i="15"/>
  <c r="F20" i="15"/>
  <c r="E369" i="15"/>
  <c r="E522" i="15"/>
  <c r="E216" i="15"/>
  <c r="F572" i="15"/>
  <c r="F581" i="15"/>
  <c r="F546" i="15"/>
  <c r="F513" i="15"/>
  <c r="F479" i="15"/>
  <c r="E475" i="15"/>
  <c r="F419" i="15"/>
  <c r="F420" i="15"/>
  <c r="F362" i="15"/>
  <c r="E308" i="15"/>
  <c r="F355" i="15"/>
  <c r="F287" i="15"/>
  <c r="E233" i="15"/>
  <c r="F175" i="15"/>
  <c r="F236" i="15"/>
  <c r="E182" i="15"/>
  <c r="E121" i="15"/>
  <c r="F65" i="15"/>
  <c r="F176" i="15"/>
  <c r="F113" i="15"/>
  <c r="F91" i="15"/>
  <c r="F424" i="15"/>
  <c r="E572" i="15"/>
  <c r="F532" i="15"/>
  <c r="E478" i="15"/>
  <c r="F417" i="15"/>
  <c r="F356" i="15"/>
  <c r="F342" i="15"/>
  <c r="F226" i="15"/>
  <c r="F235" i="15"/>
  <c r="E113" i="15"/>
  <c r="F170" i="15"/>
  <c r="E516" i="15"/>
  <c r="F228" i="15"/>
  <c r="F278" i="15"/>
  <c r="F555" i="15"/>
  <c r="F464" i="15"/>
  <c r="E457" i="15"/>
  <c r="F403" i="15"/>
  <c r="F366" i="15"/>
  <c r="F365" i="15"/>
  <c r="F245" i="15"/>
  <c r="F253" i="15"/>
  <c r="G253" i="15" s="1"/>
  <c r="E130" i="15"/>
  <c r="F23" i="15"/>
  <c r="F85" i="15"/>
  <c r="F87" i="15"/>
  <c r="F169" i="15"/>
  <c r="F556" i="15"/>
  <c r="G556" i="15" s="1"/>
  <c r="E493" i="15"/>
  <c r="E423" i="15"/>
  <c r="F368" i="15"/>
  <c r="F367" i="15"/>
  <c r="F247" i="15"/>
  <c r="F244" i="15"/>
  <c r="F133" i="15"/>
  <c r="E16" i="15"/>
  <c r="E106" i="15"/>
  <c r="E473" i="15"/>
  <c r="F523" i="15"/>
  <c r="F564" i="15"/>
  <c r="F477" i="15"/>
  <c r="F330" i="15"/>
  <c r="E319" i="15"/>
  <c r="F189" i="15"/>
  <c r="F199" i="15"/>
  <c r="E87" i="15"/>
  <c r="E135" i="15"/>
  <c r="F320" i="15"/>
  <c r="E69" i="15"/>
  <c r="E33" i="15"/>
  <c r="F364" i="15"/>
  <c r="E83" i="15"/>
  <c r="E566" i="15"/>
  <c r="E532" i="15"/>
  <c r="F505" i="15"/>
  <c r="F502" i="15"/>
  <c r="G502" i="15" s="1"/>
  <c r="F441" i="15"/>
  <c r="E448" i="15"/>
  <c r="E383" i="15"/>
  <c r="E329" i="15"/>
  <c r="E377" i="15"/>
  <c r="F318" i="15"/>
  <c r="E259" i="15"/>
  <c r="F203" i="15"/>
  <c r="E264" i="15"/>
  <c r="F206" i="15"/>
  <c r="E140" i="15"/>
  <c r="F86" i="15"/>
  <c r="F32" i="15"/>
  <c r="F134" i="15"/>
  <c r="F64" i="15"/>
  <c r="F125" i="15"/>
  <c r="F107" i="15"/>
  <c r="G107" i="15" s="1"/>
  <c r="E314" i="15"/>
  <c r="E22" i="15"/>
  <c r="E591" i="15"/>
  <c r="E553" i="15"/>
  <c r="F520" i="15"/>
  <c r="E489" i="15"/>
  <c r="F480" i="15"/>
  <c r="F426" i="15"/>
  <c r="F427" i="15"/>
  <c r="F370" i="15"/>
  <c r="F313" i="15"/>
  <c r="F361" i="15"/>
  <c r="F302" i="15"/>
  <c r="F238" i="15"/>
  <c r="F182" i="15"/>
  <c r="F248" i="15"/>
  <c r="F187" i="15"/>
  <c r="F128" i="15"/>
  <c r="E72" i="15"/>
  <c r="E17" i="15"/>
  <c r="E118" i="15"/>
  <c r="F83" i="15"/>
  <c r="F102" i="15"/>
  <c r="F71" i="15"/>
  <c r="F552" i="15"/>
  <c r="G552" i="15" s="1"/>
  <c r="F483" i="15"/>
  <c r="E429" i="15"/>
  <c r="E374" i="15"/>
  <c r="E237" i="15"/>
  <c r="F126" i="15"/>
  <c r="F78" i="15"/>
  <c r="F425" i="15"/>
  <c r="F471" i="15"/>
  <c r="E408" i="15"/>
  <c r="F378" i="15"/>
  <c r="F267" i="15"/>
  <c r="E28" i="15"/>
  <c r="E57" i="15"/>
  <c r="E568" i="15"/>
  <c r="F434" i="15"/>
  <c r="E372" i="15"/>
  <c r="F256" i="15"/>
  <c r="G256" i="15" s="1"/>
  <c r="F137" i="15"/>
  <c r="F66" i="15"/>
  <c r="E120" i="15"/>
  <c r="F492" i="15"/>
  <c r="F325" i="15"/>
  <c r="E221" i="15"/>
  <c r="F140" i="15"/>
  <c r="J76" i="15"/>
  <c r="J369" i="15"/>
  <c r="K369" i="15" s="1"/>
  <c r="J320" i="15"/>
  <c r="J222" i="15"/>
  <c r="K222" i="15" s="1"/>
  <c r="J467" i="15"/>
  <c r="K467" i="15" s="1"/>
  <c r="J418" i="15"/>
  <c r="K418" i="15" s="1"/>
  <c r="J565" i="15"/>
  <c r="K565" i="15" s="1"/>
  <c r="J271" i="15"/>
  <c r="K271" i="15" s="1"/>
  <c r="J516" i="15"/>
  <c r="J125" i="15"/>
  <c r="K125" i="15" s="1"/>
  <c r="J27" i="15"/>
  <c r="J118" i="15"/>
  <c r="K118" i="15" s="1"/>
  <c r="J509" i="15"/>
  <c r="K509" i="15" s="1"/>
  <c r="J362" i="15"/>
  <c r="K362" i="15" s="1"/>
  <c r="J313" i="15"/>
  <c r="K313" i="15" s="1"/>
  <c r="J20" i="15"/>
  <c r="J460" i="15"/>
  <c r="K460" i="15" s="1"/>
  <c r="J411" i="15"/>
  <c r="K411" i="15" s="1"/>
  <c r="J69" i="15"/>
  <c r="K69" i="15" s="1"/>
  <c r="J558" i="15"/>
  <c r="K558" i="15" s="1"/>
  <c r="J215" i="15"/>
  <c r="J167" i="15"/>
  <c r="K167" i="15" s="1"/>
  <c r="J264" i="15"/>
  <c r="K264" i="15" s="1"/>
  <c r="J174" i="15"/>
  <c r="K174" i="15" s="1"/>
  <c r="J346" i="15"/>
  <c r="K346" i="15" s="1"/>
  <c r="J53" i="15"/>
  <c r="J151" i="15"/>
  <c r="J395" i="15"/>
  <c r="K395" i="15" s="1"/>
  <c r="J591" i="15"/>
  <c r="J493" i="15"/>
  <c r="K493" i="15" s="1"/>
  <c r="J542" i="15"/>
  <c r="K542" i="15" s="1"/>
  <c r="J248" i="15"/>
  <c r="K248" i="15" s="1"/>
  <c r="J444" i="15"/>
  <c r="K444" i="15" s="1"/>
  <c r="J297" i="15"/>
  <c r="K297" i="15" s="1"/>
  <c r="J102" i="15"/>
  <c r="E332" i="15"/>
  <c r="E39" i="15"/>
  <c r="E381" i="15"/>
  <c r="E88" i="15"/>
  <c r="E430" i="15"/>
  <c r="E137" i="15"/>
  <c r="E479" i="15"/>
  <c r="E186" i="15"/>
  <c r="E528" i="15"/>
  <c r="E234" i="15"/>
  <c r="E577" i="15"/>
  <c r="E283" i="15"/>
  <c r="J519" i="15"/>
  <c r="K519" i="15" s="1"/>
  <c r="J274" i="15"/>
  <c r="J470" i="15"/>
  <c r="K470" i="15" s="1"/>
  <c r="J323" i="15"/>
  <c r="K323" i="15" s="1"/>
  <c r="J128" i="15"/>
  <c r="K128" i="15" s="1"/>
  <c r="J177" i="15"/>
  <c r="J225" i="15"/>
  <c r="K225" i="15" s="1"/>
  <c r="J421" i="15"/>
  <c r="K421" i="15" s="1"/>
  <c r="J568" i="15"/>
  <c r="K568" i="15" s="1"/>
  <c r="J79" i="15"/>
  <c r="K79" i="15" s="1"/>
  <c r="J372" i="15"/>
  <c r="K372" i="15" s="1"/>
  <c r="J308" i="15"/>
  <c r="K308" i="15" s="1"/>
  <c r="J210" i="15"/>
  <c r="K210" i="15" s="1"/>
  <c r="J455" i="15"/>
  <c r="J113" i="15"/>
  <c r="K113" i="15" s="1"/>
  <c r="J64" i="15"/>
  <c r="K64" i="15" s="1"/>
  <c r="J357" i="15"/>
  <c r="K357" i="15" s="1"/>
  <c r="J216" i="15"/>
  <c r="K216" i="15" s="1"/>
  <c r="J119" i="15"/>
  <c r="K119" i="15" s="1"/>
  <c r="J559" i="15"/>
  <c r="K559" i="15" s="1"/>
  <c r="J168" i="15"/>
  <c r="K168" i="15" s="1"/>
  <c r="J412" i="15"/>
  <c r="J461" i="15"/>
  <c r="K461" i="15" s="1"/>
  <c r="J259" i="15"/>
  <c r="K259" i="15" s="1"/>
  <c r="J553" i="15"/>
  <c r="K553" i="15" s="1"/>
  <c r="J162" i="15"/>
  <c r="K162" i="15" s="1"/>
  <c r="J15" i="15"/>
  <c r="J406" i="15"/>
  <c r="J504" i="15"/>
  <c r="K504" i="15" s="1"/>
  <c r="J70" i="15"/>
  <c r="J510" i="15"/>
  <c r="K510" i="15" s="1"/>
  <c r="J363" i="15"/>
  <c r="J21" i="15"/>
  <c r="J314" i="15"/>
  <c r="J265" i="15"/>
  <c r="K265" i="15" s="1"/>
  <c r="J30" i="15"/>
  <c r="E263" i="15"/>
  <c r="E508" i="15"/>
  <c r="E214" i="15"/>
  <c r="E410" i="15"/>
  <c r="E117" i="15"/>
  <c r="E557" i="15"/>
  <c r="E19" i="15"/>
  <c r="E459" i="15"/>
  <c r="E166" i="15"/>
  <c r="E361" i="15"/>
  <c r="E68" i="15"/>
  <c r="E312" i="15"/>
  <c r="E324" i="15"/>
  <c r="E31" i="15"/>
  <c r="E178" i="15"/>
  <c r="E226" i="15"/>
  <c r="E471" i="15"/>
  <c r="E569" i="15"/>
  <c r="E80" i="15"/>
  <c r="E373" i="15"/>
  <c r="E129" i="15"/>
  <c r="E520" i="15"/>
  <c r="E275" i="15"/>
  <c r="E422" i="15"/>
  <c r="K314" i="15" l="1"/>
  <c r="K363" i="15"/>
  <c r="K70" i="15"/>
  <c r="K406" i="15"/>
  <c r="K412" i="15"/>
  <c r="K455" i="15"/>
  <c r="K177" i="15"/>
  <c r="K274" i="15"/>
  <c r="K102" i="15"/>
  <c r="K591" i="15"/>
  <c r="K151" i="15"/>
  <c r="K215" i="15"/>
  <c r="K516" i="15"/>
  <c r="K320" i="15"/>
  <c r="K76" i="15"/>
  <c r="AZ275" i="15"/>
  <c r="G275" i="15"/>
  <c r="K275" i="15"/>
  <c r="AZ80" i="15"/>
  <c r="G80" i="15"/>
  <c r="K80" i="15"/>
  <c r="AZ178" i="15"/>
  <c r="G178" i="15"/>
  <c r="K178" i="15"/>
  <c r="AZ422" i="15"/>
  <c r="G422" i="15"/>
  <c r="K422" i="15"/>
  <c r="AZ520" i="15"/>
  <c r="G520" i="15"/>
  <c r="K520" i="15"/>
  <c r="AZ373" i="15"/>
  <c r="G373" i="15"/>
  <c r="K373" i="15"/>
  <c r="AZ569" i="15"/>
  <c r="G569" i="15"/>
  <c r="K569" i="15"/>
  <c r="AZ226" i="15"/>
  <c r="G226" i="15"/>
  <c r="K226" i="15"/>
  <c r="AZ31" i="15"/>
  <c r="K31" i="15"/>
  <c r="G31" i="15"/>
  <c r="G312" i="15"/>
  <c r="AZ312" i="15"/>
  <c r="K312" i="15"/>
  <c r="G361" i="15"/>
  <c r="AZ361" i="15"/>
  <c r="K361" i="15"/>
  <c r="G459" i="15"/>
  <c r="AZ459" i="15"/>
  <c r="K459" i="15"/>
  <c r="G557" i="15"/>
  <c r="AZ557" i="15"/>
  <c r="K557" i="15"/>
  <c r="G410" i="15"/>
  <c r="AZ410" i="15"/>
  <c r="K410" i="15"/>
  <c r="G508" i="15"/>
  <c r="AZ508" i="15"/>
  <c r="K508" i="15"/>
  <c r="AZ283" i="15"/>
  <c r="G283" i="15"/>
  <c r="K283" i="15"/>
  <c r="AZ234" i="15"/>
  <c r="G234" i="15"/>
  <c r="K234" i="15"/>
  <c r="AZ186" i="15"/>
  <c r="G186" i="15"/>
  <c r="K186" i="15"/>
  <c r="AZ137" i="15"/>
  <c r="G137" i="15"/>
  <c r="K137" i="15"/>
  <c r="AZ88" i="15"/>
  <c r="G88" i="15"/>
  <c r="K88" i="15"/>
  <c r="AZ39" i="15"/>
  <c r="K39" i="15"/>
  <c r="G39" i="15"/>
  <c r="AZ221" i="15"/>
  <c r="G221" i="15"/>
  <c r="AZ57" i="15"/>
  <c r="G57" i="15"/>
  <c r="K57" i="15"/>
  <c r="G408" i="15"/>
  <c r="AZ408" i="15"/>
  <c r="K408" i="15"/>
  <c r="G374" i="15"/>
  <c r="AZ374" i="15"/>
  <c r="K374" i="15"/>
  <c r="K17" i="15"/>
  <c r="G17" i="15"/>
  <c r="AZ17" i="15"/>
  <c r="G489" i="15"/>
  <c r="AZ489" i="15"/>
  <c r="K489" i="15"/>
  <c r="G553" i="15"/>
  <c r="AZ553" i="15"/>
  <c r="AZ22" i="15"/>
  <c r="G22" i="15"/>
  <c r="K22" i="15"/>
  <c r="G140" i="15"/>
  <c r="AZ140" i="15"/>
  <c r="K140" i="15"/>
  <c r="AZ264" i="15"/>
  <c r="G264" i="15"/>
  <c r="G259" i="15"/>
  <c r="AZ259" i="15"/>
  <c r="AZ377" i="15"/>
  <c r="G377" i="15"/>
  <c r="AZ383" i="15"/>
  <c r="G383" i="15"/>
  <c r="AZ566" i="15"/>
  <c r="G566" i="15"/>
  <c r="K566" i="15"/>
  <c r="AZ69" i="15"/>
  <c r="G69" i="15"/>
  <c r="AZ135" i="15"/>
  <c r="G135" i="15"/>
  <c r="AZ319" i="15"/>
  <c r="G319" i="15"/>
  <c r="AZ106" i="15"/>
  <c r="G106" i="15"/>
  <c r="K106" i="15"/>
  <c r="G493" i="15"/>
  <c r="AZ493" i="15"/>
  <c r="G130" i="15"/>
  <c r="AZ130" i="15"/>
  <c r="K130" i="15"/>
  <c r="AZ457" i="15"/>
  <c r="G457" i="15"/>
  <c r="K457" i="15"/>
  <c r="AZ182" i="15"/>
  <c r="G182" i="15"/>
  <c r="G308" i="15"/>
  <c r="AZ308" i="15"/>
  <c r="AZ475" i="15"/>
  <c r="G475" i="15"/>
  <c r="G216" i="15"/>
  <c r="AZ216" i="15"/>
  <c r="G369" i="15"/>
  <c r="AZ369" i="15"/>
  <c r="AZ225" i="15"/>
  <c r="G225" i="15"/>
  <c r="AZ561" i="15"/>
  <c r="G561" i="15"/>
  <c r="K561" i="15"/>
  <c r="G425" i="15"/>
  <c r="AZ425" i="15"/>
  <c r="K425" i="15"/>
  <c r="AZ236" i="15"/>
  <c r="G236" i="15"/>
  <c r="K38" i="15"/>
  <c r="G38" i="15"/>
  <c r="AZ38" i="15"/>
  <c r="G64" i="15"/>
  <c r="AZ64" i="15"/>
  <c r="G297" i="15"/>
  <c r="AZ297" i="15"/>
  <c r="AZ466" i="15"/>
  <c r="G466" i="15"/>
  <c r="K53" i="15"/>
  <c r="G53" i="15"/>
  <c r="AZ53" i="15"/>
  <c r="G506" i="15"/>
  <c r="AZ506" i="15"/>
  <c r="K506" i="15"/>
  <c r="AZ32" i="15"/>
  <c r="K32" i="15"/>
  <c r="G32" i="15"/>
  <c r="AZ139" i="15"/>
  <c r="G139" i="15"/>
  <c r="G440" i="15"/>
  <c r="AZ440" i="15"/>
  <c r="K440" i="15"/>
  <c r="G504" i="15"/>
  <c r="AZ504" i="15"/>
  <c r="G564" i="15"/>
  <c r="AZ564" i="15"/>
  <c r="AZ315" i="15"/>
  <c r="G315" i="15"/>
  <c r="G79" i="15"/>
  <c r="AZ79" i="15"/>
  <c r="AZ279" i="15"/>
  <c r="G279" i="15"/>
  <c r="AZ517" i="15"/>
  <c r="G517" i="15"/>
  <c r="K517" i="15"/>
  <c r="G560" i="15"/>
  <c r="AZ560" i="15"/>
  <c r="AZ41" i="15"/>
  <c r="K41" i="15"/>
  <c r="G41" i="15"/>
  <c r="AZ167" i="15"/>
  <c r="G167" i="15"/>
  <c r="AZ336" i="15"/>
  <c r="G336" i="15"/>
  <c r="K336" i="15"/>
  <c r="AZ43" i="15"/>
  <c r="K43" i="15"/>
  <c r="G43" i="15"/>
  <c r="G162" i="15"/>
  <c r="AZ162" i="15"/>
  <c r="G395" i="15"/>
  <c r="AZ395" i="15"/>
  <c r="AZ519" i="15"/>
  <c r="G519" i="15"/>
  <c r="G511" i="15"/>
  <c r="AZ511" i="15"/>
  <c r="AZ470" i="15"/>
  <c r="G470" i="15"/>
  <c r="K36" i="15"/>
  <c r="G36" i="15"/>
  <c r="AZ36" i="15"/>
  <c r="AZ379" i="15"/>
  <c r="G379" i="15"/>
  <c r="G444" i="15"/>
  <c r="AZ444" i="15"/>
  <c r="AZ75" i="15"/>
  <c r="G75" i="15"/>
  <c r="AZ126" i="15"/>
  <c r="G126" i="15"/>
  <c r="K126" i="15"/>
  <c r="AZ196" i="15"/>
  <c r="G196" i="15"/>
  <c r="K196" i="15"/>
  <c r="AZ309" i="15"/>
  <c r="G309" i="15"/>
  <c r="K309" i="15"/>
  <c r="G581" i="15"/>
  <c r="AZ581" i="15"/>
  <c r="K581" i="15"/>
  <c r="G91" i="15"/>
  <c r="AZ91" i="15"/>
  <c r="K91" i="15"/>
  <c r="G210" i="15"/>
  <c r="AZ210" i="15"/>
  <c r="AZ323" i="15"/>
  <c r="G323" i="15"/>
  <c r="AZ334" i="15"/>
  <c r="G334" i="15"/>
  <c r="G181" i="15"/>
  <c r="AZ181" i="15"/>
  <c r="K181" i="15"/>
  <c r="AZ228" i="15"/>
  <c r="G228" i="15"/>
  <c r="K228" i="15"/>
  <c r="G555" i="15"/>
  <c r="AZ555" i="15"/>
  <c r="K555" i="15"/>
  <c r="AZ30" i="15"/>
  <c r="K30" i="15"/>
  <c r="G30" i="15"/>
  <c r="G380" i="15"/>
  <c r="AZ380" i="15"/>
  <c r="AZ364" i="15"/>
  <c r="G364" i="15"/>
  <c r="AZ44" i="15"/>
  <c r="K44" i="15"/>
  <c r="G44" i="15"/>
  <c r="AZ313" i="15"/>
  <c r="G313" i="15"/>
  <c r="AZ128" i="15"/>
  <c r="G128" i="15"/>
  <c r="AZ434" i="15"/>
  <c r="G434" i="15"/>
  <c r="K434" i="15"/>
  <c r="AZ497" i="15"/>
  <c r="G497" i="15"/>
  <c r="K497" i="15"/>
  <c r="G574" i="15"/>
  <c r="AZ574" i="15"/>
  <c r="K574" i="15"/>
  <c r="AZ8" i="15"/>
  <c r="K8" i="15"/>
  <c r="G8" i="15"/>
  <c r="G185" i="15"/>
  <c r="AZ185" i="15"/>
  <c r="G342" i="15"/>
  <c r="AZ342" i="15"/>
  <c r="K342" i="15"/>
  <c r="G229" i="15"/>
  <c r="AZ229" i="15"/>
  <c r="K229" i="15"/>
  <c r="AZ277" i="15"/>
  <c r="G277" i="15"/>
  <c r="K277" i="15"/>
  <c r="G467" i="15"/>
  <c r="AZ467" i="15"/>
  <c r="G115" i="15"/>
  <c r="AZ115" i="15"/>
  <c r="K115" i="15"/>
  <c r="AZ232" i="15"/>
  <c r="G232" i="15"/>
  <c r="AZ350" i="15"/>
  <c r="G350" i="15"/>
  <c r="K350" i="15"/>
  <c r="G414" i="15"/>
  <c r="AZ414" i="15"/>
  <c r="K414" i="15"/>
  <c r="G476" i="15"/>
  <c r="AZ476" i="15"/>
  <c r="K476" i="15"/>
  <c r="G523" i="15"/>
  <c r="AZ523" i="15"/>
  <c r="K523" i="15"/>
  <c r="G136" i="15"/>
  <c r="AZ136" i="15"/>
  <c r="G384" i="15"/>
  <c r="AZ384" i="15"/>
  <c r="K384" i="15"/>
  <c r="AZ579" i="15"/>
  <c r="G579" i="15"/>
  <c r="G179" i="15"/>
  <c r="AZ179" i="15"/>
  <c r="K179" i="15"/>
  <c r="AZ483" i="15"/>
  <c r="G483" i="15"/>
  <c r="K483" i="15"/>
  <c r="G125" i="15"/>
  <c r="AZ125" i="15"/>
  <c r="AZ462" i="15"/>
  <c r="G462" i="15"/>
  <c r="AZ419" i="15"/>
  <c r="G419" i="15"/>
  <c r="K419" i="15"/>
  <c r="AZ526" i="15"/>
  <c r="G526" i="15"/>
  <c r="G168" i="15"/>
  <c r="AZ168" i="15"/>
  <c r="AZ270" i="15"/>
  <c r="G270" i="15"/>
  <c r="G391" i="15"/>
  <c r="AZ391" i="15"/>
  <c r="K391" i="15"/>
  <c r="AZ413" i="15"/>
  <c r="G413" i="15"/>
  <c r="G527" i="15"/>
  <c r="AZ527" i="15"/>
  <c r="AZ510" i="15"/>
  <c r="G510" i="15"/>
  <c r="G310" i="15"/>
  <c r="AZ310" i="15"/>
  <c r="K310" i="15"/>
  <c r="AZ180" i="15"/>
  <c r="G180" i="15"/>
  <c r="K180" i="15"/>
  <c r="AZ163" i="15"/>
  <c r="G163" i="15"/>
  <c r="K163" i="15"/>
  <c r="AZ230" i="15"/>
  <c r="G230" i="15"/>
  <c r="G542" i="15"/>
  <c r="AZ542" i="15"/>
  <c r="AZ456" i="15"/>
  <c r="G456" i="15"/>
  <c r="K456" i="15"/>
  <c r="AZ509" i="15"/>
  <c r="G509" i="15"/>
  <c r="G174" i="15"/>
  <c r="AZ174" i="15"/>
  <c r="G278" i="15"/>
  <c r="AZ278" i="15"/>
  <c r="K278" i="15"/>
  <c r="AZ565" i="15"/>
  <c r="G565" i="15"/>
  <c r="G227" i="15"/>
  <c r="AZ227" i="15"/>
  <c r="K227" i="15"/>
  <c r="G357" i="15"/>
  <c r="AZ357" i="15"/>
  <c r="G538" i="15"/>
  <c r="AZ538" i="15"/>
  <c r="K538" i="15"/>
  <c r="AZ424" i="15"/>
  <c r="G424" i="15"/>
  <c r="K424" i="15"/>
  <c r="AZ84" i="15"/>
  <c r="G84" i="15"/>
  <c r="K20" i="15"/>
  <c r="G20" i="15"/>
  <c r="AZ20" i="15"/>
  <c r="AZ252" i="15"/>
  <c r="G252" i="15"/>
  <c r="K252" i="15"/>
  <c r="G244" i="15"/>
  <c r="AZ244" i="15"/>
  <c r="K244" i="15"/>
  <c r="AZ362" i="15"/>
  <c r="G362" i="15"/>
  <c r="G427" i="15"/>
  <c r="AZ427" i="15"/>
  <c r="K427" i="15"/>
  <c r="AZ217" i="15"/>
  <c r="G217" i="15"/>
  <c r="AZ92" i="15"/>
  <c r="G92" i="15"/>
  <c r="K92" i="15"/>
  <c r="AZ23" i="15"/>
  <c r="K23" i="15"/>
  <c r="G23" i="15"/>
  <c r="AZ285" i="15"/>
  <c r="G285" i="15"/>
  <c r="G98" i="15"/>
  <c r="AZ98" i="15"/>
  <c r="K98" i="15"/>
  <c r="G212" i="15"/>
  <c r="AZ212" i="15"/>
  <c r="K212" i="15"/>
  <c r="G346" i="15"/>
  <c r="AZ346" i="15"/>
  <c r="G376" i="15"/>
  <c r="AZ376" i="15"/>
  <c r="K376" i="15"/>
  <c r="G218" i="15"/>
  <c r="AZ218" i="15"/>
  <c r="K218" i="15"/>
  <c r="G335" i="15"/>
  <c r="AZ335" i="15"/>
  <c r="K335" i="15"/>
  <c r="AZ203" i="15"/>
  <c r="G203" i="15"/>
  <c r="K203" i="15"/>
  <c r="AZ321" i="15"/>
  <c r="G321" i="15"/>
  <c r="K321" i="15"/>
  <c r="AZ530" i="15"/>
  <c r="G530" i="15"/>
  <c r="AZ559" i="15"/>
  <c r="G559" i="15"/>
  <c r="G276" i="15"/>
  <c r="AZ276" i="15"/>
  <c r="K276" i="15"/>
  <c r="G293" i="15"/>
  <c r="AZ293" i="15"/>
  <c r="K293" i="15"/>
  <c r="AZ407" i="15"/>
  <c r="G407" i="15"/>
  <c r="K407" i="15"/>
  <c r="AZ460" i="15"/>
  <c r="G460" i="15"/>
  <c r="G570" i="15"/>
  <c r="AZ570" i="15"/>
  <c r="K570" i="15"/>
  <c r="AZ114" i="15"/>
  <c r="G114" i="15"/>
  <c r="K114" i="15"/>
  <c r="G66" i="15"/>
  <c r="AZ66" i="15"/>
  <c r="K66" i="15"/>
  <c r="AZ421" i="15"/>
  <c r="G421" i="15"/>
  <c r="AZ587" i="15"/>
  <c r="G587" i="15"/>
  <c r="K587" i="15"/>
  <c r="AZ82" i="15"/>
  <c r="G82" i="15"/>
  <c r="K82" i="15"/>
  <c r="AZ34" i="15"/>
  <c r="K34" i="15"/>
  <c r="G34" i="15"/>
  <c r="K270" i="15"/>
  <c r="K221" i="15"/>
  <c r="K564" i="15"/>
  <c r="K319" i="15"/>
  <c r="Z106" i="15"/>
  <c r="AD106" i="15"/>
  <c r="Z497" i="15"/>
  <c r="AD497" i="15"/>
  <c r="Z574" i="15"/>
  <c r="AD574" i="15"/>
  <c r="Z130" i="15"/>
  <c r="AD130" i="15"/>
  <c r="Z252" i="15"/>
  <c r="AD252" i="15"/>
  <c r="Z32" i="15"/>
  <c r="AD32" i="15"/>
  <c r="Z423" i="15"/>
  <c r="AD423" i="15"/>
  <c r="Z183" i="15"/>
  <c r="AD183" i="15"/>
  <c r="Z231" i="15"/>
  <c r="AD231" i="15"/>
  <c r="Z36" i="15"/>
  <c r="AD36" i="15"/>
  <c r="Z472" i="15"/>
  <c r="AD472" i="15"/>
  <c r="Z227" i="15"/>
  <c r="AD227" i="15"/>
  <c r="Z276" i="15"/>
  <c r="AD276" i="15"/>
  <c r="Z270" i="15"/>
  <c r="AD270" i="15"/>
  <c r="Z427" i="15"/>
  <c r="AD427" i="15"/>
  <c r="Z399" i="15"/>
  <c r="AD399" i="15"/>
  <c r="Z564" i="15"/>
  <c r="AD564" i="15"/>
  <c r="Z525" i="15"/>
  <c r="AD525" i="15"/>
  <c r="Z329" i="15"/>
  <c r="AD329" i="15"/>
  <c r="Z221" i="15"/>
  <c r="AD221" i="15"/>
  <c r="Z368" i="15"/>
  <c r="AD368" i="15"/>
  <c r="Z374" i="15"/>
  <c r="AD374" i="15"/>
  <c r="Z85" i="15"/>
  <c r="AD85" i="15"/>
  <c r="Z515" i="15"/>
  <c r="AD515" i="15"/>
  <c r="AD92" i="15"/>
  <c r="AD238" i="15"/>
  <c r="AD385" i="15"/>
  <c r="AD336" i="15"/>
  <c r="AD287" i="15"/>
  <c r="AD581" i="15"/>
  <c r="AZ388" i="15"/>
  <c r="Z388" i="15"/>
  <c r="AZ339" i="15"/>
  <c r="Z339" i="15"/>
  <c r="AZ437" i="15"/>
  <c r="Z437" i="15"/>
  <c r="L30" i="8"/>
  <c r="L42" i="8" s="1"/>
  <c r="M24" i="8"/>
  <c r="M23" i="8"/>
  <c r="M164" i="8" s="1"/>
  <c r="M165" i="8" s="1"/>
  <c r="N194" i="8" s="1"/>
  <c r="AZ289" i="15"/>
  <c r="Z289" i="15"/>
  <c r="AZ387" i="15"/>
  <c r="Z387" i="15"/>
  <c r="Z96" i="15"/>
  <c r="AZ96" i="15"/>
  <c r="AZ436" i="15"/>
  <c r="Z436" i="15"/>
  <c r="Z536" i="15"/>
  <c r="AZ536" i="15"/>
  <c r="AZ240" i="15"/>
  <c r="Z240" i="15"/>
  <c r="AZ241" i="15"/>
  <c r="Z241" i="15"/>
  <c r="Z291" i="15"/>
  <c r="AZ291" i="15"/>
  <c r="AZ194" i="15"/>
  <c r="Z194" i="15"/>
  <c r="Z145" i="15"/>
  <c r="AZ145" i="15"/>
  <c r="AZ486" i="15"/>
  <c r="Z486" i="15"/>
  <c r="Z242" i="15"/>
  <c r="AZ242" i="15"/>
  <c r="M42" i="8"/>
  <c r="Z168" i="15"/>
  <c r="AD168" i="15"/>
  <c r="Z435" i="15"/>
  <c r="AZ435" i="15"/>
  <c r="AD435" i="15"/>
  <c r="Z216" i="15"/>
  <c r="AD216" i="15"/>
  <c r="Z15" i="15"/>
  <c r="AD15" i="15"/>
  <c r="Z23" i="15"/>
  <c r="Z522" i="15"/>
  <c r="Z21" i="15"/>
  <c r="AD21" i="15"/>
  <c r="Z561" i="15"/>
  <c r="Z510" i="15"/>
  <c r="AD510" i="15"/>
  <c r="Z512" i="15"/>
  <c r="Z482" i="15"/>
  <c r="Z70" i="15"/>
  <c r="AD70" i="15"/>
  <c r="Z316" i="15"/>
  <c r="Z44" i="15"/>
  <c r="AD44" i="15"/>
  <c r="Z337" i="15"/>
  <c r="AZ337" i="15"/>
  <c r="AD337" i="15"/>
  <c r="Z384" i="15"/>
  <c r="Z461" i="15"/>
  <c r="AD461" i="15"/>
  <c r="Z406" i="15"/>
  <c r="AD406" i="15"/>
  <c r="Z239" i="15"/>
  <c r="AZ239" i="15"/>
  <c r="AD239" i="15"/>
  <c r="Z191" i="15"/>
  <c r="AZ191" i="15"/>
  <c r="AD191" i="15"/>
  <c r="Z533" i="15"/>
  <c r="AZ533" i="15"/>
  <c r="AD533" i="15"/>
  <c r="K24" i="8"/>
  <c r="K30" i="8"/>
  <c r="K42" i="8" s="1"/>
  <c r="K23" i="8"/>
  <c r="K164" i="8" s="1"/>
  <c r="K165" i="8" s="1"/>
  <c r="L194" i="8" s="1"/>
  <c r="Z424" i="15"/>
  <c r="Z265" i="15"/>
  <c r="AD265" i="15"/>
  <c r="Z259" i="15"/>
  <c r="AD259" i="15"/>
  <c r="Z91" i="15"/>
  <c r="Z504" i="15"/>
  <c r="AD504" i="15"/>
  <c r="Z210" i="15"/>
  <c r="AD210" i="15"/>
  <c r="Z131" i="15"/>
  <c r="Z314" i="15"/>
  <c r="AD314" i="15"/>
  <c r="Z571" i="15"/>
  <c r="AZ129" i="15"/>
  <c r="G129" i="15"/>
  <c r="K129" i="15"/>
  <c r="AZ471" i="15"/>
  <c r="G471" i="15"/>
  <c r="K471" i="15"/>
  <c r="AZ324" i="15"/>
  <c r="G324" i="15"/>
  <c r="K324" i="15"/>
  <c r="G68" i="15"/>
  <c r="AZ68" i="15"/>
  <c r="K68" i="15"/>
  <c r="G166" i="15"/>
  <c r="AZ166" i="15"/>
  <c r="K166" i="15"/>
  <c r="K19" i="15"/>
  <c r="G19" i="15"/>
  <c r="AZ19" i="15"/>
  <c r="G117" i="15"/>
  <c r="AZ117" i="15"/>
  <c r="K117" i="15"/>
  <c r="G214" i="15"/>
  <c r="AZ214" i="15"/>
  <c r="K214" i="15"/>
  <c r="G263" i="15"/>
  <c r="AZ263" i="15"/>
  <c r="K263" i="15"/>
  <c r="G577" i="15"/>
  <c r="AZ577" i="15"/>
  <c r="K577" i="15"/>
  <c r="AZ528" i="15"/>
  <c r="G528" i="15"/>
  <c r="K528" i="15"/>
  <c r="AZ479" i="15"/>
  <c r="G479" i="15"/>
  <c r="K479" i="15"/>
  <c r="AZ430" i="15"/>
  <c r="G430" i="15"/>
  <c r="K430" i="15"/>
  <c r="AZ381" i="15"/>
  <c r="G381" i="15"/>
  <c r="K381" i="15"/>
  <c r="AZ332" i="15"/>
  <c r="G332" i="15"/>
  <c r="K332" i="15"/>
  <c r="AZ120" i="15"/>
  <c r="G120" i="15"/>
  <c r="AZ372" i="15"/>
  <c r="G372" i="15"/>
  <c r="AZ568" i="15"/>
  <c r="G568" i="15"/>
  <c r="K28" i="15"/>
  <c r="G28" i="15"/>
  <c r="AZ28" i="15"/>
  <c r="G237" i="15"/>
  <c r="AZ237" i="15"/>
  <c r="K237" i="15"/>
  <c r="G429" i="15"/>
  <c r="AZ429" i="15"/>
  <c r="AZ118" i="15"/>
  <c r="G118" i="15"/>
  <c r="G72" i="15"/>
  <c r="AZ72" i="15"/>
  <c r="K72" i="15"/>
  <c r="AZ591" i="15"/>
  <c r="G591" i="15"/>
  <c r="G314" i="15"/>
  <c r="AZ314" i="15"/>
  <c r="G329" i="15"/>
  <c r="AZ329" i="15"/>
  <c r="K329" i="15"/>
  <c r="AZ448" i="15"/>
  <c r="G448" i="15"/>
  <c r="K448" i="15"/>
  <c r="AZ532" i="15"/>
  <c r="G532" i="15"/>
  <c r="K532" i="15"/>
  <c r="G83" i="15"/>
  <c r="AZ83" i="15"/>
  <c r="K83" i="15"/>
  <c r="K33" i="15"/>
  <c r="G33" i="15"/>
  <c r="AZ33" i="15"/>
  <c r="G87" i="15"/>
  <c r="AZ87" i="15"/>
  <c r="AZ473" i="15"/>
  <c r="G473" i="15"/>
  <c r="K473" i="15"/>
  <c r="K16" i="15"/>
  <c r="G16" i="15"/>
  <c r="AZ16" i="15"/>
  <c r="G423" i="15"/>
  <c r="AZ423" i="15"/>
  <c r="K423" i="15"/>
  <c r="G516" i="15"/>
  <c r="AZ516" i="15"/>
  <c r="G113" i="15"/>
  <c r="AZ113" i="15"/>
  <c r="G478" i="15"/>
  <c r="AZ478" i="15"/>
  <c r="G572" i="15"/>
  <c r="AZ572" i="15"/>
  <c r="K572" i="15"/>
  <c r="G121" i="15"/>
  <c r="AZ121" i="15"/>
  <c r="K121" i="15"/>
  <c r="G233" i="15"/>
  <c r="AZ233" i="15"/>
  <c r="AZ522" i="15"/>
  <c r="G522" i="15"/>
  <c r="K522" i="15"/>
  <c r="G164" i="15"/>
  <c r="AZ164" i="15"/>
  <c r="K164" i="15"/>
  <c r="AZ524" i="15"/>
  <c r="G524" i="15"/>
  <c r="G70" i="15"/>
  <c r="AZ70" i="15"/>
  <c r="K15" i="15"/>
  <c r="G15" i="15"/>
  <c r="AZ15" i="15"/>
  <c r="AZ238" i="15"/>
  <c r="G238" i="15"/>
  <c r="K238" i="15"/>
  <c r="AZ358" i="15"/>
  <c r="G358" i="15"/>
  <c r="K358" i="15"/>
  <c r="AZ177" i="15"/>
  <c r="G177" i="15"/>
  <c r="G286" i="15"/>
  <c r="AZ286" i="15"/>
  <c r="K286" i="15"/>
  <c r="AZ411" i="15"/>
  <c r="G411" i="15"/>
  <c r="G265" i="15"/>
  <c r="AZ265" i="15"/>
  <c r="AZ175" i="15"/>
  <c r="G175" i="15"/>
  <c r="K175" i="15"/>
  <c r="G280" i="15"/>
  <c r="AZ280" i="15"/>
  <c r="K280" i="15"/>
  <c r="AZ417" i="15"/>
  <c r="G417" i="15"/>
  <c r="AZ477" i="15"/>
  <c r="G477" i="15"/>
  <c r="K49" i="15"/>
  <c r="G49" i="15"/>
  <c r="AZ49" i="15"/>
  <c r="AZ281" i="15"/>
  <c r="G281" i="15"/>
  <c r="AZ399" i="15"/>
  <c r="G399" i="15"/>
  <c r="K399" i="15"/>
  <c r="AZ133" i="15"/>
  <c r="G133" i="15"/>
  <c r="G85" i="15"/>
  <c r="AZ85" i="15"/>
  <c r="K85" i="15"/>
  <c r="AZ531" i="15"/>
  <c r="G531" i="15"/>
  <c r="K531" i="15"/>
  <c r="G271" i="15"/>
  <c r="AZ271" i="15"/>
  <c r="AZ330" i="15"/>
  <c r="G330" i="15"/>
  <c r="G463" i="15"/>
  <c r="AZ463" i="15"/>
  <c r="K463" i="15"/>
  <c r="AZ554" i="15"/>
  <c r="G554" i="15"/>
  <c r="K554" i="15"/>
  <c r="AZ86" i="15"/>
  <c r="G86" i="15"/>
  <c r="AZ274" i="15"/>
  <c r="G274" i="15"/>
  <c r="AZ575" i="15"/>
  <c r="G575" i="15"/>
  <c r="K37" i="15"/>
  <c r="G37" i="15"/>
  <c r="AZ37" i="15"/>
  <c r="G482" i="15"/>
  <c r="AZ482" i="15"/>
  <c r="K482" i="15"/>
  <c r="G147" i="15"/>
  <c r="AZ147" i="15"/>
  <c r="K147" i="15"/>
  <c r="G261" i="15"/>
  <c r="AZ261" i="15"/>
  <c r="K261" i="15"/>
  <c r="G134" i="15"/>
  <c r="AZ134" i="15"/>
  <c r="K134" i="15"/>
  <c r="G248" i="15"/>
  <c r="AZ248" i="15"/>
  <c r="AZ368" i="15"/>
  <c r="G368" i="15"/>
  <c r="AZ266" i="15"/>
  <c r="G266" i="15"/>
  <c r="AZ272" i="15"/>
  <c r="G272" i="15"/>
  <c r="K272" i="15"/>
  <c r="AZ512" i="15"/>
  <c r="G512" i="15"/>
  <c r="K512" i="15"/>
  <c r="AZ573" i="15"/>
  <c r="G573" i="15"/>
  <c r="G102" i="15"/>
  <c r="AZ102" i="15"/>
  <c r="AZ571" i="15"/>
  <c r="G571" i="15"/>
  <c r="K571" i="15"/>
  <c r="AZ65" i="15"/>
  <c r="G65" i="15"/>
  <c r="K65" i="15"/>
  <c r="G151" i="15"/>
  <c r="AZ151" i="15"/>
  <c r="G267" i="15"/>
  <c r="AZ267" i="15"/>
  <c r="K267" i="15"/>
  <c r="G190" i="15"/>
  <c r="AZ190" i="15"/>
  <c r="K190" i="15"/>
  <c r="G331" i="15"/>
  <c r="AZ331" i="15"/>
  <c r="G320" i="15"/>
  <c r="AZ320" i="15"/>
  <c r="G81" i="15"/>
  <c r="AZ81" i="15"/>
  <c r="K81" i="15"/>
  <c r="G433" i="15"/>
  <c r="AZ433" i="15"/>
  <c r="K433" i="15"/>
  <c r="K21" i="15"/>
  <c r="G21" i="15"/>
  <c r="AZ21" i="15"/>
  <c r="AZ301" i="15"/>
  <c r="G301" i="15"/>
  <c r="K301" i="15"/>
  <c r="K42" i="15"/>
  <c r="G42" i="15"/>
  <c r="AZ42" i="15"/>
  <c r="AZ385" i="15"/>
  <c r="G385" i="15"/>
  <c r="K385" i="15"/>
  <c r="G455" i="15"/>
  <c r="AZ455" i="15"/>
  <c r="AZ515" i="15"/>
  <c r="G515" i="15"/>
  <c r="AZ173" i="15"/>
  <c r="G173" i="15"/>
  <c r="G170" i="15"/>
  <c r="AZ170" i="15"/>
  <c r="K170" i="15"/>
  <c r="AZ35" i="15"/>
  <c r="G35" i="15"/>
  <c r="K35" i="15"/>
  <c r="AZ260" i="15"/>
  <c r="G260" i="15"/>
  <c r="K260" i="15"/>
  <c r="AZ124" i="15"/>
  <c r="G124" i="15"/>
  <c r="AZ426" i="15"/>
  <c r="G426" i="15"/>
  <c r="G525" i="15"/>
  <c r="AZ525" i="15"/>
  <c r="K525" i="15"/>
  <c r="G363" i="15"/>
  <c r="AZ363" i="15"/>
  <c r="AZ184" i="15"/>
  <c r="G184" i="15"/>
  <c r="AZ580" i="15"/>
  <c r="G580" i="15"/>
  <c r="K580" i="15"/>
  <c r="AZ90" i="15"/>
  <c r="G90" i="15"/>
  <c r="AZ211" i="15"/>
  <c r="G211" i="15"/>
  <c r="K211" i="15"/>
  <c r="AZ546" i="15"/>
  <c r="G546" i="15"/>
  <c r="K546" i="15"/>
  <c r="G132" i="15"/>
  <c r="AZ132" i="15"/>
  <c r="K132" i="15"/>
  <c r="AZ71" i="15"/>
  <c r="G71" i="15"/>
  <c r="K26" i="15"/>
  <c r="G26" i="15"/>
  <c r="AZ26" i="15"/>
  <c r="AZ370" i="15"/>
  <c r="G370" i="15"/>
  <c r="K370" i="15"/>
  <c r="G378" i="15"/>
  <c r="AZ378" i="15"/>
  <c r="K378" i="15"/>
  <c r="AZ432" i="15"/>
  <c r="G432" i="15"/>
  <c r="AZ77" i="15"/>
  <c r="G77" i="15"/>
  <c r="K77" i="15"/>
  <c r="AZ189" i="15"/>
  <c r="G189" i="15"/>
  <c r="K189" i="15"/>
  <c r="G418" i="15"/>
  <c r="AZ418" i="15"/>
  <c r="G472" i="15"/>
  <c r="AZ472" i="15"/>
  <c r="K472" i="15"/>
  <c r="G474" i="15"/>
  <c r="AZ474" i="15"/>
  <c r="K474" i="15"/>
  <c r="G231" i="15"/>
  <c r="AZ231" i="15"/>
  <c r="K231" i="15"/>
  <c r="G359" i="15"/>
  <c r="AZ359" i="15"/>
  <c r="K359" i="15"/>
  <c r="G461" i="15"/>
  <c r="AZ461" i="15"/>
  <c r="AZ223" i="15"/>
  <c r="G223" i="15"/>
  <c r="K223" i="15"/>
  <c r="AZ287" i="15"/>
  <c r="G287" i="15"/>
  <c r="K287" i="15"/>
  <c r="G282" i="15"/>
  <c r="AZ282" i="15"/>
  <c r="AZ468" i="15"/>
  <c r="G468" i="15"/>
  <c r="K468" i="15"/>
  <c r="G576" i="15"/>
  <c r="AZ576" i="15"/>
  <c r="G119" i="15"/>
  <c r="AZ119" i="15"/>
  <c r="AZ188" i="15"/>
  <c r="G188" i="15"/>
  <c r="G183" i="15"/>
  <c r="AZ183" i="15"/>
  <c r="K183" i="15"/>
  <c r="G316" i="15"/>
  <c r="AZ316" i="15"/>
  <c r="K316" i="15"/>
  <c r="AZ428" i="15"/>
  <c r="G428" i="15"/>
  <c r="G521" i="15"/>
  <c r="AZ521" i="15"/>
  <c r="K521" i="15"/>
  <c r="G412" i="15"/>
  <c r="AZ412" i="15"/>
  <c r="K27" i="15"/>
  <c r="G27" i="15"/>
  <c r="AZ27" i="15"/>
  <c r="AZ131" i="15"/>
  <c r="G131" i="15"/>
  <c r="K131" i="15"/>
  <c r="AZ141" i="15"/>
  <c r="G141" i="15"/>
  <c r="K141" i="15"/>
  <c r="AZ215" i="15"/>
  <c r="G215" i="15"/>
  <c r="AZ328" i="15"/>
  <c r="G328" i="15"/>
  <c r="AZ375" i="15"/>
  <c r="G375" i="15"/>
  <c r="K375" i="15"/>
  <c r="AZ155" i="15"/>
  <c r="G155" i="15"/>
  <c r="K155" i="15"/>
  <c r="G76" i="15"/>
  <c r="AZ76" i="15"/>
  <c r="G325" i="15"/>
  <c r="AZ325" i="15"/>
  <c r="K325" i="15"/>
  <c r="AZ505" i="15"/>
  <c r="G505" i="15"/>
  <c r="K505" i="15"/>
  <c r="G222" i="15"/>
  <c r="AZ222" i="15"/>
  <c r="G406" i="15"/>
  <c r="AZ406" i="15"/>
  <c r="AZ558" i="15"/>
  <c r="G558" i="15"/>
  <c r="G327" i="15"/>
  <c r="AZ327" i="15"/>
  <c r="K327" i="15"/>
  <c r="AZ326" i="15"/>
  <c r="G326" i="15"/>
  <c r="K326" i="15"/>
  <c r="G365" i="15"/>
  <c r="AZ365" i="15"/>
  <c r="K365" i="15"/>
  <c r="AZ481" i="15"/>
  <c r="G481" i="15"/>
  <c r="AZ169" i="15"/>
  <c r="G169" i="15"/>
  <c r="K417" i="15"/>
  <c r="K173" i="15"/>
  <c r="K515" i="15"/>
  <c r="K75" i="15"/>
  <c r="K368" i="15"/>
  <c r="K466" i="15"/>
  <c r="Z26" i="15"/>
  <c r="AD26" i="15"/>
  <c r="Z134" i="15"/>
  <c r="AD134" i="15"/>
  <c r="Z546" i="15"/>
  <c r="AD546" i="15"/>
  <c r="Z81" i="15"/>
  <c r="AD81" i="15"/>
  <c r="Z173" i="15"/>
  <c r="AD173" i="15"/>
  <c r="Z570" i="15"/>
  <c r="AD570" i="15"/>
  <c r="Z417" i="15"/>
  <c r="AD417" i="15"/>
  <c r="Z155" i="15"/>
  <c r="AD155" i="15"/>
  <c r="Z466" i="15"/>
  <c r="AD466" i="15"/>
  <c r="Z301" i="15"/>
  <c r="AD301" i="15"/>
  <c r="Z8" i="15"/>
  <c r="AD8" i="15"/>
  <c r="Z476" i="15"/>
  <c r="AD476" i="15"/>
  <c r="Z179" i="15"/>
  <c r="AD179" i="15"/>
  <c r="Z124" i="15"/>
  <c r="AD124" i="15"/>
  <c r="Z280" i="15"/>
  <c r="AD280" i="15"/>
  <c r="Z75" i="15"/>
  <c r="AD75" i="15"/>
  <c r="Z448" i="15"/>
  <c r="AD448" i="15"/>
  <c r="Z57" i="15"/>
  <c r="AD57" i="15"/>
  <c r="Z319" i="15"/>
  <c r="AD319" i="15"/>
  <c r="Z378" i="15"/>
  <c r="AD378" i="15"/>
  <c r="Z521" i="15"/>
  <c r="AD521" i="15"/>
  <c r="Z325" i="15"/>
  <c r="AD325" i="15"/>
  <c r="Z203" i="15"/>
  <c r="AD203" i="15"/>
  <c r="Z350" i="15"/>
  <c r="AD350" i="15"/>
  <c r="AD434" i="15"/>
  <c r="AD532" i="15"/>
  <c r="AD190" i="15"/>
  <c r="AD43" i="15"/>
  <c r="AD141" i="15"/>
  <c r="AD483" i="15"/>
  <c r="Z340" i="15"/>
  <c r="AZ340" i="15"/>
  <c r="AZ583" i="15"/>
  <c r="Z583" i="15"/>
  <c r="Z487" i="15"/>
  <c r="AZ487" i="15"/>
  <c r="AZ485" i="15"/>
  <c r="Z485" i="15"/>
  <c r="AZ535" i="15"/>
  <c r="Z535" i="15"/>
  <c r="AZ95" i="15"/>
  <c r="Z95" i="15"/>
  <c r="AZ193" i="15"/>
  <c r="Z193" i="15"/>
  <c r="AZ46" i="15"/>
  <c r="Z46" i="15"/>
  <c r="Z389" i="15"/>
  <c r="AZ389" i="15"/>
  <c r="AZ534" i="15"/>
  <c r="Z534" i="15"/>
  <c r="AZ94" i="15"/>
  <c r="Z94" i="15"/>
  <c r="Z438" i="15"/>
  <c r="AZ438" i="15"/>
  <c r="AZ192" i="15"/>
  <c r="Z192" i="15"/>
  <c r="Z47" i="15"/>
  <c r="AZ47" i="15"/>
  <c r="AZ45" i="15"/>
  <c r="Z45" i="15"/>
  <c r="AZ144" i="15"/>
  <c r="Z144" i="15"/>
  <c r="AZ338" i="15"/>
  <c r="Z338" i="15"/>
  <c r="AZ584" i="15"/>
  <c r="Z584" i="15"/>
  <c r="N23" i="8"/>
  <c r="N164" i="8" s="1"/>
  <c r="N165" i="8" s="1"/>
  <c r="G118" i="8"/>
  <c r="AZ585" i="15"/>
  <c r="Z585" i="15"/>
  <c r="AZ143" i="15"/>
  <c r="Z143" i="15"/>
  <c r="AZ290" i="15"/>
  <c r="Z290" i="15"/>
  <c r="Z455" i="15"/>
  <c r="AD455" i="15"/>
  <c r="Z93" i="15"/>
  <c r="AZ93" i="15"/>
  <c r="AD93" i="15"/>
  <c r="Z162" i="15"/>
  <c r="AD162" i="15"/>
  <c r="Z484" i="15"/>
  <c r="AZ484" i="15"/>
  <c r="AD484" i="15"/>
  <c r="Z288" i="15"/>
  <c r="AZ288" i="15"/>
  <c r="AD288" i="15"/>
  <c r="Z412" i="15"/>
  <c r="AD412" i="15"/>
  <c r="Z386" i="15"/>
  <c r="AZ386" i="15"/>
  <c r="AD386" i="15"/>
  <c r="Z531" i="15"/>
  <c r="Z308" i="15"/>
  <c r="AD308" i="15"/>
  <c r="Z582" i="15"/>
  <c r="AZ582" i="15"/>
  <c r="AD582" i="15"/>
  <c r="Z142" i="15"/>
  <c r="AZ142" i="15"/>
  <c r="AD142" i="15"/>
  <c r="Z375" i="15"/>
  <c r="Z121" i="15"/>
  <c r="Z64" i="15"/>
  <c r="AD64" i="15"/>
  <c r="Z72" i="15"/>
  <c r="Z119" i="15"/>
  <c r="AD119" i="15"/>
  <c r="Z463" i="15"/>
  <c r="Z113" i="15"/>
  <c r="AD113" i="15"/>
  <c r="Z414" i="15"/>
  <c r="Z335" i="15"/>
  <c r="Z553" i="15"/>
  <c r="AD553" i="15"/>
  <c r="Z357" i="15"/>
  <c r="AD357" i="15"/>
  <c r="Z140" i="15"/>
  <c r="Z473" i="15"/>
  <c r="Z42" i="15"/>
  <c r="Z559" i="15"/>
  <c r="AD559" i="15"/>
  <c r="Z363" i="15"/>
  <c r="AD363" i="15"/>
  <c r="L23" i="8"/>
  <c r="F118" i="8"/>
  <c r="L164" i="8" l="1"/>
  <c r="L165" i="8" s="1"/>
  <c r="M194" i="8" s="1"/>
  <c r="F130" i="8"/>
  <c r="E193" i="8" s="1"/>
  <c r="E194" i="8" s="1"/>
</calcChain>
</file>

<file path=xl/comments1.xml><?xml version="1.0" encoding="utf-8"?>
<comments xmlns="http://schemas.openxmlformats.org/spreadsheetml/2006/main">
  <authors>
    <author/>
  </authors>
  <commentList>
    <comment ref="B5" authorId="0">
      <text>
        <r>
          <rPr>
            <sz val="11"/>
            <color theme="1"/>
            <rFont val="Arial"/>
          </rPr>
          <t xml:space="preserve">Vient d'un autre fichier </t>
        </r>
      </text>
    </comment>
  </commentList>
</comments>
</file>

<file path=xl/comments2.xml><?xml version="1.0" encoding="utf-8"?>
<comments xmlns="http://schemas.openxmlformats.org/spreadsheetml/2006/main">
  <authors>
    <author/>
  </authors>
  <commentList>
    <comment ref="B5" authorId="0">
      <text>
        <r>
          <rPr>
            <sz val="11"/>
            <color theme="1"/>
            <rFont val="Arial"/>
          </rPr>
          <t>Vient d'un autre fichier</t>
        </r>
      </text>
    </comment>
  </commentList>
</comments>
</file>

<file path=xl/comments3.xml><?xml version="1.0" encoding="utf-8"?>
<comments xmlns="http://schemas.openxmlformats.org/spreadsheetml/2006/main">
  <authors>
    <author/>
  </authors>
  <commentList>
    <comment ref="J7" authorId="0">
      <text>
        <r>
          <rPr>
            <sz val="11"/>
            <color theme="1"/>
            <rFont val="Arial"/>
          </rPr>
          <t>Changer les valeurs seuils</t>
        </r>
      </text>
    </comment>
    <comment ref="T7" authorId="0">
      <text>
        <r>
          <rPr>
            <sz val="11"/>
            <color theme="1"/>
            <rFont val="Arial"/>
          </rPr>
          <t>Changer les valeurs seuils</t>
        </r>
      </text>
    </comment>
    <comment ref="E56" authorId="0">
      <text>
        <r>
          <rPr>
            <sz val="11"/>
            <color theme="1"/>
            <rFont val="Arial"/>
          </rPr>
          <t>Ajouter nombre</t>
        </r>
      </text>
    </comment>
    <comment ref="E105" authorId="0">
      <text>
        <r>
          <rPr>
            <sz val="11"/>
            <color theme="1"/>
            <rFont val="Arial"/>
          </rPr>
          <t>Ajouter nombre</t>
        </r>
      </text>
    </comment>
    <comment ref="E154" authorId="0">
      <text>
        <r>
          <rPr>
            <sz val="11"/>
            <color theme="1"/>
            <rFont val="Arial"/>
          </rPr>
          <t>Ajouter nombre</t>
        </r>
      </text>
    </comment>
    <comment ref="E202" authorId="0">
      <text>
        <r>
          <rPr>
            <sz val="11"/>
            <color theme="1"/>
            <rFont val="Arial"/>
          </rPr>
          <t>Ajouter nombre</t>
        </r>
      </text>
    </comment>
    <comment ref="E251" authorId="0">
      <text>
        <r>
          <rPr>
            <sz val="11"/>
            <color theme="1"/>
            <rFont val="Arial"/>
          </rPr>
          <t>Ajouter nombre</t>
        </r>
      </text>
    </comment>
    <comment ref="E300" authorId="0">
      <text>
        <r>
          <rPr>
            <sz val="11"/>
            <color theme="1"/>
            <rFont val="Arial"/>
          </rPr>
          <t>Ajouter nombre</t>
        </r>
      </text>
    </comment>
    <comment ref="E349" authorId="0">
      <text>
        <r>
          <rPr>
            <sz val="11"/>
            <color theme="1"/>
            <rFont val="Arial"/>
          </rPr>
          <t>Ajouter nombre</t>
        </r>
      </text>
    </comment>
    <comment ref="E398" authorId="0">
      <text>
        <r>
          <rPr>
            <sz val="11"/>
            <color theme="1"/>
            <rFont val="Arial"/>
          </rPr>
          <t>Ajouter nombre</t>
        </r>
      </text>
    </comment>
    <comment ref="E447" authorId="0">
      <text>
        <r>
          <rPr>
            <sz val="11"/>
            <color theme="1"/>
            <rFont val="Arial"/>
          </rPr>
          <t>Ajouter nombre</t>
        </r>
      </text>
    </comment>
    <comment ref="E496" authorId="0">
      <text>
        <r>
          <rPr>
            <sz val="11"/>
            <color theme="1"/>
            <rFont val="Arial"/>
          </rPr>
          <t>Ajouter nombre</t>
        </r>
      </text>
    </comment>
    <comment ref="E545" authorId="0">
      <text>
        <r>
          <rPr>
            <sz val="11"/>
            <color theme="1"/>
            <rFont val="Arial"/>
          </rPr>
          <t>Ajouter nombre</t>
        </r>
      </text>
    </comment>
  </commentList>
</comments>
</file>

<file path=xl/comments4.xml><?xml version="1.0" encoding="utf-8"?>
<comments xmlns="http://schemas.openxmlformats.org/spreadsheetml/2006/main">
  <authors>
    <author/>
  </authors>
  <commentList>
    <comment ref="D6" authorId="0">
      <text>
        <r>
          <rPr>
            <sz val="11"/>
            <color theme="1"/>
            <rFont val="Arial"/>
          </rPr>
          <t>valeur aberrante: pas de seuil</t>
        </r>
      </text>
    </comment>
    <comment ref="F6" authorId="0">
      <text>
        <r>
          <rPr>
            <sz val="11"/>
            <color theme="1"/>
            <rFont val="Arial"/>
          </rPr>
          <t>valeur aberrante: pas de seuil</t>
        </r>
      </text>
    </comment>
    <comment ref="D7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7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D8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8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G8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9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D10" authorId="0">
      <text>
        <r>
          <rPr>
            <sz val="11"/>
            <color theme="1"/>
            <rFont val="Arial"/>
          </rPr>
          <t>valeur aberrante: pas de seuil</t>
        </r>
      </text>
    </comment>
    <comment ref="F10" authorId="0">
      <text>
        <r>
          <rPr>
            <sz val="11"/>
            <color theme="1"/>
            <rFont val="Arial"/>
          </rPr>
          <t>valeur aberrante: pas de seuil</t>
        </r>
      </text>
    </comment>
    <comment ref="D11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11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13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T13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F14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T14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D16" authorId="0">
      <text>
        <r>
          <rPr>
            <sz val="11"/>
            <color theme="1"/>
            <rFont val="Arial"/>
          </rPr>
          <t>valeur aberrante: pas de seuil</t>
        </r>
      </text>
    </comment>
    <comment ref="F16" authorId="0">
      <text>
        <r>
          <rPr>
            <sz val="11"/>
            <color theme="1"/>
            <rFont val="Arial"/>
          </rPr>
          <t>valeur aberrante: pas de seuil</t>
        </r>
      </text>
    </comment>
    <comment ref="AB18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C18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D18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H18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D19" authorId="0">
      <text>
        <r>
          <rPr>
            <sz val="11"/>
            <color theme="1"/>
            <rFont val="Arial"/>
          </rPr>
          <t xml:space="preserve">valeur aberrante: pas de seuil
</t>
        </r>
      </text>
    </comment>
    <comment ref="E19" authorId="0">
      <text>
        <r>
          <rPr>
            <sz val="11"/>
            <color theme="1"/>
            <rFont val="Arial"/>
          </rPr>
          <t xml:space="preserve">valeur aberrante: pas de seuil
</t>
        </r>
      </text>
    </comment>
    <comment ref="F19" authorId="0">
      <text>
        <r>
          <rPr>
            <sz val="11"/>
            <color theme="1"/>
            <rFont val="Arial"/>
          </rPr>
          <t xml:space="preserve">valeur aberrante: pas de seuil
</t>
        </r>
      </text>
    </comment>
    <comment ref="G19" authorId="0">
      <text>
        <r>
          <rPr>
            <sz val="11"/>
            <color theme="1"/>
            <rFont val="Arial"/>
          </rPr>
          <t>valeur aberrante: pas de seuil</t>
        </r>
      </text>
    </comment>
    <comment ref="F20" authorId="0">
      <text>
        <r>
          <rPr>
            <sz val="11"/>
            <color theme="1"/>
            <rFont val="Arial"/>
          </rPr>
          <t>valeur aberrante: pas de seuil</t>
        </r>
      </text>
    </comment>
    <comment ref="AB20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C20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D20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H20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D23" authorId="0">
      <text>
        <r>
          <rPr>
            <sz val="11"/>
            <color theme="1"/>
            <rFont val="Arial"/>
          </rPr>
          <t>valeur aberrante: pas de seuil</t>
        </r>
      </text>
    </comment>
    <comment ref="F23" authorId="0">
      <text>
        <r>
          <rPr>
            <sz val="11"/>
            <color theme="1"/>
            <rFont val="Arial"/>
          </rPr>
          <t>valeur aberrante: pas de seuil</t>
        </r>
      </text>
    </comment>
    <comment ref="G23" authorId="0">
      <text>
        <r>
          <rPr>
            <sz val="11"/>
            <color theme="1"/>
            <rFont val="Arial"/>
          </rPr>
          <t xml:space="preserve">valeur aberrante: pas de seuil
</t>
        </r>
      </text>
    </comment>
    <comment ref="T24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D25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25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G25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D27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F27" authorId="0">
      <text>
        <r>
          <rPr>
            <sz val="11"/>
            <color theme="1"/>
            <rFont val="Arial"/>
          </rPr>
          <t>valeur aberrante: pas de seuil</t>
        </r>
      </text>
    </comment>
    <comment ref="D28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F28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AH28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D29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F29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F30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T30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AB32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C32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D32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AH32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T33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D34" authorId="0">
      <text>
        <r>
          <rPr>
            <sz val="11"/>
            <color theme="1"/>
            <rFont val="Arial"/>
          </rPr>
          <t>valeur aberrante: pas de seuil</t>
        </r>
      </text>
    </comment>
    <comment ref="E34" authorId="0">
      <text>
        <r>
          <rPr>
            <sz val="11"/>
            <color theme="1"/>
            <rFont val="Arial"/>
          </rPr>
          <t>valeur aberrante: pas de seuil</t>
        </r>
      </text>
    </comment>
    <comment ref="F35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T35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D36" authorId="0">
      <text>
        <r>
          <rPr>
            <sz val="11"/>
            <color theme="1"/>
            <rFont val="Arial"/>
          </rPr>
          <t>valeur aberrante: pas de seuil</t>
        </r>
      </text>
    </comment>
    <comment ref="E36" authorId="0">
      <text>
        <r>
          <rPr>
            <sz val="11"/>
            <color theme="1"/>
            <rFont val="Arial"/>
          </rPr>
          <t>valeur aberrante: pas de seuil</t>
        </r>
      </text>
    </comment>
    <comment ref="D37" authorId="0">
      <text>
        <r>
          <rPr>
            <sz val="11"/>
            <color theme="1"/>
            <rFont val="Arial"/>
          </rPr>
          <t>valeur aberrante: pas de seuil</t>
        </r>
      </text>
    </comment>
    <comment ref="E37" authorId="0">
      <text>
        <r>
          <rPr>
            <sz val="11"/>
            <color theme="1"/>
            <rFont val="Arial"/>
          </rPr>
          <t>valeur aberrante: pas de seuil</t>
        </r>
      </text>
    </comment>
    <comment ref="D38" authorId="0">
      <text>
        <r>
          <rPr>
            <sz val="11"/>
            <color theme="1"/>
            <rFont val="Arial"/>
          </rPr>
          <t>valeur aberrante: pas de seuil</t>
        </r>
      </text>
    </comment>
    <comment ref="F38" authorId="0">
      <text>
        <r>
          <rPr>
            <sz val="11"/>
            <color theme="1"/>
            <rFont val="Arial"/>
          </rPr>
          <t>valeur aberrante: pas de seuil</t>
        </r>
      </text>
    </comment>
    <comment ref="D39" authorId="0">
      <text>
        <r>
          <rPr>
            <sz val="11"/>
            <color theme="1"/>
            <rFont val="Arial"/>
          </rPr>
          <t>valeur aberrante: pas de seuil</t>
        </r>
      </text>
    </comment>
    <comment ref="E39" authorId="0">
      <text>
        <r>
          <rPr>
            <sz val="11"/>
            <color theme="1"/>
            <rFont val="Arial"/>
          </rPr>
          <t>valeur aberrante: pas de seuil</t>
        </r>
      </text>
    </comment>
    <comment ref="F39" authorId="0">
      <text>
        <r>
          <rPr>
            <sz val="11"/>
            <color theme="1"/>
            <rFont val="Arial"/>
          </rPr>
          <t>valeur aberrante: pas de seuil</t>
        </r>
      </text>
    </comment>
    <comment ref="AH39" authorId="0">
      <text>
        <r>
          <rPr>
            <sz val="11"/>
            <color theme="1"/>
            <rFont val="Arial"/>
          </rPr>
          <t>GREGOIRE Julie:
Pas de seuil
Valeur mise en vue d'une évolution</t>
        </r>
      </text>
    </comment>
    <comment ref="D40" authorId="0">
      <text>
        <r>
          <rPr>
            <sz val="11"/>
            <color theme="1"/>
            <rFont val="Arial"/>
          </rPr>
          <t>valeur aberrante: pas de seuil</t>
        </r>
      </text>
    </comment>
    <comment ref="F40" authorId="0">
      <text>
        <r>
          <rPr>
            <sz val="11"/>
            <color theme="1"/>
            <rFont val="Arial"/>
          </rPr>
          <t>valeur aberrante: pas de seuil</t>
        </r>
      </text>
    </comment>
    <comment ref="G40" authorId="0">
      <text>
        <r>
          <rPr>
            <sz val="11"/>
            <color theme="1"/>
            <rFont val="Arial"/>
          </rPr>
          <t xml:space="preserve">valeur aberrante: pas de seuil
</t>
        </r>
      </text>
    </comment>
    <comment ref="F42" authorId="0">
      <text>
        <r>
          <rPr>
            <sz val="11"/>
            <color theme="1"/>
            <rFont val="Arial"/>
          </rPr>
          <t>Application de l'arrete du 1er décembre 2006 du 1er janvier 2019 au 31 décembre 2019</t>
        </r>
      </text>
    </comment>
    <comment ref="T42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  <comment ref="T43" authorId="0">
      <text>
        <r>
          <rPr>
            <sz val="11"/>
            <color theme="1"/>
            <rFont val="Arial"/>
          </rPr>
          <t xml:space="preserve">Seuil contractuel plus restrictif que AP 10/10/2019
</t>
        </r>
      </text>
    </comment>
    <comment ref="D49" authorId="0">
      <text>
        <r>
          <rPr>
            <sz val="11"/>
            <color theme="1"/>
            <rFont val="Arial"/>
          </rPr>
          <t>valeur aberrante: pas de seuil</t>
        </r>
      </text>
    </comment>
    <comment ref="F49" authorId="0">
      <text>
        <r>
          <rPr>
            <sz val="11"/>
            <color theme="1"/>
            <rFont val="Arial"/>
          </rPr>
          <t>valeur aberrante: pas de seuil</t>
        </r>
      </text>
    </comment>
    <comment ref="D50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50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D51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51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F52" authorId="0">
      <text>
        <r>
          <rPr>
            <sz val="11"/>
            <color theme="1"/>
            <rFont val="Arial"/>
          </rPr>
          <t xml:space="preserve">Application du nouvel AP du 10/10/2019 à partir du 1/01/2019 </t>
        </r>
      </text>
    </comment>
    <comment ref="T52" authorId="0">
      <text>
        <r>
          <rPr>
            <sz val="11"/>
            <color theme="1"/>
            <rFont val="Arial"/>
          </rPr>
          <t>Application du nouvel AP du 10/10/2019 à partir du 1/01/2019</t>
        </r>
      </text>
    </comment>
  </commentList>
</comments>
</file>

<file path=xl/sharedStrings.xml><?xml version="1.0" encoding="utf-8"?>
<sst xmlns="http://schemas.openxmlformats.org/spreadsheetml/2006/main" count="3670" uniqueCount="346">
  <si>
    <t>Station Degrémont</t>
  </si>
  <si>
    <t>XXX</t>
  </si>
  <si>
    <t xml:space="preserve">  valeur &gt; à la convention avec PSA sur Degrémont Sortie</t>
  </si>
  <si>
    <t>Sivom</t>
  </si>
  <si>
    <t xml:space="preserve"> </t>
  </si>
  <si>
    <t xml:space="preserve">  valeur &gt; à  l'Arrêté Préfectoral du 1/12/2006</t>
  </si>
  <si>
    <t>10/10/2019: Nouvel Arrêté en vigueur</t>
  </si>
  <si>
    <t xml:space="preserve">  valeur donnant lieu à une pénalité sur Degrémont Sortie</t>
  </si>
  <si>
    <t>Année:</t>
  </si>
  <si>
    <t xml:space="preserve">  valeur 2 x &gt; à l'Arreté Prefectoal du 1/12/2006</t>
  </si>
  <si>
    <t>KPI</t>
  </si>
  <si>
    <t>Cadmium</t>
  </si>
  <si>
    <t>Chloroalcanes</t>
  </si>
  <si>
    <t>Chrome</t>
  </si>
  <si>
    <t>DEHP</t>
  </si>
  <si>
    <t>Nonylphénols</t>
  </si>
  <si>
    <t>AMPA</t>
  </si>
  <si>
    <t>AOX</t>
  </si>
  <si>
    <t>Arsenic</t>
  </si>
  <si>
    <t>Benzène</t>
  </si>
  <si>
    <t>Cyanure</t>
  </si>
  <si>
    <t>Etain</t>
  </si>
  <si>
    <t>Ethylbenzène</t>
  </si>
  <si>
    <t>HAP</t>
  </si>
  <si>
    <t>Toluène</t>
  </si>
  <si>
    <t>Xylène</t>
  </si>
  <si>
    <t>Date</t>
  </si>
  <si>
    <t>DEGREMONT ENTREE</t>
  </si>
  <si>
    <t>Résultat
 mg/L</t>
  </si>
  <si>
    <t>DEGREMONT SORTIE</t>
  </si>
  <si>
    <t>Intitulé</t>
  </si>
  <si>
    <t>kg/j</t>
  </si>
  <si>
    <t>Débit</t>
  </si>
  <si>
    <t>pH</t>
  </si>
  <si>
    <t>MES</t>
  </si>
  <si>
    <t>DCO</t>
  </si>
  <si>
    <t>DCO à D2</t>
  </si>
  <si>
    <t>Ptotal</t>
  </si>
  <si>
    <t>NTK</t>
  </si>
  <si>
    <t>NO2</t>
  </si>
  <si>
    <t>NO3</t>
  </si>
  <si>
    <t>N Global</t>
  </si>
  <si>
    <t>Chrome 6+</t>
  </si>
  <si>
    <t>Aluminium</t>
  </si>
  <si>
    <t>Fer</t>
  </si>
  <si>
    <t>Cuivre</t>
  </si>
  <si>
    <t>Manganèse</t>
  </si>
  <si>
    <t>Zinc</t>
  </si>
  <si>
    <t>Nickel</t>
  </si>
  <si>
    <t>Plomb</t>
  </si>
  <si>
    <t>Validation</t>
  </si>
  <si>
    <t>Observations</t>
  </si>
  <si>
    <t>Code Sandre</t>
  </si>
  <si>
    <t>Canal de 
mesure
m³/j</t>
  </si>
  <si>
    <t>Masse
 filtre
 vide
mg</t>
  </si>
  <si>
    <t>Masse 
filtre
 après séchage
mg</t>
  </si>
  <si>
    <t>Volume
 filtré
ml ou g</t>
  </si>
  <si>
    <t>Résultat
mg/L</t>
  </si>
  <si>
    <t>Dilution</t>
  </si>
  <si>
    <t>Valeur lue
mg/L</t>
  </si>
  <si>
    <t>Echantillon.</t>
  </si>
  <si>
    <t>kg/sem</t>
  </si>
  <si>
    <t>Fréq. ana.</t>
  </si>
  <si>
    <t>Analytique</t>
  </si>
  <si>
    <t>Terrain</t>
  </si>
  <si>
    <t>Seuil Contractuel 1</t>
  </si>
  <si>
    <t>Normes</t>
  </si>
  <si>
    <t>Seuil Contractuel 2 (Seuil contractuel x 2)</t>
  </si>
  <si>
    <t>Echantillon</t>
  </si>
  <si>
    <t>24H</t>
  </si>
  <si>
    <t>Moyen semaine 24H</t>
  </si>
  <si>
    <t>Fréquence</t>
  </si>
  <si>
    <t>Journalier 
VIGS
Mulhouse</t>
  </si>
  <si>
    <t>Journalier VIGS Mulhouse</t>
  </si>
  <si>
    <t>Hebdo VIGS Sochaux</t>
  </si>
  <si>
    <t>Hebdo Laboratoire ext</t>
  </si>
  <si>
    <t>Calcul</t>
  </si>
  <si>
    <t>Journalier Laboratoire ext</t>
  </si>
  <si>
    <t>Hebdo VIGS Mulhouse</t>
  </si>
  <si>
    <t>NF T90-008</t>
  </si>
  <si>
    <t>NF EN 872</t>
  </si>
  <si>
    <t>Microméthode</t>
  </si>
  <si>
    <t>NF EN 25663</t>
  </si>
  <si>
    <t>L Q</t>
  </si>
  <si>
    <t>OK</t>
  </si>
  <si>
    <t>&lt;</t>
  </si>
  <si>
    <t>Transfert B04 vers B01 3H48 Décanteur trouble</t>
  </si>
  <si>
    <t>Transfert B04 vers B01 3H48 Remontée de boue</t>
  </si>
  <si>
    <t>Remontée de boue</t>
  </si>
  <si>
    <t>Transfert B04 vers B01 15H50</t>
  </si>
  <si>
    <t>Transfert B04 vers B01 10H27</t>
  </si>
  <si>
    <t>Camion 22 big bag</t>
  </si>
  <si>
    <t>Transfert B04 vers B01 2H15</t>
  </si>
  <si>
    <t>Transfert B04 vers B01 0H40</t>
  </si>
  <si>
    <t>Transfert B04 vers B01 0H30</t>
  </si>
  <si>
    <t>Somme</t>
  </si>
  <si>
    <t>Transfert B04 vers B01 1H30</t>
  </si>
  <si>
    <t>Moyenne</t>
  </si>
  <si>
    <t>Valeur mini</t>
  </si>
  <si>
    <t>Transfert B04 vers B01 23H30</t>
  </si>
  <si>
    <t>Transfert B04 vers B01 1H00</t>
  </si>
  <si>
    <t>Valeur max</t>
  </si>
  <si>
    <t>Nombre de mesure</t>
  </si>
  <si>
    <t>Transfert B04 vers B01 14H30</t>
  </si>
  <si>
    <t>Flux annuel  KG</t>
  </si>
  <si>
    <t>Transfert B04 vers B01 16H30</t>
  </si>
  <si>
    <t>Flux annuel  T/an</t>
  </si>
  <si>
    <t>Transfert B04 vers B01 4H30</t>
  </si>
  <si>
    <t>Transfert B04 vers B01 2H10</t>
  </si>
  <si>
    <t>Transfert B04 vers B01 1H</t>
  </si>
  <si>
    <t>Suivi des analyses de la Station Degrémont Sortie</t>
  </si>
  <si>
    <t xml:space="preserve"> valeur &gt; à la convention avec PSA sur Degrémont Entrée</t>
  </si>
  <si>
    <t xml:space="preserve">  valeur &gt; arrêté préfectoral du 10/10/2019 sur Degrémont Sortie</t>
  </si>
  <si>
    <t>Transfert B04 vers B01 1H45</t>
  </si>
  <si>
    <t>Degrémont Sortie</t>
  </si>
  <si>
    <t>Transfert B04 vers B01 2H</t>
  </si>
  <si>
    <t>Transfert B04 vers B01 2H30 Camion 22 big bag</t>
  </si>
  <si>
    <t>Paramètre</t>
  </si>
  <si>
    <t>N global</t>
  </si>
  <si>
    <t>Rendement Station %</t>
  </si>
  <si>
    <t>CHAUX</t>
  </si>
  <si>
    <t>Siccité des boues</t>
  </si>
  <si>
    <t>Transfert B04 vers B01 3H42</t>
  </si>
  <si>
    <t>Sandre</t>
  </si>
  <si>
    <t>kg/s</t>
  </si>
  <si>
    <t>Transfert B04 vers B01 9H18</t>
  </si>
  <si>
    <t>Rendement
DCO</t>
  </si>
  <si>
    <t>Rendement
MES</t>
  </si>
  <si>
    <t>Rendement
Ptotal</t>
  </si>
  <si>
    <t>Après une pressée</t>
  </si>
  <si>
    <t>Seuil AP 10/10/2019</t>
  </si>
  <si>
    <t>Transfert B04 vers B01 13H42</t>
  </si>
  <si>
    <t>Transfert B04 vers B01 30min</t>
  </si>
  <si>
    <t>Masse capsule
vide</t>
  </si>
  <si>
    <t>Masse capsule
 pleine</t>
  </si>
  <si>
    <t>Masse capsule
après séchage</t>
  </si>
  <si>
    <t>Résultat
%</t>
  </si>
  <si>
    <t>Seuil 2 Seuil 2 (Seuil AP 10/10/2019 *2 = Suivi interne)</t>
  </si>
  <si>
    <t>Transfert B04 vers B01 3H Nouvelle prise P04</t>
  </si>
  <si>
    <t>Transfert B04 vers B01 4H70</t>
  </si>
  <si>
    <t>HEBDO VIGS</t>
  </si>
  <si>
    <t>Transfert B04 vers B01 3H55</t>
  </si>
  <si>
    <t>J</t>
  </si>
  <si>
    <t>Nettoyage panier R4, bac de chaulage. Vidange B03</t>
  </si>
  <si>
    <t>Hebdo VIGS</t>
  </si>
  <si>
    <t>LQ</t>
  </si>
  <si>
    <t>Transfert B04 vers B01 3H20</t>
  </si>
  <si>
    <t>Transfert B04 vers B01 3H45</t>
  </si>
  <si>
    <t>Transfert B04 vers B01 4H</t>
  </si>
  <si>
    <t>Année</t>
  </si>
  <si>
    <t>mg/L</t>
  </si>
  <si>
    <t>CA MES : 66mg/L</t>
  </si>
  <si>
    <t>Pas de prélèvement entrée DEG</t>
  </si>
  <si>
    <t>pdn</t>
  </si>
  <si>
    <t>CA MES : 100mg/L</t>
  </si>
  <si>
    <t>Al</t>
  </si>
  <si>
    <t>Fe</t>
  </si>
  <si>
    <t>Mn</t>
  </si>
  <si>
    <t>Nettoyage bac de chaulage Pompe P01 HS=Remplacée</t>
  </si>
  <si>
    <t>Discordance P31-Fonctionnement en continu. Sonde R1 mise dans R3 pour la pompe P11</t>
  </si>
  <si>
    <t/>
  </si>
  <si>
    <t>Ni</t>
  </si>
  <si>
    <t>Pb</t>
  </si>
  <si>
    <t>Zn</t>
  </si>
  <si>
    <t>Défaut poire niveau sortie</t>
  </si>
  <si>
    <t>Fluorure</t>
  </si>
  <si>
    <t>Défaut poire niveau sortie Transfert B04 vers B01 1h40</t>
  </si>
  <si>
    <t>Transfert B04 vers B01 0h30</t>
  </si>
  <si>
    <t>Tributylétain</t>
  </si>
  <si>
    <t>Fer + aluminium</t>
  </si>
  <si>
    <t>Octyphénols</t>
  </si>
  <si>
    <t>Transfert B04 vers B01 2h56</t>
  </si>
  <si>
    <t>Décanteur trouble Vidange décanteur P21 Coag bouché</t>
  </si>
  <si>
    <t>Transfert B04 vers B01 1H 20 Big bags 1 rectifs Changement 3vannes entrée B01</t>
  </si>
  <si>
    <t>Daphnie</t>
  </si>
  <si>
    <t>Mercure</t>
  </si>
  <si>
    <t>Transfert B04 vers B01 0h30 21Big bags</t>
  </si>
  <si>
    <t>Cr 6+</t>
  </si>
  <si>
    <t>Transfert B04 vers B01 1h33 Décanteur trouble Débouchage canalisation bac chaulage pompe abel</t>
  </si>
  <si>
    <t>Transfert B04 vers B01 1h29</t>
  </si>
  <si>
    <t>Transfert B04 vers B01 1h44</t>
  </si>
  <si>
    <t>Transfert B04 vers B01 3h50</t>
  </si>
  <si>
    <t>Disjoncteur verin FT HS</t>
  </si>
  <si>
    <t>Transfert B04 vers B01 5h20</t>
  </si>
  <si>
    <t>Nettoyage degrilleur B01: dépot blanchatre</t>
  </si>
  <si>
    <t>Transfert B04 vers B0115 min</t>
  </si>
  <si>
    <t>17 big bags 2 rectifs 2 phosphatations</t>
  </si>
  <si>
    <t>Décanteur gris début poste matin- trouble en soirée</t>
  </si>
  <si>
    <t>10H30 Boues importantes dans le décanteur. Pompe P04 ne s'est pas arrêté</t>
  </si>
  <si>
    <t>MES de type papier grossier</t>
  </si>
  <si>
    <t>Problème P31: Ne s'arrête pas</t>
  </si>
  <si>
    <t>Nettoyage bac de chaulage</t>
  </si>
  <si>
    <t>21 Big bags</t>
  </si>
  <si>
    <t>Décablage coffret P04</t>
  </si>
  <si>
    <t>Echantillon noir-MES</t>
  </si>
  <si>
    <t>Station à l'arrêt</t>
  </si>
  <si>
    <t>Nettoyage bag de chaulge et clapet pompe Abel</t>
  </si>
  <si>
    <t>Nouveau programme dans le panel</t>
  </si>
  <si>
    <t>CA MES : 72mg/L</t>
  </si>
  <si>
    <t>Station UF Entrée</t>
  </si>
  <si>
    <t>Station UF Sortie</t>
  </si>
  <si>
    <t>Hydrocarbure</t>
  </si>
  <si>
    <t>Colloïdale</t>
  </si>
  <si>
    <t>Fe : 0,35 mg/L; Zn : 0,65mg/L</t>
  </si>
  <si>
    <t>Fe : 13 mg/L ; Zn : 21 mg/L. MES confirmé par DCO et commentaire Terrain</t>
  </si>
  <si>
    <t>Fe: 1,3 mg/L ; Zn : 2,3mg/L. MES confirmé par DCO et commentaire Terrain</t>
  </si>
  <si>
    <t>Zn : 0,35mg/L</t>
  </si>
  <si>
    <t>Nouvel AP: Sortie DEG Réglementaire</t>
  </si>
  <si>
    <t>prélèvement poncuel, defaut préleveur entrée</t>
  </si>
  <si>
    <t>Application Avis du 21/08/2019 pour Lq plus restrictive que l'AP</t>
  </si>
  <si>
    <t>CA : MES:173,08mg/L; DCO:7022mg/L; PO4:79,8mg/L</t>
  </si>
  <si>
    <t>CA : MES:110mg/L ; DCO: 5236mg/L</t>
  </si>
  <si>
    <t>Nombre dépassement 1er seuil</t>
  </si>
  <si>
    <t>Nombre dépassement 2ème seuil</t>
  </si>
  <si>
    <t>CA MES : 14030 mg/l, DCO : 18200 mg/l</t>
  </si>
  <si>
    <t>CA MES : 18190 mg/l; DCO : 16600 mg/l</t>
  </si>
  <si>
    <t>% depassement 1er seuil</t>
  </si>
  <si>
    <t>Pôle Utilités Mulhouse</t>
  </si>
  <si>
    <t>BILAN ANNUEL -  STATION DEGREMONT</t>
  </si>
  <si>
    <t>"Cycle de l'Eau"</t>
  </si>
  <si>
    <t xml:space="preserve">  CHARGES MOYENNES MENSUELLES</t>
  </si>
  <si>
    <t>E N T R E E   S T A T I O N</t>
  </si>
  <si>
    <t>S O R T I E   S T A T I O N</t>
  </si>
  <si>
    <t>MOIS</t>
  </si>
  <si>
    <t>DEBIT</t>
  </si>
  <si>
    <t>DCO nd</t>
  </si>
  <si>
    <t>MEST</t>
  </si>
  <si>
    <t>P total</t>
  </si>
  <si>
    <r>
      <t>m</t>
    </r>
    <r>
      <rPr>
        <b/>
        <vertAlign val="superscript"/>
        <sz val="9"/>
        <rFont val="Arial Narrow"/>
      </rPr>
      <t>3</t>
    </r>
  </si>
  <si>
    <r>
      <t>m</t>
    </r>
    <r>
      <rPr>
        <b/>
        <vertAlign val="superscript"/>
        <sz val="9"/>
        <rFont val="Arial Narrow"/>
      </rPr>
      <t>3</t>
    </r>
    <r>
      <rPr>
        <b/>
        <sz val="9"/>
        <rFont val="Arial Narrow"/>
      </rPr>
      <t xml:space="preserve"> / j</t>
    </r>
  </si>
  <si>
    <t xml:space="preserve">kg </t>
  </si>
  <si>
    <t>kg / j</t>
  </si>
  <si>
    <t>kg</t>
  </si>
  <si>
    <t>Nouvel AP: Sortie DEG reglementaire
Changement pour N global, P, Pb, Ni; Cu, Cr,  Zc,  Mn,Fe, Al</t>
  </si>
  <si>
    <t>DBO5</t>
  </si>
  <si>
    <t>MOY./AN</t>
  </si>
  <si>
    <t>TOTAL/AN</t>
  </si>
  <si>
    <r>
      <t>m</t>
    </r>
    <r>
      <rPr>
        <b/>
        <vertAlign val="superscript"/>
        <sz val="9"/>
        <rFont val="Arial Narrow"/>
      </rPr>
      <t>3</t>
    </r>
    <r>
      <rPr>
        <b/>
        <sz val="9"/>
        <rFont val="Arial Narrow"/>
      </rPr>
      <t xml:space="preserve"> / j</t>
    </r>
  </si>
  <si>
    <t>JANV.</t>
  </si>
  <si>
    <t>FEVR.</t>
  </si>
  <si>
    <t>MARS</t>
  </si>
  <si>
    <t>AVRIL</t>
  </si>
  <si>
    <t>MAI</t>
  </si>
  <si>
    <t>JUIN</t>
  </si>
  <si>
    <t>JUIL.</t>
  </si>
  <si>
    <t>AOUT</t>
  </si>
  <si>
    <t>SEPT.</t>
  </si>
  <si>
    <t>OCTO.</t>
  </si>
  <si>
    <t>NOVE.</t>
  </si>
  <si>
    <t>DECE.</t>
  </si>
  <si>
    <t xml:space="preserve">  CHARGE MOYENNE MENSUELLE ANALYSES, EN Kg / JOUR</t>
  </si>
  <si>
    <t>Cr</t>
  </si>
  <si>
    <t>prendre en compte &lt; et diviser par 2</t>
  </si>
  <si>
    <t xml:space="preserve">  CHARGE TOTALE MENSUELLE ANALYSES, EN Kg / MOIS</t>
  </si>
  <si>
    <t>TOT./AN</t>
  </si>
  <si>
    <t xml:space="preserve">  MOYENNE MENSUELLE ANALYSES, en mgl / jour</t>
  </si>
  <si>
    <t xml:space="preserve"> Nombre de valeurs annuelles &gt; au seuil de détection :</t>
  </si>
  <si>
    <t>Al = 0,29 mg/ et Fer = 0,065 mg/l</t>
  </si>
  <si>
    <t xml:space="preserve"> Nombre d'analyses annuelles :</t>
  </si>
  <si>
    <t>Al = 0,291 mg/ et Fer = 0,054 mg/l</t>
  </si>
  <si>
    <t xml:space="preserve">RENDEMENT en % STATION - ENTREE SUR SORTIE </t>
  </si>
  <si>
    <r>
      <t>en m</t>
    </r>
    <r>
      <rPr>
        <b/>
        <vertAlign val="superscript"/>
        <sz val="9"/>
        <rFont val="Arial Narrow"/>
      </rPr>
      <t>3</t>
    </r>
  </si>
  <si>
    <t>%</t>
  </si>
  <si>
    <t>MOYEN</t>
  </si>
  <si>
    <t>CA MES : 102 mg/l, CA NTK : confirmée, demande de CA pour NO3 le 30.12</t>
  </si>
  <si>
    <t>BILANS-  STATION DEGREMONT  PERIODE 1992 - 2014</t>
  </si>
  <si>
    <t xml:space="preserve">  CHARGES  MOYENNES  ANNUELLES </t>
  </si>
  <si>
    <t>ANNEE</t>
  </si>
  <si>
    <t>CA DCO 2304 mg/l</t>
  </si>
  <si>
    <r>
      <t>m</t>
    </r>
    <r>
      <rPr>
        <b/>
        <vertAlign val="superscript"/>
        <sz val="9"/>
        <rFont val="Arial Narrow"/>
      </rPr>
      <t>3</t>
    </r>
  </si>
  <si>
    <r>
      <t>m</t>
    </r>
    <r>
      <rPr>
        <b/>
        <vertAlign val="superscript"/>
        <sz val="9"/>
        <rFont val="Arial Narrow"/>
      </rPr>
      <t>3</t>
    </r>
    <r>
      <rPr>
        <b/>
        <sz val="9"/>
        <rFont val="Arial Narrow"/>
      </rPr>
      <t xml:space="preserve"> / j</t>
    </r>
  </si>
  <si>
    <t xml:space="preserve">  CHARGE MOYENNE ANNUELLE ANALYSES, EN Kg / JOUR</t>
  </si>
  <si>
    <t xml:space="preserve">  CHARGE TOTALE ANNUELLE ANALYSES, EN Kg / AN</t>
  </si>
  <si>
    <t xml:space="preserve">Somme </t>
  </si>
  <si>
    <t>Nombre de mesure du 01/01/2019 au 09/10/2019</t>
  </si>
  <si>
    <t>Nombre de mesure 10/10/2019 au 31/12/2019</t>
  </si>
  <si>
    <t>Nombre de mesure total</t>
  </si>
  <si>
    <t>Seuil contrat du 01/01/2019 au 09/10/2019</t>
  </si>
  <si>
    <t>Nombre dépassement 1er seuil de AP du 10/10/2019 du 10/10/2019 au 31/12/2019</t>
  </si>
  <si>
    <t>Somme des dépassements 1er Seuil 2019 ( 2 Arretés)</t>
  </si>
  <si>
    <t>10% depassement contrat</t>
  </si>
  <si>
    <t>10% depassement 1er seuil AP du 10/10/2019</t>
  </si>
  <si>
    <t>Année :</t>
  </si>
  <si>
    <t>SIVOM</t>
  </si>
  <si>
    <t>DBO 5</t>
  </si>
  <si>
    <t>NH4</t>
  </si>
  <si>
    <t>Chrome total</t>
  </si>
  <si>
    <t>Tributylétain cation</t>
  </si>
  <si>
    <t>Station Dégrémont Entrée</t>
  </si>
  <si>
    <t>Station Dégrémont Sortie</t>
  </si>
  <si>
    <t>Station des Huiles</t>
  </si>
  <si>
    <t>Rappel seuil</t>
  </si>
  <si>
    <t>nbres de 
valeurs</t>
  </si>
  <si>
    <t>Somme 
des résultats</t>
  </si>
  <si>
    <t xml:space="preserve">Moyenne 
des résultats </t>
  </si>
  <si>
    <t>Valeur
mini</t>
  </si>
  <si>
    <t>Valeur 
maxi</t>
  </si>
  <si>
    <t xml:space="preserve">Valeur
 &gt;au seuil
</t>
  </si>
  <si>
    <t>Valeur
 &gt;au seuil
2ème seuil</t>
  </si>
  <si>
    <t>Valeur
 &gt;au seuil
1er seuil</t>
  </si>
  <si>
    <t>Total
Intitulesètres
sur les différentes 
stations</t>
  </si>
  <si>
    <t>Rendement DCO</t>
  </si>
  <si>
    <t>Rendement MES</t>
  </si>
  <si>
    <t>Rendement Ptotal</t>
  </si>
  <si>
    <t>Paramètres</t>
  </si>
  <si>
    <t>anais julie</t>
  </si>
  <si>
    <t>Station Degrémont Entrée</t>
  </si>
  <si>
    <t>Station Degrémont Sortie</t>
  </si>
  <si>
    <t>Sivom RSDE</t>
  </si>
  <si>
    <t>Intitulés</t>
  </si>
  <si>
    <t>Code 
SANDRE</t>
  </si>
  <si>
    <t>Seuil concentration
AP 1/12/2006 24h (mg/l)</t>
  </si>
  <si>
    <t xml:space="preserve">Seuil 2 (Seuil AP 1/12/2006 *2 </t>
  </si>
  <si>
    <t>Seuil
flux 24H (kg/j)</t>
  </si>
  <si>
    <t>Flux annuel (t/an)</t>
  </si>
  <si>
    <t>Lq
Avis du
21/08/2019
Application à partir du 12/11/2019</t>
  </si>
  <si>
    <t>Seuil concentration
Contrat 24h (mg/l)</t>
  </si>
  <si>
    <t>Seuil 2 (Seuil Contrat *2 = Suivi interne)</t>
  </si>
  <si>
    <t>Lq
Avis du
21/08/2019</t>
  </si>
  <si>
    <t>Seuil
 AP</t>
  </si>
  <si>
    <t>Seuil 
2</t>
  </si>
  <si>
    <t>Flux</t>
  </si>
  <si>
    <t>Seuil de 
flux 
(article 60) en g/j
Fréquence 
journalière
 si seuils de flux dépassés</t>
  </si>
  <si>
    <t>Seuil de 
flux 
(article 60) en g/j
Fréquence 
mensuelle
 si seuils de flux dépassés</t>
  </si>
  <si>
    <t>Seuil de 
flux 
(article 60) en g/j
Fréquence 
trimestrielle
 si seuils de flux dépassés</t>
  </si>
  <si>
    <t>Azote global</t>
  </si>
  <si>
    <t>Chrome 6</t>
  </si>
  <si>
    <t>0.001</t>
  </si>
  <si>
    <t>Nonylphénols (sandre 1958)</t>
  </si>
  <si>
    <t>Octylphénols</t>
  </si>
  <si>
    <t>Ethylbenzéne</t>
  </si>
  <si>
    <t>Fluore</t>
  </si>
  <si>
    <t>Hydrocarbure totaux</t>
  </si>
  <si>
    <t>Indice phènol</t>
  </si>
  <si>
    <t>0.005</t>
  </si>
  <si>
    <t>0.1</t>
  </si>
  <si>
    <t>5,5-8,5</t>
  </si>
  <si>
    <t>0.002</t>
  </si>
  <si>
    <t>Somme total métaux</t>
  </si>
  <si>
    <t>température</t>
  </si>
  <si>
    <t>Application du nouvel AP le 10/10/2019
Changement de seuil à partir du 10/10/2019 pour les paramètres suivants: 
Fluorure= 12mg/L mais on applique 10 mg/l pour 2019 car plus restrictive (Bilan)
Application nouvel AP du 10/10/2019 concernant:
Nonylphénol application des seuils à partir du 1er janvier 2020
DEHP application des seuils à partir du 1er janvier 2020
Tributylétain cation application des seuils à partir du 1er janvier 2020
AMPA application des seuils à partir du 1er janvier 2020
Chloroalcanes application des seuils à partir du 1er janvier 2020
- seuil concentration de la  somme Fe et Al au 1/01/2019 (Aucun seuil ancien arreté) : 4 mg/l
- seuil concentration de l'As au 1/01/2019 (Aucun seuil ancien arreté) : 0,05 mg/l
- seuil concentration du benzène au 1/01/2019 (Aucun seuil ancien arreté) : 1,5 mg/l
- seuil concentration du toluène au 1/01/2019 (Aucun seuil ancien arreté) : 4 mg/l
- seuil concentration du Xylène au 1/01/2019 (Aucun seuil ancien arreté) : 1,5 mg/l
- seuil concentration du HAP au 1/01/2019 (Aucun seuil ancien arreté) : 0,05 mg/l
- seuil concentration du Indice Phénol au 1/01/2019 (Aucun seuil ancien arreté) : 0,3 mg/l
- seuil concentration hydrocarbure au 1/01/2019 (Plus restrictif) : 8 mg/l
- seuil concentration AOX au 1/01/2019 (Plus restrictif) : 0,8 mg/l
- Seuil flux hydrocarbure 24h Kg/j et T/an au 1er Janvier 2019 (Plus restrictif) 5 mg/l
- Seuil flux AOX 24h Kg/j et T/an au 1er Janvier 2019 (Plus restrictif) 2,5 mg/l
- Seuil flux Cadmium 24h Kg/j et T/an au 1er Janvier 2019 (Plus restrictif) 0,6 mg/l
- Seuil flux Cuivre 24h Kg/j et T/an au 1er Janvier 2019 (Plus restrictif) 1,6 mg/l
- Seuil flux Chrome total 24h Kg/j et T/an au 1er Janvier 2019 (Plus restrictif) 1,6 mg/l
- Seuil flux Nickel 24h Kg/j et T/an au 1er Janvier 2019 (Plus restrictif) 1,6 mg/l
- Seuil flux Zinc 24h Kg/j et T/an au 1er Janvier 2019 (Plus restrictif) 6 mg/l
- Seuil flux Fer + Alu 24h Kg/j et T/an au 1er Janvier 2019 (Plus restrictif) 12 mg/l
- Seuil flux Manganèse 24h Kg/j et T/an au 1er Janvier 2019 (Plus restrictif) 3,1 mg/l
- Seuil flux Xylène 24h Kg/j et T/an au 1er Janvier 2019 (Plus restrictif) 4,7 mg/l
- Seuil flux Arsenic 24h Kg/j et T/an au 1er Janvier 2019 (Aucun seuil ancien arreté) : 0,2 mg/l
- Seuil flux Benzène 24h Kg/j et T/an au 1er Janvier 2019 (Aucun seuil ancien arreté) : 4,7 mg/l
- Seuil flux Toluène 24h Kg/j et T/an au 1er Janvier 2019 (Aucun seuil ancien arreté) : 12 mg/l
- Seuil flux Indice Phénol 24h Kg/j et T/an au 1er Janvier 2019 (Aucun seuil ancien arreté) : 0,9 mg/l
Application du 1er décembre 2006 du 10/10/2019 au 31/12/2019 : 
- Seuil flux Plomb 24h Kg/j et T/an au 1er Janvier 2019 (Plus restrictif) 1 mg/l</t>
  </si>
  <si>
    <t>Application du nouvel AP du 10/10/2019 Changement de seuil à partir du 10/10/2019
- seuil concentration Ptotal au 1/01/2019 (Plus restrictif) : 20 mg/l 
- seuil concentration Plomb au 1/01/2019 (Plus restrictif) : 0,08 mg/l
- seuil concentration Nickel au 1/01/2019 (Plus restrictif) : 0,16 mg/l 
- seuil concentration Cuivre au 1/01/2019 (Plus restrictif) : 0,12 mg/l 
- seuil concentration Chrome au 1/01/2019 (Plus restrictif) : 0,08 mg/l
- seuil concentration Zinc au 1/01/2019 (Plus restrictif) : 0,64 mg/l 
- seuil concentration Manganèse au 1/01/2019 (Plus restrictif) : 0,8 mg/l (
- seuil concentration Fer au 1/01/2019 (Plus restrictif) : 1,6 mg/l 
- seuil concentration du Nglobal au 1/01/2019 (Aucun seuil contrat) : 150 mg/l
Alu= 5mg/L mais on applique 3 mg/l pour 2019 car plus restrictive</t>
  </si>
  <si>
    <t>rappel seuil</t>
  </si>
  <si>
    <t xml:space="preserve">% depassement 1er seuil
</t>
  </si>
  <si>
    <t xml:space="preserve">Rappel seuil </t>
  </si>
  <si>
    <t>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</si>
</sst>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0.0"/>
    <numFmt numFmtId="165" formatCode="yyyy"/>
    <numFmt numFmtId="166" formatCode="0.000"/>
    <numFmt numFmtId="167" formatCode="mmmm"/>
    <numFmt numFmtId="168" formatCode="[=0]&quot;&quot;;0.0"/>
    <numFmt numFmtId="169" formatCode="[=0]&quot;&quot;;0.00"/>
    <numFmt numFmtId="170" formatCode="[=0]&quot;&quot;;0.000"/>
    <numFmt numFmtId="171" formatCode="dddd&quot; &quot;d&quot; &quot;mmmm&quot; &quot;yyyy"/>
    <numFmt numFmtId="172" formatCode="[=0]&quot;&quot;;0"/>
    <numFmt numFmtId="174" formatCode="[$-F800]dddd\,\ mmmm\ dd\,\ yyyy"/>
    <numFmt numFmtId="175" formatCode="0.0000"/>
    <numFmt numFmtId="190" formatCode="0_)"/>
    <numFmt numFmtId="191" formatCode="[$-40C]mmm"/>
    <numFmt numFmtId="192" formatCode="0.0_)"/>
    <numFmt numFmtId="193" formatCode="0.00_)"/>
  </numFmts>
  <fonts count="73">
    <font>
      <sz val="11"/>
      <color theme="1"/>
      <name val="Arial"/>
    </font>
    <font>
      <b/>
      <sz val="18"/>
      <color rgb="FF339966"/>
      <name val="Comic Sans MS"/>
    </font>
    <font>
      <sz val="11"/>
      <color theme="1"/>
      <name val="Calibri"/>
    </font>
    <font>
      <b/>
      <sz val="14"/>
      <color rgb="FF339966"/>
      <name val="Comic Sans MS"/>
    </font>
    <font>
      <sz val="10"/>
      <color theme="1"/>
      <name val="Arial Narrow"/>
    </font>
    <font>
      <sz val="7"/>
      <color theme="1"/>
      <name val="Arial Narrow"/>
    </font>
    <font>
      <b/>
      <sz val="14"/>
      <color theme="1"/>
      <name val="Times New Roman"/>
    </font>
    <font>
      <sz val="12"/>
      <color theme="1"/>
      <name val="Times New Roman"/>
    </font>
    <font>
      <sz val="12"/>
      <color theme="1"/>
      <name val="Cambria"/>
    </font>
    <font>
      <sz val="14"/>
      <color theme="1"/>
      <name val="Times New Roman"/>
    </font>
    <font>
      <sz val="11"/>
      <name val="Arial"/>
    </font>
    <font>
      <sz val="12"/>
      <color rgb="FF000000"/>
      <name val="Cambria"/>
    </font>
    <font>
      <sz val="10"/>
      <color theme="1"/>
      <name val="Times New Roman"/>
    </font>
    <font>
      <b/>
      <sz val="8"/>
      <color theme="1"/>
      <name val="Arial Narrow"/>
    </font>
    <font>
      <b/>
      <sz val="9"/>
      <color theme="1"/>
      <name val="Arial Narrow"/>
    </font>
    <font>
      <b/>
      <sz val="11"/>
      <color theme="1"/>
      <name val="Arial"/>
    </font>
    <font>
      <sz val="11"/>
      <color theme="1"/>
      <name val="Arial"/>
    </font>
    <font>
      <b/>
      <sz val="11"/>
      <color theme="1"/>
      <name val="Calibri"/>
    </font>
    <font>
      <b/>
      <sz val="11"/>
      <color theme="1"/>
      <name val="Calibri"/>
    </font>
    <font>
      <b/>
      <i/>
      <sz val="8"/>
      <color theme="1"/>
      <name val="Arial Narrow"/>
    </font>
    <font>
      <sz val="11"/>
      <color theme="1"/>
      <name val="Arial Narrow"/>
    </font>
    <font>
      <b/>
      <sz val="11"/>
      <color theme="1"/>
      <name val="Arial Narrow"/>
    </font>
    <font>
      <b/>
      <i/>
      <sz val="8"/>
      <color rgb="FF000000"/>
      <name val="Arial Narrow"/>
    </font>
    <font>
      <b/>
      <sz val="8"/>
      <color rgb="FFFFFFFF"/>
      <name val="Arial Narrow"/>
    </font>
    <font>
      <b/>
      <i/>
      <sz val="8"/>
      <color rgb="FFFFFFFF"/>
      <name val="Arial Narrow"/>
    </font>
    <font>
      <b/>
      <sz val="11"/>
      <color rgb="FF000000"/>
      <name val="Calibri"/>
    </font>
    <font>
      <b/>
      <sz val="8"/>
      <color rgb="FFCFE2F3"/>
      <name val="Arial Narrow"/>
    </font>
    <font>
      <b/>
      <i/>
      <sz val="8"/>
      <color rgb="FF99CCFF"/>
      <name val="Arial Narrow"/>
    </font>
    <font>
      <b/>
      <i/>
      <sz val="11"/>
      <color theme="1"/>
      <name val="Arial Narrow"/>
    </font>
    <font>
      <b/>
      <sz val="12"/>
      <color theme="1"/>
      <name val="Arial Narrow"/>
    </font>
    <font>
      <b/>
      <i/>
      <sz val="12"/>
      <color theme="1"/>
      <name val="Arial Narrow"/>
    </font>
    <font>
      <b/>
      <i/>
      <sz val="10"/>
      <color theme="1"/>
      <name val="Arial Narrow"/>
    </font>
    <font>
      <b/>
      <sz val="10"/>
      <color theme="1"/>
      <name val="Arial"/>
    </font>
    <font>
      <b/>
      <sz val="12"/>
      <color theme="1"/>
      <name val="Arial"/>
    </font>
    <font>
      <i/>
      <sz val="10"/>
      <color theme="1"/>
      <name val="Arial Narrow"/>
    </font>
    <font>
      <sz val="8"/>
      <color theme="1"/>
      <name val="Arial"/>
    </font>
    <font>
      <sz val="8"/>
      <color theme="1"/>
      <name val="Cambria"/>
    </font>
    <font>
      <b/>
      <sz val="8"/>
      <color theme="1"/>
      <name val="Arial"/>
    </font>
    <font>
      <b/>
      <sz val="8"/>
      <color theme="1"/>
      <name val="Calibri"/>
    </font>
    <font>
      <sz val="11"/>
      <color theme="1"/>
      <name val="Calibri"/>
    </font>
    <font>
      <b/>
      <i/>
      <sz val="8"/>
      <color rgb="FF000000"/>
      <name val="Calibri"/>
    </font>
    <font>
      <b/>
      <i/>
      <sz val="8"/>
      <color theme="1"/>
      <name val="Calibri"/>
    </font>
    <font>
      <b/>
      <sz val="8"/>
      <color rgb="FFFCE5CD"/>
      <name val="Arial"/>
    </font>
    <font>
      <b/>
      <i/>
      <sz val="8"/>
      <color rgb="FFFCE5CD"/>
      <name val="Calibri"/>
    </font>
    <font>
      <b/>
      <sz val="8"/>
      <color rgb="FFFFFFFF"/>
      <name val="Arial"/>
    </font>
    <font>
      <b/>
      <i/>
      <sz val="8"/>
      <color rgb="FFFFFFFF"/>
      <name val="Calibri"/>
    </font>
    <font>
      <b/>
      <i/>
      <sz val="8"/>
      <color theme="1"/>
      <name val="Arial"/>
    </font>
    <font>
      <b/>
      <sz val="9"/>
      <color theme="1"/>
      <name val="Arial"/>
    </font>
    <font>
      <sz val="8"/>
      <color theme="1"/>
      <name val="Arial Narrow"/>
    </font>
    <font>
      <sz val="10"/>
      <color theme="1"/>
      <name val="Arial"/>
    </font>
    <font>
      <b/>
      <sz val="18"/>
      <color theme="1"/>
      <name val="Arial Narrow"/>
    </font>
    <font>
      <b/>
      <sz val="10"/>
      <color theme="1"/>
      <name val="Arial Narrow"/>
    </font>
    <font>
      <sz val="12"/>
      <color theme="1"/>
      <name val="Arial Narrow"/>
    </font>
    <font>
      <sz val="11"/>
      <color theme="1"/>
      <name val="Arial Narrow"/>
    </font>
    <font>
      <sz val="9"/>
      <color theme="1"/>
      <name val="Arial Narrow"/>
    </font>
    <font>
      <b/>
      <sz val="14"/>
      <color theme="1"/>
      <name val="Arial Narrow"/>
    </font>
    <font>
      <sz val="11"/>
      <color rgb="FF000000"/>
      <name val="Roboto"/>
    </font>
    <font>
      <b/>
      <sz val="8"/>
      <color rgb="FF0000FF"/>
      <name val="Arial"/>
    </font>
    <font>
      <b/>
      <sz val="9"/>
      <color rgb="FF0000FF"/>
      <name val="Cambria"/>
    </font>
    <font>
      <b/>
      <sz val="8"/>
      <color rgb="FF0000FF"/>
      <name val="Cambria"/>
    </font>
    <font>
      <b/>
      <sz val="10"/>
      <color rgb="FF000000"/>
      <name val="Inconsolata"/>
    </font>
    <font>
      <sz val="11"/>
      <color rgb="FF000000"/>
      <name val="Calibri"/>
    </font>
    <font>
      <sz val="11"/>
      <color rgb="FF000000"/>
      <name val="Inconsolata"/>
    </font>
    <font>
      <sz val="24"/>
      <color theme="1"/>
      <name val="Cambria"/>
    </font>
    <font>
      <sz val="11"/>
      <color rgb="FF0066FF"/>
      <name val="Calibri"/>
    </font>
    <font>
      <sz val="11"/>
      <color rgb="FF953734"/>
      <name val="Calibri"/>
    </font>
    <font>
      <b/>
      <sz val="16"/>
      <color theme="1"/>
      <name val="Cambria"/>
    </font>
    <font>
      <b/>
      <sz val="16"/>
      <color theme="1"/>
      <name val="Calibri"/>
    </font>
    <font>
      <b/>
      <sz val="16"/>
      <color rgb="FF000000"/>
      <name val="Cambria"/>
    </font>
    <font>
      <sz val="11"/>
      <color rgb="FF000000"/>
      <name val="Arial"/>
    </font>
    <font>
      <sz val="11"/>
      <color rgb="FF000000"/>
      <name val="Arial"/>
    </font>
    <font>
      <b/>
      <vertAlign val="superscript"/>
      <sz val="9"/>
      <name val="Arial Narrow"/>
    </font>
    <font>
      <b/>
      <sz val="9"/>
      <name val="Arial Narrow"/>
    </font>
  </fonts>
  <fills count="3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7C80"/>
        <bgColor rgb="FFFF7C80"/>
      </patternFill>
    </fill>
    <fill>
      <patternFill patternType="solid">
        <fgColor rgb="FFCFE2F3"/>
        <bgColor rgb="FFCFE2F3"/>
      </patternFill>
    </fill>
    <fill>
      <patternFill patternType="solid">
        <fgColor rgb="FFFF0000"/>
        <bgColor rgb="FFFF0000"/>
      </patternFill>
    </fill>
    <fill>
      <patternFill patternType="solid">
        <fgColor rgb="FFFF99FF"/>
        <bgColor rgb="FFFF99FF"/>
      </patternFill>
    </fill>
    <fill>
      <patternFill patternType="solid">
        <fgColor rgb="FFFF00FF"/>
        <bgColor rgb="FFFF00FF"/>
      </patternFill>
    </fill>
    <fill>
      <patternFill patternType="solid">
        <fgColor rgb="FFB7B7B7"/>
        <bgColor rgb="FFB7B7B7"/>
      </patternFill>
    </fill>
    <fill>
      <patternFill patternType="solid">
        <fgColor rgb="FFFF9900"/>
        <bgColor rgb="FFFF9900"/>
      </patternFill>
    </fill>
    <fill>
      <patternFill patternType="solid">
        <fgColor rgb="FFCCCCFF"/>
        <bgColor rgb="FFCCCCFF"/>
      </patternFill>
    </fill>
    <fill>
      <patternFill patternType="solid">
        <fgColor rgb="FFA2FBA6"/>
        <bgColor rgb="FFA2FBA6"/>
      </patternFill>
    </fill>
    <fill>
      <patternFill patternType="solid">
        <fgColor rgb="FF37FF19"/>
        <bgColor rgb="FF37FF19"/>
      </patternFill>
    </fill>
    <fill>
      <patternFill patternType="solid">
        <fgColor rgb="FFBFBFBF"/>
        <bgColor rgb="FFBFBFBF"/>
      </patternFill>
    </fill>
    <fill>
      <patternFill patternType="solid">
        <fgColor rgb="FFFFCCCC"/>
        <bgColor rgb="FFFFCCCC"/>
      </patternFill>
    </fill>
    <fill>
      <patternFill patternType="solid">
        <fgColor rgb="FFF4CCCC"/>
        <bgColor rgb="FFF4CCCC"/>
      </patternFill>
    </fill>
    <fill>
      <patternFill patternType="solid">
        <fgColor rgb="FFFFF2CC"/>
        <bgColor rgb="FFFFF2CC"/>
      </patternFill>
    </fill>
    <fill>
      <patternFill patternType="solid">
        <fgColor rgb="FF4A86E8"/>
        <bgColor rgb="FF4A86E8"/>
      </patternFill>
    </fill>
    <fill>
      <patternFill patternType="solid">
        <fgColor rgb="FF9900FF"/>
        <bgColor rgb="FF9900FF"/>
      </patternFill>
    </fill>
    <fill>
      <patternFill patternType="solid">
        <fgColor rgb="FFFCE5CD"/>
        <bgColor rgb="FFFCE5CD"/>
      </patternFill>
    </fill>
    <fill>
      <patternFill patternType="solid">
        <fgColor rgb="FFFEF8E3"/>
        <bgColor rgb="FFFEF8E3"/>
      </patternFill>
    </fill>
    <fill>
      <patternFill patternType="solid">
        <fgColor rgb="FFD9D9D9"/>
        <bgColor rgb="FFD9D9D9"/>
      </patternFill>
    </fill>
    <fill>
      <patternFill patternType="solid">
        <fgColor rgb="FFCCCCCC"/>
        <bgColor rgb="FFCCCCCC"/>
      </patternFill>
    </fill>
    <fill>
      <patternFill patternType="solid">
        <fgColor rgb="FF666666"/>
        <bgColor rgb="FF666666"/>
      </patternFill>
    </fill>
    <fill>
      <patternFill patternType="solid">
        <fgColor rgb="FF999999"/>
        <bgColor rgb="FF999999"/>
      </patternFill>
    </fill>
    <fill>
      <patternFill patternType="solid">
        <fgColor theme="0"/>
        <bgColor theme="0"/>
      </patternFill>
    </fill>
    <fill>
      <patternFill patternType="solid">
        <fgColor rgb="FFFFFFCC"/>
        <bgColor rgb="FFFFFFCC"/>
      </patternFill>
    </fill>
    <fill>
      <patternFill patternType="solid">
        <fgColor rgb="FFD9D2E9"/>
        <bgColor rgb="FFD9D2E9"/>
      </patternFill>
    </fill>
    <fill>
      <patternFill patternType="solid">
        <fgColor rgb="FFC0C0C0"/>
        <bgColor rgb="FFC0C0C0"/>
      </patternFill>
    </fill>
    <fill>
      <patternFill patternType="solid">
        <fgColor rgb="FF99FFCC"/>
        <bgColor rgb="FF99FFCC"/>
      </patternFill>
    </fill>
    <fill>
      <patternFill patternType="solid">
        <fgColor rgb="FFFFFF00"/>
        <bgColor rgb="FFFFFF00"/>
      </patternFill>
    </fill>
    <fill>
      <patternFill patternType="solid">
        <fgColor rgb="FF00FFFF"/>
        <bgColor rgb="FF00FFFF"/>
      </patternFill>
    </fill>
    <fill>
      <patternFill patternType="solid">
        <fgColor rgb="FF000000"/>
        <bgColor rgb="FF000000"/>
      </patternFill>
    </fill>
    <fill>
      <patternFill patternType="solid">
        <fgColor rgb="FF99CCFF"/>
        <bgColor rgb="FF99CCFF"/>
      </patternFill>
    </fill>
  </fills>
  <borders count="207"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ck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hair">
        <color rgb="FF000000"/>
      </top>
      <bottom style="hair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hair">
        <color rgb="FF000000"/>
      </top>
      <bottom style="hair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1569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0" fontId="7" fillId="0" borderId="5" xfId="0" applyFont="1" applyBorder="1" applyAlignment="1">
      <alignment vertical="center"/>
    </xf>
    <xf numFmtId="0" fontId="9" fillId="0" borderId="0" xfId="0" applyFont="1" applyAlignment="1">
      <alignment vertical="center"/>
    </xf>
    <xf numFmtId="164" fontId="2" fillId="0" borderId="0" xfId="0" applyNumberFormat="1" applyFont="1"/>
    <xf numFmtId="0" fontId="2" fillId="0" borderId="0" xfId="0" applyFont="1" applyAlignment="1">
      <alignment horizontal="center" vertical="center"/>
    </xf>
    <xf numFmtId="2" fontId="2" fillId="0" borderId="0" xfId="0" applyNumberFormat="1" applyFont="1"/>
    <xf numFmtId="2" fontId="2" fillId="0" borderId="0" xfId="0" applyNumberFormat="1" applyFont="1" applyAlignment="1">
      <alignment horizontal="center" vertical="center"/>
    </xf>
    <xf numFmtId="165" fontId="8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/>
    </xf>
    <xf numFmtId="165" fontId="8" fillId="5" borderId="0" xfId="0" applyNumberFormat="1" applyFont="1" applyFill="1" applyAlignment="1">
      <alignment horizontal="center"/>
    </xf>
    <xf numFmtId="0" fontId="11" fillId="0" borderId="0" xfId="0" applyFont="1" applyAlignment="1">
      <alignment horizontal="center"/>
    </xf>
    <xf numFmtId="2" fontId="6" fillId="7" borderId="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165" fontId="8" fillId="9" borderId="0" xfId="0" applyNumberFormat="1" applyFont="1" applyFill="1" applyAlignment="1">
      <alignment horizontal="center"/>
    </xf>
    <xf numFmtId="1" fontId="9" fillId="0" borderId="0" xfId="0" applyNumberFormat="1" applyFont="1" applyAlignment="1">
      <alignment vertical="center"/>
    </xf>
    <xf numFmtId="164" fontId="9" fillId="0" borderId="0" xfId="0" applyNumberFormat="1" applyFont="1" applyAlignment="1">
      <alignment vertical="center"/>
    </xf>
    <xf numFmtId="164" fontId="12" fillId="0" borderId="0" xfId="0" applyNumberFormat="1" applyFont="1"/>
    <xf numFmtId="2" fontId="12" fillId="0" borderId="0" xfId="0" applyNumberFormat="1" applyFont="1"/>
    <xf numFmtId="0" fontId="12" fillId="0" borderId="0" xfId="0" applyFont="1"/>
    <xf numFmtId="0" fontId="12" fillId="0" borderId="0" xfId="0" applyFont="1" applyAlignment="1">
      <alignment horizontal="center" vertical="center"/>
    </xf>
    <xf numFmtId="0" fontId="15" fillId="2" borderId="0" xfId="0" applyFont="1" applyFill="1" applyAlignment="1">
      <alignment horizontal="center"/>
    </xf>
    <xf numFmtId="0" fontId="16" fillId="2" borderId="0" xfId="0" applyFont="1" applyFill="1" applyAlignment="1"/>
    <xf numFmtId="2" fontId="16" fillId="2" borderId="0" xfId="0" applyNumberFormat="1" applyFont="1" applyFill="1" applyAlignment="1"/>
    <xf numFmtId="164" fontId="16" fillId="2" borderId="0" xfId="0" applyNumberFormat="1" applyFont="1" applyFill="1" applyAlignment="1"/>
    <xf numFmtId="1" fontId="16" fillId="2" borderId="0" xfId="0" applyNumberFormat="1" applyFont="1" applyFill="1" applyAlignment="1"/>
    <xf numFmtId="166" fontId="16" fillId="2" borderId="0" xfId="0" applyNumberFormat="1" applyFont="1" applyFill="1" applyAlignment="1"/>
    <xf numFmtId="0" fontId="13" fillId="4" borderId="3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/>
    </xf>
    <xf numFmtId="2" fontId="13" fillId="4" borderId="3" xfId="0" applyNumberFormat="1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 wrapText="1"/>
    </xf>
    <xf numFmtId="0" fontId="20" fillId="2" borderId="3" xfId="0" applyFont="1" applyFill="1" applyBorder="1"/>
    <xf numFmtId="164" fontId="13" fillId="4" borderId="3" xfId="0" applyNumberFormat="1" applyFont="1" applyFill="1" applyBorder="1" applyAlignment="1">
      <alignment horizontal="center" vertical="center"/>
    </xf>
    <xf numFmtId="1" fontId="13" fillId="4" borderId="3" xfId="0" applyNumberFormat="1" applyFont="1" applyFill="1" applyBorder="1" applyAlignment="1">
      <alignment horizontal="center" vertical="center"/>
    </xf>
    <xf numFmtId="166" fontId="13" fillId="4" borderId="3" xfId="0" applyNumberFormat="1" applyFont="1" applyFill="1" applyBorder="1" applyAlignment="1">
      <alignment horizontal="center" vertical="center"/>
    </xf>
    <xf numFmtId="2" fontId="13" fillId="4" borderId="3" xfId="0" applyNumberFormat="1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2" fontId="23" fillId="2" borderId="3" xfId="0" applyNumberFormat="1" applyFont="1" applyFill="1" applyBorder="1" applyAlignment="1">
      <alignment horizontal="center" vertical="center"/>
    </xf>
    <xf numFmtId="2" fontId="13" fillId="2" borderId="3" xfId="0" applyNumberFormat="1" applyFont="1" applyFill="1" applyBorder="1" applyAlignment="1">
      <alignment horizontal="center" vertical="center"/>
    </xf>
    <xf numFmtId="164" fontId="13" fillId="2" borderId="3" xfId="0" applyNumberFormat="1" applyFont="1" applyFill="1" applyBorder="1" applyAlignment="1">
      <alignment horizontal="center" vertical="center"/>
    </xf>
    <xf numFmtId="1" fontId="13" fillId="2" borderId="3" xfId="0" applyNumberFormat="1" applyFont="1" applyFill="1" applyBorder="1" applyAlignment="1">
      <alignment horizontal="center" vertical="center"/>
    </xf>
    <xf numFmtId="1" fontId="19" fillId="2" borderId="3" xfId="0" applyNumberFormat="1" applyFont="1" applyFill="1" applyBorder="1" applyAlignment="1">
      <alignment horizontal="center" vertical="center"/>
    </xf>
    <xf numFmtId="1" fontId="24" fillId="2" borderId="3" xfId="0" applyNumberFormat="1" applyFont="1" applyFill="1" applyBorder="1" applyAlignment="1">
      <alignment horizontal="center" vertical="center"/>
    </xf>
    <xf numFmtId="2" fontId="19" fillId="2" borderId="3" xfId="0" applyNumberFormat="1" applyFont="1" applyFill="1" applyBorder="1" applyAlignment="1">
      <alignment horizontal="center" vertical="center"/>
    </xf>
    <xf numFmtId="2" fontId="22" fillId="2" borderId="3" xfId="0" applyNumberFormat="1" applyFont="1" applyFill="1" applyBorder="1" applyAlignment="1">
      <alignment horizontal="center" vertical="center"/>
    </xf>
    <xf numFmtId="167" fontId="25" fillId="13" borderId="37" xfId="0" applyNumberFormat="1" applyFont="1" applyFill="1" applyBorder="1" applyAlignment="1">
      <alignment horizontal="center" vertical="center"/>
    </xf>
    <xf numFmtId="166" fontId="13" fillId="2" borderId="3" xfId="0" applyNumberFormat="1" applyFont="1" applyFill="1" applyBorder="1" applyAlignment="1">
      <alignment horizontal="center" vertical="center"/>
    </xf>
    <xf numFmtId="0" fontId="19" fillId="4" borderId="3" xfId="0" applyFont="1" applyFill="1" applyBorder="1" applyAlignment="1">
      <alignment horizontal="center" vertical="center"/>
    </xf>
    <xf numFmtId="2" fontId="26" fillId="4" borderId="3" xfId="0" applyNumberFormat="1" applyFont="1" applyFill="1" applyBorder="1" applyAlignment="1">
      <alignment horizontal="center" vertical="center"/>
    </xf>
    <xf numFmtId="1" fontId="26" fillId="4" borderId="3" xfId="0" applyNumberFormat="1" applyFont="1" applyFill="1" applyBorder="1" applyAlignment="1">
      <alignment horizontal="center" vertical="center"/>
    </xf>
    <xf numFmtId="1" fontId="27" fillId="4" borderId="3" xfId="0" applyNumberFormat="1" applyFont="1" applyFill="1" applyBorder="1" applyAlignment="1">
      <alignment horizontal="center" vertical="center" wrapText="1"/>
    </xf>
    <xf numFmtId="1" fontId="22" fillId="4" borderId="3" xfId="0" applyNumberFormat="1" applyFont="1" applyFill="1" applyBorder="1" applyAlignment="1">
      <alignment horizontal="center" vertical="center" wrapText="1"/>
    </xf>
    <xf numFmtId="0" fontId="19" fillId="4" borderId="10" xfId="0" applyFont="1" applyFill="1" applyBorder="1" applyAlignment="1">
      <alignment horizontal="center" vertical="center"/>
    </xf>
    <xf numFmtId="2" fontId="19" fillId="4" borderId="3" xfId="0" applyNumberFormat="1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20" fillId="4" borderId="0" xfId="0" applyFont="1" applyFill="1" applyAlignment="1">
      <alignment horizontal="center" vertical="center"/>
    </xf>
    <xf numFmtId="0" fontId="20" fillId="4" borderId="0" xfId="0" applyFont="1" applyFill="1" applyAlignment="1">
      <alignment horizontal="center" vertical="center"/>
    </xf>
    <xf numFmtId="0" fontId="20" fillId="4" borderId="3" xfId="0" applyFont="1" applyFill="1" applyBorder="1" applyAlignment="1">
      <alignment horizontal="center" vertical="center"/>
    </xf>
    <xf numFmtId="0" fontId="20" fillId="4" borderId="2" xfId="0" applyFont="1" applyFill="1" applyBorder="1" applyAlignment="1">
      <alignment horizontal="center" vertical="center"/>
    </xf>
    <xf numFmtId="0" fontId="20" fillId="4" borderId="0" xfId="0" applyFont="1" applyFill="1"/>
    <xf numFmtId="171" fontId="31" fillId="4" borderId="45" xfId="0" applyNumberFormat="1" applyFont="1" applyFill="1" applyBorder="1" applyAlignment="1">
      <alignment horizontal="center" vertical="center"/>
    </xf>
    <xf numFmtId="172" fontId="32" fillId="0" borderId="7" xfId="0" applyNumberFormat="1" applyFont="1" applyBorder="1" applyAlignment="1">
      <alignment horizontal="center" vertical="center"/>
    </xf>
    <xf numFmtId="2" fontId="32" fillId="0" borderId="8" xfId="0" applyNumberFormat="1" applyFont="1" applyBorder="1" applyAlignment="1">
      <alignment horizontal="center" vertical="center"/>
    </xf>
    <xf numFmtId="169" fontId="32" fillId="0" borderId="46" xfId="0" applyNumberFormat="1" applyFont="1" applyBorder="1" applyAlignment="1">
      <alignment horizontal="center" vertical="center"/>
    </xf>
    <xf numFmtId="168" fontId="32" fillId="0" borderId="47" xfId="0" applyNumberFormat="1" applyFont="1" applyBorder="1" applyAlignment="1">
      <alignment horizontal="center" vertical="center"/>
    </xf>
    <xf numFmtId="172" fontId="32" fillId="0" borderId="47" xfId="0" applyNumberFormat="1" applyFont="1" applyBorder="1" applyAlignment="1">
      <alignment horizontal="center" vertical="center"/>
    </xf>
    <xf numFmtId="164" fontId="32" fillId="0" borderId="47" xfId="0" applyNumberFormat="1" applyFont="1" applyBorder="1" applyAlignment="1">
      <alignment horizontal="center" vertical="center"/>
    </xf>
    <xf numFmtId="2" fontId="32" fillId="0" borderId="48" xfId="0" applyNumberFormat="1" applyFont="1" applyBorder="1" applyAlignment="1">
      <alignment horizontal="center" vertical="center"/>
    </xf>
    <xf numFmtId="1" fontId="32" fillId="0" borderId="46" xfId="0" applyNumberFormat="1" applyFont="1" applyBorder="1" applyAlignment="1">
      <alignment horizontal="center" vertical="center"/>
    </xf>
    <xf numFmtId="1" fontId="32" fillId="0" borderId="47" xfId="0" applyNumberFormat="1" applyFont="1" applyBorder="1" applyAlignment="1">
      <alignment horizontal="center" vertical="center"/>
    </xf>
    <xf numFmtId="1" fontId="32" fillId="0" borderId="21" xfId="0" applyNumberFormat="1" applyFont="1" applyBorder="1" applyAlignment="1">
      <alignment horizontal="center" vertical="center"/>
    </xf>
    <xf numFmtId="172" fontId="32" fillId="0" borderId="21" xfId="0" applyNumberFormat="1" applyFont="1" applyBorder="1" applyAlignment="1">
      <alignment horizontal="center" vertical="center"/>
    </xf>
    <xf numFmtId="2" fontId="32" fillId="0" borderId="6" xfId="0" applyNumberFormat="1" applyFont="1" applyBorder="1" applyAlignment="1">
      <alignment horizontal="center" vertical="center"/>
    </xf>
    <xf numFmtId="1" fontId="32" fillId="0" borderId="46" xfId="0" applyNumberFormat="1" applyFont="1" applyBorder="1" applyAlignment="1">
      <alignment horizontal="center" vertical="center"/>
    </xf>
    <xf numFmtId="2" fontId="32" fillId="0" borderId="47" xfId="0" applyNumberFormat="1" applyFont="1" applyBorder="1" applyAlignment="1">
      <alignment horizontal="center" vertical="center"/>
    </xf>
    <xf numFmtId="2" fontId="32" fillId="0" borderId="39" xfId="0" applyNumberFormat="1" applyFont="1" applyBorder="1" applyAlignment="1">
      <alignment horizontal="center" vertical="center"/>
    </xf>
    <xf numFmtId="2" fontId="32" fillId="0" borderId="17" xfId="0" applyNumberFormat="1" applyFont="1" applyBorder="1" applyAlignment="1">
      <alignment horizontal="center" vertical="center"/>
    </xf>
    <xf numFmtId="2" fontId="32" fillId="0" borderId="49" xfId="0" applyNumberFormat="1" applyFont="1" applyBorder="1" applyAlignment="1">
      <alignment horizontal="center" vertical="center"/>
    </xf>
    <xf numFmtId="2" fontId="32" fillId="0" borderId="50" xfId="0" applyNumberFormat="1" applyFont="1" applyBorder="1" applyAlignment="1">
      <alignment horizontal="center" vertical="center"/>
    </xf>
    <xf numFmtId="2" fontId="32" fillId="0" borderId="51" xfId="0" applyNumberFormat="1" applyFont="1" applyBorder="1" applyAlignment="1">
      <alignment horizontal="center" vertical="center"/>
    </xf>
    <xf numFmtId="2" fontId="32" fillId="0" borderId="7" xfId="0" applyNumberFormat="1" applyFont="1" applyBorder="1" applyAlignment="1">
      <alignment horizontal="center" vertical="center"/>
    </xf>
    <xf numFmtId="2" fontId="32" fillId="0" borderId="52" xfId="0" applyNumberFormat="1" applyFont="1" applyBorder="1" applyAlignment="1">
      <alignment horizontal="center" vertical="center"/>
    </xf>
    <xf numFmtId="2" fontId="32" fillId="0" borderId="53" xfId="0" applyNumberFormat="1" applyFont="1" applyBorder="1" applyAlignment="1">
      <alignment horizontal="center" vertical="center"/>
    </xf>
    <xf numFmtId="2" fontId="32" fillId="0" borderId="6" xfId="0" applyNumberFormat="1" applyFont="1" applyBorder="1" applyAlignment="1">
      <alignment horizontal="center" vertical="center"/>
    </xf>
    <xf numFmtId="2" fontId="32" fillId="0" borderId="54" xfId="0" applyNumberFormat="1" applyFont="1" applyBorder="1" applyAlignment="1">
      <alignment horizontal="center" vertical="center"/>
    </xf>
    <xf numFmtId="2" fontId="32" fillId="0" borderId="51" xfId="0" applyNumberFormat="1" applyFont="1" applyBorder="1" applyAlignment="1">
      <alignment horizontal="center" vertical="center"/>
    </xf>
    <xf numFmtId="2" fontId="32" fillId="0" borderId="46" xfId="0" applyNumberFormat="1" applyFont="1" applyBorder="1" applyAlignment="1">
      <alignment horizontal="center" vertical="center"/>
    </xf>
    <xf numFmtId="170" fontId="32" fillId="0" borderId="47" xfId="0" applyNumberFormat="1" applyFont="1" applyBorder="1" applyAlignment="1">
      <alignment horizontal="center" vertical="center"/>
    </xf>
    <xf numFmtId="166" fontId="32" fillId="0" borderId="48" xfId="0" applyNumberFormat="1" applyFont="1" applyBorder="1" applyAlignment="1">
      <alignment horizontal="center" vertical="center"/>
    </xf>
    <xf numFmtId="166" fontId="32" fillId="0" borderId="47" xfId="0" applyNumberFormat="1" applyFont="1" applyBorder="1" applyAlignment="1">
      <alignment horizontal="center" vertical="center"/>
    </xf>
    <xf numFmtId="170" fontId="32" fillId="0" borderId="55" xfId="0" applyNumberFormat="1" applyFont="1" applyBorder="1" applyAlignment="1">
      <alignment horizontal="center" vertical="center"/>
    </xf>
    <xf numFmtId="166" fontId="32" fillId="0" borderId="56" xfId="0" applyNumberFormat="1" applyFont="1" applyBorder="1" applyAlignment="1">
      <alignment horizontal="center" vertical="center"/>
    </xf>
    <xf numFmtId="166" fontId="32" fillId="0" borderId="46" xfId="0" applyNumberFormat="1" applyFont="1" applyBorder="1" applyAlignment="1">
      <alignment horizontal="center" vertical="center"/>
    </xf>
    <xf numFmtId="166" fontId="32" fillId="0" borderId="55" xfId="0" applyNumberFormat="1" applyFont="1" applyBorder="1" applyAlignment="1">
      <alignment horizontal="center" vertical="center"/>
    </xf>
    <xf numFmtId="166" fontId="32" fillId="0" borderId="57" xfId="0" applyNumberFormat="1" applyFont="1" applyBorder="1" applyAlignment="1">
      <alignment horizontal="center" vertical="center"/>
    </xf>
    <xf numFmtId="169" fontId="32" fillId="0" borderId="47" xfId="0" applyNumberFormat="1" applyFont="1" applyBorder="1" applyAlignment="1">
      <alignment horizontal="center" vertical="center"/>
    </xf>
    <xf numFmtId="164" fontId="32" fillId="0" borderId="48" xfId="0" applyNumberFormat="1" applyFont="1" applyBorder="1" applyAlignment="1">
      <alignment horizontal="center" vertical="center"/>
    </xf>
    <xf numFmtId="164" fontId="33" fillId="0" borderId="46" xfId="0" applyNumberFormat="1" applyFont="1" applyBorder="1" applyAlignment="1">
      <alignment horizontal="center" vertical="center"/>
    </xf>
    <xf numFmtId="164" fontId="32" fillId="0" borderId="57" xfId="0" applyNumberFormat="1" applyFont="1" applyBorder="1" applyAlignment="1">
      <alignment horizontal="center" vertical="center"/>
    </xf>
    <xf numFmtId="2" fontId="32" fillId="0" borderId="39" xfId="0" applyNumberFormat="1" applyFont="1" applyBorder="1" applyAlignment="1">
      <alignment horizontal="center" vertical="center"/>
    </xf>
    <xf numFmtId="164" fontId="32" fillId="0" borderId="18" xfId="0" applyNumberFormat="1" applyFont="1" applyBorder="1" applyAlignment="1">
      <alignment horizontal="center" vertical="center"/>
    </xf>
    <xf numFmtId="172" fontId="32" fillId="0" borderId="39" xfId="0" applyNumberFormat="1" applyFont="1" applyBorder="1" applyAlignment="1">
      <alignment horizontal="center" vertical="center"/>
    </xf>
    <xf numFmtId="169" fontId="32" fillId="0" borderId="39" xfId="0" applyNumberFormat="1" applyFont="1" applyBorder="1" applyAlignment="1">
      <alignment horizontal="center" vertical="center"/>
    </xf>
    <xf numFmtId="2" fontId="32" fillId="0" borderId="18" xfId="0" applyNumberFormat="1" applyFont="1" applyBorder="1" applyAlignment="1">
      <alignment horizontal="center" vertical="center"/>
    </xf>
    <xf numFmtId="2" fontId="32" fillId="0" borderId="21" xfId="0" applyNumberFormat="1" applyFont="1" applyBorder="1" applyAlignment="1">
      <alignment horizontal="center" vertical="center"/>
    </xf>
    <xf numFmtId="166" fontId="32" fillId="0" borderId="21" xfId="0" applyNumberFormat="1" applyFont="1" applyBorder="1" applyAlignment="1">
      <alignment horizontal="center" vertical="center"/>
    </xf>
    <xf numFmtId="166" fontId="32" fillId="0" borderId="22" xfId="0" applyNumberFormat="1" applyFont="1" applyBorder="1" applyAlignment="1">
      <alignment horizontal="center" vertical="center"/>
    </xf>
    <xf numFmtId="2" fontId="32" fillId="0" borderId="18" xfId="0" applyNumberFormat="1" applyFont="1" applyBorder="1" applyAlignment="1">
      <alignment horizontal="center" vertical="center"/>
    </xf>
    <xf numFmtId="172" fontId="32" fillId="0" borderId="39" xfId="0" applyNumberFormat="1" applyFont="1" applyBorder="1" applyAlignment="1">
      <alignment horizontal="center" vertical="center" wrapText="1"/>
    </xf>
    <xf numFmtId="2" fontId="32" fillId="0" borderId="18" xfId="0" applyNumberFormat="1" applyFont="1" applyBorder="1" applyAlignment="1">
      <alignment horizontal="center" vertical="center" wrapText="1"/>
    </xf>
    <xf numFmtId="2" fontId="32" fillId="0" borderId="39" xfId="0" applyNumberFormat="1" applyFont="1" applyBorder="1" applyAlignment="1">
      <alignment horizontal="center" vertical="center" wrapText="1"/>
    </xf>
    <xf numFmtId="164" fontId="32" fillId="0" borderId="58" xfId="0" applyNumberFormat="1" applyFont="1" applyBorder="1" applyAlignment="1">
      <alignment horizontal="center" vertical="center" wrapText="1"/>
    </xf>
    <xf numFmtId="171" fontId="31" fillId="0" borderId="45" xfId="0" applyNumberFormat="1" applyFont="1" applyBorder="1" applyAlignment="1">
      <alignment horizontal="center" vertical="center"/>
    </xf>
    <xf numFmtId="172" fontId="32" fillId="0" borderId="49" xfId="0" applyNumberFormat="1" applyFont="1" applyBorder="1" applyAlignment="1">
      <alignment horizontal="center" vertical="center"/>
    </xf>
    <xf numFmtId="2" fontId="32" fillId="0" borderId="59" xfId="0" applyNumberFormat="1" applyFont="1" applyBorder="1" applyAlignment="1">
      <alignment horizontal="center" vertical="center"/>
    </xf>
    <xf numFmtId="169" fontId="32" fillId="0" borderId="60" xfId="0" applyNumberFormat="1" applyFont="1" applyBorder="1" applyAlignment="1">
      <alignment horizontal="center" vertical="center"/>
    </xf>
    <xf numFmtId="168" fontId="32" fillId="0" borderId="21" xfId="0" applyNumberFormat="1" applyFont="1" applyBorder="1" applyAlignment="1">
      <alignment horizontal="center" vertical="center"/>
    </xf>
    <xf numFmtId="172" fontId="32" fillId="0" borderId="21" xfId="0" applyNumberFormat="1" applyFont="1" applyBorder="1" applyAlignment="1">
      <alignment horizontal="center" vertical="center"/>
    </xf>
    <xf numFmtId="164" fontId="32" fillId="0" borderId="21" xfId="0" applyNumberFormat="1" applyFont="1" applyBorder="1" applyAlignment="1">
      <alignment horizontal="center" vertical="center"/>
    </xf>
    <xf numFmtId="2" fontId="32" fillId="0" borderId="61" xfId="0" applyNumberFormat="1" applyFont="1" applyBorder="1" applyAlignment="1">
      <alignment horizontal="center" vertical="center"/>
    </xf>
    <xf numFmtId="1" fontId="32" fillId="0" borderId="60" xfId="0" applyNumberFormat="1" applyFont="1" applyBorder="1" applyAlignment="1">
      <alignment horizontal="center" vertical="center"/>
    </xf>
    <xf numFmtId="1" fontId="32" fillId="0" borderId="21" xfId="0" applyNumberFormat="1" applyFont="1" applyBorder="1" applyAlignment="1">
      <alignment horizontal="center" vertical="center"/>
    </xf>
    <xf numFmtId="2" fontId="32" fillId="0" borderId="21" xfId="0" applyNumberFormat="1" applyFont="1" applyBorder="1" applyAlignment="1">
      <alignment horizontal="center" vertical="center"/>
    </xf>
    <xf numFmtId="2" fontId="32" fillId="0" borderId="49" xfId="0" applyNumberFormat="1" applyFont="1" applyBorder="1" applyAlignment="1">
      <alignment horizontal="center" vertical="center"/>
    </xf>
    <xf numFmtId="2" fontId="32" fillId="0" borderId="6" xfId="0" applyNumberFormat="1" applyFont="1" applyBorder="1" applyAlignment="1">
      <alignment horizontal="center" vertical="center"/>
    </xf>
    <xf numFmtId="2" fontId="32" fillId="0" borderId="60" xfId="0" applyNumberFormat="1" applyFont="1" applyBorder="1" applyAlignment="1">
      <alignment horizontal="center" vertical="center"/>
    </xf>
    <xf numFmtId="170" fontId="32" fillId="0" borderId="21" xfId="0" applyNumberFormat="1" applyFont="1" applyBorder="1" applyAlignment="1">
      <alignment horizontal="center" vertical="center"/>
    </xf>
    <xf numFmtId="166" fontId="32" fillId="0" borderId="61" xfId="0" applyNumberFormat="1" applyFont="1" applyBorder="1" applyAlignment="1">
      <alignment horizontal="center" vertical="center"/>
    </xf>
    <xf numFmtId="170" fontId="32" fillId="0" borderId="54" xfId="0" applyNumberFormat="1" applyFont="1" applyBorder="1" applyAlignment="1">
      <alignment horizontal="center" vertical="center"/>
    </xf>
    <xf numFmtId="172" fontId="32" fillId="0" borderId="60" xfId="0" applyNumberFormat="1" applyFont="1" applyBorder="1" applyAlignment="1">
      <alignment horizontal="center" vertical="center"/>
    </xf>
    <xf numFmtId="2" fontId="32" fillId="0" borderId="60" xfId="0" applyNumberFormat="1" applyFont="1" applyBorder="1" applyAlignment="1">
      <alignment horizontal="center" vertical="center"/>
    </xf>
    <xf numFmtId="169" fontId="32" fillId="0" borderId="21" xfId="0" applyNumberFormat="1" applyFont="1" applyBorder="1" applyAlignment="1">
      <alignment horizontal="center" vertical="center"/>
    </xf>
    <xf numFmtId="164" fontId="32" fillId="0" borderId="61" xfId="0" applyNumberFormat="1" applyFont="1" applyBorder="1" applyAlignment="1">
      <alignment horizontal="center" vertical="center"/>
    </xf>
    <xf numFmtId="164" fontId="32" fillId="0" borderId="60" xfId="0" applyNumberFormat="1" applyFont="1" applyBorder="1" applyAlignment="1">
      <alignment horizontal="center" vertical="center"/>
    </xf>
    <xf numFmtId="2" fontId="32" fillId="0" borderId="57" xfId="0" applyNumberFormat="1" applyFont="1" applyBorder="1" applyAlignment="1">
      <alignment horizontal="center" vertical="center"/>
    </xf>
    <xf numFmtId="164" fontId="32" fillId="0" borderId="30" xfId="0" applyNumberFormat="1" applyFont="1" applyBorder="1" applyAlignment="1">
      <alignment horizontal="center" vertical="center"/>
    </xf>
    <xf numFmtId="2" fontId="32" fillId="0" borderId="30" xfId="0" applyNumberFormat="1" applyFont="1" applyBorder="1" applyAlignment="1">
      <alignment horizontal="center" vertical="center"/>
    </xf>
    <xf numFmtId="166" fontId="32" fillId="0" borderId="30" xfId="0" applyNumberFormat="1" applyFont="1" applyBorder="1" applyAlignment="1">
      <alignment horizontal="center" vertical="center"/>
    </xf>
    <xf numFmtId="2" fontId="32" fillId="0" borderId="22" xfId="0" applyNumberFormat="1" applyFont="1" applyBorder="1" applyAlignment="1">
      <alignment horizontal="center" vertical="center"/>
    </xf>
    <xf numFmtId="172" fontId="32" fillId="0" borderId="21" xfId="0" applyNumberFormat="1" applyFont="1" applyBorder="1" applyAlignment="1">
      <alignment horizontal="center" vertical="center" wrapText="1"/>
    </xf>
    <xf numFmtId="2" fontId="32" fillId="0" borderId="22" xfId="0" applyNumberFormat="1" applyFont="1" applyBorder="1" applyAlignment="1">
      <alignment horizontal="center" vertical="center" wrapText="1"/>
    </xf>
    <xf numFmtId="2" fontId="32" fillId="0" borderId="27" xfId="0" applyNumberFormat="1" applyFont="1" applyBorder="1" applyAlignment="1">
      <alignment horizontal="center" vertical="center" wrapText="1"/>
    </xf>
    <xf numFmtId="164" fontId="32" fillId="0" borderId="28" xfId="0" applyNumberFormat="1" applyFont="1" applyBorder="1" applyAlignment="1">
      <alignment horizontal="center" vertical="center" wrapText="1"/>
    </xf>
    <xf numFmtId="171" fontId="31" fillId="4" borderId="45" xfId="0" applyNumberFormat="1" applyFont="1" applyFill="1" applyBorder="1" applyAlignment="1">
      <alignment horizontal="center" vertical="center"/>
    </xf>
    <xf numFmtId="2" fontId="32" fillId="0" borderId="50" xfId="0" applyNumberFormat="1" applyFont="1" applyBorder="1" applyAlignment="1">
      <alignment horizontal="center" vertical="center"/>
    </xf>
    <xf numFmtId="170" fontId="32" fillId="0" borderId="54" xfId="0" applyNumberFormat="1" applyFont="1" applyBorder="1" applyAlignment="1">
      <alignment horizontal="center" vertical="center"/>
    </xf>
    <xf numFmtId="169" fontId="32" fillId="0" borderId="21" xfId="0" applyNumberFormat="1" applyFont="1" applyBorder="1" applyAlignment="1">
      <alignment horizontal="center" vertical="center"/>
    </xf>
    <xf numFmtId="2" fontId="32" fillId="0" borderId="22" xfId="0" applyNumberFormat="1" applyFont="1" applyBorder="1" applyAlignment="1">
      <alignment horizontal="center" vertical="center" wrapText="1"/>
    </xf>
    <xf numFmtId="172" fontId="32" fillId="0" borderId="60" xfId="0" applyNumberFormat="1" applyFont="1" applyBorder="1" applyAlignment="1">
      <alignment horizontal="center" vertical="center"/>
    </xf>
    <xf numFmtId="166" fontId="32" fillId="0" borderId="21" xfId="0" applyNumberFormat="1" applyFont="1" applyBorder="1" applyAlignment="1">
      <alignment horizontal="center" vertical="center"/>
    </xf>
    <xf numFmtId="172" fontId="32" fillId="0" borderId="33" xfId="0" applyNumberFormat="1" applyFont="1" applyBorder="1" applyAlignment="1">
      <alignment horizontal="center" vertical="center"/>
    </xf>
    <xf numFmtId="2" fontId="32" fillId="0" borderId="40" xfId="0" applyNumberFormat="1" applyFont="1" applyBorder="1" applyAlignment="1">
      <alignment horizontal="center" vertical="center"/>
    </xf>
    <xf numFmtId="169" fontId="32" fillId="0" borderId="62" xfId="0" applyNumberFormat="1" applyFont="1" applyBorder="1" applyAlignment="1">
      <alignment horizontal="center" vertical="center"/>
    </xf>
    <xf numFmtId="168" fontId="32" fillId="0" borderId="63" xfId="0" applyNumberFormat="1" applyFont="1" applyBorder="1" applyAlignment="1">
      <alignment horizontal="center" vertical="center"/>
    </xf>
    <xf numFmtId="172" fontId="32" fillId="0" borderId="63" xfId="0" applyNumberFormat="1" applyFont="1" applyBorder="1" applyAlignment="1">
      <alignment horizontal="center" vertical="center"/>
    </xf>
    <xf numFmtId="1" fontId="32" fillId="0" borderId="62" xfId="0" applyNumberFormat="1" applyFont="1" applyBorder="1" applyAlignment="1">
      <alignment horizontal="center" vertical="center"/>
    </xf>
    <xf numFmtId="1" fontId="32" fillId="0" borderId="63" xfId="0" applyNumberFormat="1" applyFont="1" applyBorder="1" applyAlignment="1">
      <alignment horizontal="center" vertical="center"/>
    </xf>
    <xf numFmtId="2" fontId="32" fillId="0" borderId="63" xfId="0" applyNumberFormat="1" applyFont="1" applyBorder="1" applyAlignment="1">
      <alignment horizontal="center" vertical="center"/>
    </xf>
    <xf numFmtId="2" fontId="32" fillId="0" borderId="63" xfId="0" applyNumberFormat="1" applyFont="1" applyBorder="1" applyAlignment="1">
      <alignment horizontal="center" vertical="center"/>
    </xf>
    <xf numFmtId="2" fontId="32" fillId="0" borderId="33" xfId="0" applyNumberFormat="1" applyFont="1" applyBorder="1" applyAlignment="1">
      <alignment horizontal="center" vertical="center"/>
    </xf>
    <xf numFmtId="2" fontId="32" fillId="0" borderId="5" xfId="0" applyNumberFormat="1" applyFont="1" applyBorder="1" applyAlignment="1">
      <alignment horizontal="center" vertical="center"/>
    </xf>
    <xf numFmtId="2" fontId="32" fillId="0" borderId="64" xfId="0" applyNumberFormat="1" applyFont="1" applyBorder="1" applyAlignment="1">
      <alignment horizontal="center" vertical="center"/>
    </xf>
    <xf numFmtId="2" fontId="32" fillId="0" borderId="0" xfId="0" applyNumberFormat="1" applyFont="1" applyAlignment="1">
      <alignment horizontal="center" vertical="center"/>
    </xf>
    <xf numFmtId="2" fontId="32" fillId="0" borderId="62" xfId="0" applyNumberFormat="1" applyFont="1" applyBorder="1" applyAlignment="1">
      <alignment horizontal="center" vertical="center"/>
    </xf>
    <xf numFmtId="170" fontId="32" fillId="0" borderId="63" xfId="0" applyNumberFormat="1" applyFont="1" applyBorder="1" applyAlignment="1">
      <alignment horizontal="center" vertical="center"/>
    </xf>
    <xf numFmtId="172" fontId="32" fillId="0" borderId="63" xfId="0" applyNumberFormat="1" applyFont="1" applyBorder="1" applyAlignment="1">
      <alignment horizontal="center" vertical="center"/>
    </xf>
    <xf numFmtId="170" fontId="32" fillId="0" borderId="65" xfId="0" applyNumberFormat="1" applyFont="1" applyBorder="1" applyAlignment="1">
      <alignment horizontal="center" vertical="center"/>
    </xf>
    <xf numFmtId="172" fontId="32" fillId="0" borderId="62" xfId="0" applyNumberFormat="1" applyFont="1" applyBorder="1" applyAlignment="1">
      <alignment horizontal="center" vertical="center"/>
    </xf>
    <xf numFmtId="2" fontId="32" fillId="0" borderId="62" xfId="0" applyNumberFormat="1" applyFont="1" applyBorder="1" applyAlignment="1">
      <alignment horizontal="center" vertical="center"/>
    </xf>
    <xf numFmtId="169" fontId="32" fillId="0" borderId="63" xfId="0" applyNumberFormat="1" applyFont="1" applyBorder="1" applyAlignment="1">
      <alignment horizontal="center" vertical="center"/>
    </xf>
    <xf numFmtId="164" fontId="32" fillId="0" borderId="62" xfId="0" applyNumberFormat="1" applyFont="1" applyBorder="1" applyAlignment="1">
      <alignment horizontal="center" vertical="center"/>
    </xf>
    <xf numFmtId="166" fontId="32" fillId="0" borderId="63" xfId="0" applyNumberFormat="1" applyFont="1" applyBorder="1" applyAlignment="1">
      <alignment horizontal="center" vertical="center"/>
    </xf>
    <xf numFmtId="172" fontId="32" fillId="0" borderId="63" xfId="0" applyNumberFormat="1" applyFont="1" applyBorder="1" applyAlignment="1">
      <alignment horizontal="center" vertical="center" wrapText="1"/>
    </xf>
    <xf numFmtId="2" fontId="32" fillId="0" borderId="43" xfId="0" applyNumberFormat="1" applyFont="1" applyBorder="1" applyAlignment="1">
      <alignment horizontal="center" vertical="center" wrapText="1"/>
    </xf>
    <xf numFmtId="172" fontId="32" fillId="0" borderId="9" xfId="0" applyNumberFormat="1" applyFont="1" applyBorder="1" applyAlignment="1">
      <alignment horizontal="center" vertical="center"/>
    </xf>
    <xf numFmtId="2" fontId="32" fillId="0" borderId="10" xfId="0" applyNumberFormat="1" applyFont="1" applyBorder="1" applyAlignment="1">
      <alignment horizontal="center" vertical="center"/>
    </xf>
    <xf numFmtId="169" fontId="32" fillId="0" borderId="67" xfId="0" applyNumberFormat="1" applyFont="1" applyBorder="1" applyAlignment="1">
      <alignment horizontal="center" vertical="center"/>
    </xf>
    <xf numFmtId="168" fontId="32" fillId="0" borderId="27" xfId="0" applyNumberFormat="1" applyFont="1" applyBorder="1" applyAlignment="1">
      <alignment horizontal="center" vertical="center"/>
    </xf>
    <xf numFmtId="172" fontId="32" fillId="0" borderId="27" xfId="0" applyNumberFormat="1" applyFont="1" applyBorder="1" applyAlignment="1">
      <alignment horizontal="center" vertical="center"/>
    </xf>
    <xf numFmtId="1" fontId="32" fillId="0" borderId="67" xfId="0" applyNumberFormat="1" applyFont="1" applyBorder="1" applyAlignment="1">
      <alignment horizontal="center" vertical="center"/>
    </xf>
    <xf numFmtId="1" fontId="32" fillId="0" borderId="27" xfId="0" applyNumberFormat="1" applyFont="1" applyBorder="1" applyAlignment="1">
      <alignment horizontal="center" vertical="center"/>
    </xf>
    <xf numFmtId="2" fontId="32" fillId="0" borderId="27" xfId="0" applyNumberFormat="1" applyFont="1" applyBorder="1" applyAlignment="1">
      <alignment horizontal="center" vertical="center"/>
    </xf>
    <xf numFmtId="2" fontId="32" fillId="0" borderId="27" xfId="0" applyNumberFormat="1" applyFont="1" applyBorder="1" applyAlignment="1">
      <alignment horizontal="center" vertical="center"/>
    </xf>
    <xf numFmtId="2" fontId="32" fillId="0" borderId="67" xfId="0" applyNumberFormat="1" applyFont="1" applyBorder="1" applyAlignment="1">
      <alignment horizontal="center" vertical="center"/>
    </xf>
    <xf numFmtId="170" fontId="32" fillId="0" borderId="27" xfId="0" applyNumberFormat="1" applyFont="1" applyBorder="1" applyAlignment="1">
      <alignment horizontal="center" vertical="center"/>
    </xf>
    <xf numFmtId="172" fontId="32" fillId="0" borderId="67" xfId="0" applyNumberFormat="1" applyFont="1" applyBorder="1" applyAlignment="1">
      <alignment horizontal="center" vertical="center"/>
    </xf>
    <xf numFmtId="2" fontId="32" fillId="0" borderId="67" xfId="0" applyNumberFormat="1" applyFont="1" applyBorder="1" applyAlignment="1">
      <alignment horizontal="center" vertical="center"/>
    </xf>
    <xf numFmtId="169" fontId="32" fillId="0" borderId="27" xfId="0" applyNumberFormat="1" applyFont="1" applyBorder="1" applyAlignment="1">
      <alignment horizontal="center" vertical="center"/>
    </xf>
    <xf numFmtId="164" fontId="32" fillId="0" borderId="67" xfId="0" applyNumberFormat="1" applyFont="1" applyBorder="1" applyAlignment="1">
      <alignment horizontal="center" vertical="center"/>
    </xf>
    <xf numFmtId="172" fontId="32" fillId="0" borderId="27" xfId="0" applyNumberFormat="1" applyFont="1" applyBorder="1" applyAlignment="1">
      <alignment horizontal="center" vertical="center"/>
    </xf>
    <xf numFmtId="166" fontId="32" fillId="0" borderId="27" xfId="0" applyNumberFormat="1" applyFont="1" applyBorder="1" applyAlignment="1">
      <alignment horizontal="center" vertical="center"/>
    </xf>
    <xf numFmtId="172" fontId="32" fillId="0" borderId="27" xfId="0" applyNumberFormat="1" applyFont="1" applyBorder="1" applyAlignment="1">
      <alignment horizontal="center" vertical="center" wrapText="1"/>
    </xf>
    <xf numFmtId="2" fontId="32" fillId="0" borderId="30" xfId="0" applyNumberFormat="1" applyFont="1" applyBorder="1" applyAlignment="1">
      <alignment horizontal="center" vertical="center" wrapText="1"/>
    </xf>
    <xf numFmtId="166" fontId="36" fillId="14" borderId="71" xfId="0" applyNumberFormat="1" applyFont="1" applyFill="1" applyBorder="1" applyAlignment="1">
      <alignment horizontal="center" vertical="center"/>
    </xf>
    <xf numFmtId="164" fontId="36" fillId="14" borderId="56" xfId="0" applyNumberFormat="1" applyFont="1" applyFill="1" applyBorder="1" applyAlignment="1">
      <alignment horizontal="center" vertical="center"/>
    </xf>
    <xf numFmtId="164" fontId="36" fillId="14" borderId="28" xfId="0" applyNumberFormat="1" applyFont="1" applyFill="1" applyBorder="1" applyAlignment="1">
      <alignment horizontal="center" vertical="center"/>
    </xf>
    <xf numFmtId="2" fontId="36" fillId="14" borderId="29" xfId="0" applyNumberFormat="1" applyFont="1" applyFill="1" applyBorder="1" applyAlignment="1">
      <alignment horizontal="center" vertical="center"/>
    </xf>
    <xf numFmtId="2" fontId="36" fillId="14" borderId="28" xfId="0" applyNumberFormat="1" applyFont="1" applyFill="1" applyBorder="1" applyAlignment="1">
      <alignment horizontal="center" vertical="center"/>
    </xf>
    <xf numFmtId="172" fontId="32" fillId="0" borderId="49" xfId="0" applyNumberFormat="1" applyFont="1" applyBorder="1" applyAlignment="1">
      <alignment horizontal="center" vertical="center"/>
    </xf>
    <xf numFmtId="2" fontId="32" fillId="0" borderId="59" xfId="0" applyNumberFormat="1" applyFont="1" applyBorder="1" applyAlignment="1">
      <alignment horizontal="center" vertical="center"/>
    </xf>
    <xf numFmtId="164" fontId="36" fillId="14" borderId="71" xfId="0" applyNumberFormat="1" applyFont="1" applyFill="1" applyBorder="1" applyAlignment="1">
      <alignment horizontal="center" vertical="center"/>
    </xf>
    <xf numFmtId="169" fontId="32" fillId="0" borderId="60" xfId="0" applyNumberFormat="1" applyFont="1" applyBorder="1" applyAlignment="1">
      <alignment horizontal="center" vertical="center"/>
    </xf>
    <xf numFmtId="168" fontId="32" fillId="0" borderId="21" xfId="0" applyNumberFormat="1" applyFont="1" applyBorder="1" applyAlignment="1">
      <alignment horizontal="center" vertical="center"/>
    </xf>
    <xf numFmtId="164" fontId="36" fillId="14" borderId="27" xfId="0" applyNumberFormat="1" applyFont="1" applyFill="1" applyBorder="1" applyAlignment="1">
      <alignment horizontal="center" vertical="center"/>
    </xf>
    <xf numFmtId="1" fontId="32" fillId="0" borderId="60" xfId="0" applyNumberFormat="1" applyFont="1" applyBorder="1" applyAlignment="1">
      <alignment horizontal="center" vertical="center"/>
    </xf>
    <xf numFmtId="164" fontId="36" fillId="14" borderId="29" xfId="0" applyNumberFormat="1" applyFont="1" applyFill="1" applyBorder="1" applyAlignment="1">
      <alignment horizontal="center" vertical="center"/>
    </xf>
    <xf numFmtId="170" fontId="32" fillId="0" borderId="21" xfId="0" applyNumberFormat="1" applyFont="1" applyBorder="1" applyAlignment="1">
      <alignment horizontal="center" vertical="center"/>
    </xf>
    <xf numFmtId="2" fontId="6" fillId="10" borderId="4" xfId="0" applyNumberFormat="1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7" fillId="0" borderId="5" xfId="0" applyFont="1" applyBorder="1" applyAlignment="1">
      <alignment vertical="center"/>
    </xf>
    <xf numFmtId="1" fontId="3" fillId="0" borderId="0" xfId="0" applyNumberFormat="1" applyFont="1" applyAlignment="1">
      <alignment horizontal="center" vertical="center"/>
    </xf>
    <xf numFmtId="0" fontId="6" fillId="0" borderId="0" xfId="0" applyFont="1"/>
    <xf numFmtId="0" fontId="15" fillId="9" borderId="82" xfId="0" applyFont="1" applyFill="1" applyBorder="1" applyAlignment="1">
      <alignment horizontal="center"/>
    </xf>
    <xf numFmtId="0" fontId="16" fillId="9" borderId="83" xfId="0" applyFont="1" applyFill="1" applyBorder="1" applyAlignment="1"/>
    <xf numFmtId="2" fontId="16" fillId="9" borderId="83" xfId="0" applyNumberFormat="1" applyFont="1" applyFill="1" applyBorder="1" applyAlignment="1"/>
    <xf numFmtId="1" fontId="16" fillId="9" borderId="83" xfId="0" applyNumberFormat="1" applyFont="1" applyFill="1" applyBorder="1" applyAlignment="1"/>
    <xf numFmtId="164" fontId="16" fillId="9" borderId="83" xfId="0" applyNumberFormat="1" applyFont="1" applyFill="1" applyBorder="1" applyAlignment="1"/>
    <xf numFmtId="166" fontId="16" fillId="9" borderId="83" xfId="0" applyNumberFormat="1" applyFont="1" applyFill="1" applyBorder="1" applyAlignment="1"/>
    <xf numFmtId="2" fontId="16" fillId="9" borderId="84" xfId="0" applyNumberFormat="1" applyFont="1" applyFill="1" applyBorder="1" applyAlignment="1"/>
    <xf numFmtId="0" fontId="16" fillId="9" borderId="84" xfId="0" applyFont="1" applyFill="1" applyBorder="1" applyAlignment="1"/>
    <xf numFmtId="0" fontId="13" fillId="2" borderId="85" xfId="0" applyFont="1" applyFill="1" applyBorder="1" applyAlignment="1">
      <alignment horizontal="center" vertical="center"/>
    </xf>
    <xf numFmtId="0" fontId="13" fillId="2" borderId="86" xfId="0" applyFont="1" applyFill="1" applyBorder="1" applyAlignment="1">
      <alignment horizontal="center" vertical="center"/>
    </xf>
    <xf numFmtId="2" fontId="13" fillId="2" borderId="86" xfId="0" applyNumberFormat="1" applyFont="1" applyFill="1" applyBorder="1" applyAlignment="1">
      <alignment horizontal="center" vertical="center"/>
    </xf>
    <xf numFmtId="1" fontId="37" fillId="2" borderId="87" xfId="0" applyNumberFormat="1" applyFont="1" applyFill="1" applyBorder="1" applyAlignment="1">
      <alignment horizontal="center" vertical="center"/>
    </xf>
    <xf numFmtId="2" fontId="38" fillId="2" borderId="16" xfId="0" applyNumberFormat="1" applyFont="1" applyFill="1" applyBorder="1" applyAlignment="1">
      <alignment horizontal="center" vertical="center"/>
    </xf>
    <xf numFmtId="0" fontId="4" fillId="19" borderId="87" xfId="0" applyFont="1" applyFill="1" applyBorder="1" applyAlignment="1">
      <alignment horizontal="center" vertical="center"/>
    </xf>
    <xf numFmtId="0" fontId="39" fillId="19" borderId="87" xfId="0" applyFont="1" applyFill="1" applyBorder="1"/>
    <xf numFmtId="0" fontId="39" fillId="19" borderId="86" xfId="0" applyFont="1" applyFill="1" applyBorder="1"/>
    <xf numFmtId="0" fontId="13" fillId="2" borderId="85" xfId="0" applyFont="1" applyFill="1" applyBorder="1" applyAlignment="1">
      <alignment horizontal="center" vertical="center"/>
    </xf>
    <xf numFmtId="2" fontId="37" fillId="2" borderId="86" xfId="0" applyNumberFormat="1" applyFont="1" applyFill="1" applyBorder="1" applyAlignment="1">
      <alignment horizontal="center" vertical="center"/>
    </xf>
    <xf numFmtId="2" fontId="38" fillId="2" borderId="86" xfId="0" applyNumberFormat="1" applyFont="1" applyFill="1" applyBorder="1" applyAlignment="1">
      <alignment horizontal="center" vertical="center"/>
    </xf>
    <xf numFmtId="1" fontId="38" fillId="2" borderId="86" xfId="0" applyNumberFormat="1" applyFont="1" applyFill="1" applyBorder="1" applyAlignment="1">
      <alignment horizontal="center" vertical="center"/>
    </xf>
    <xf numFmtId="164" fontId="13" fillId="2" borderId="86" xfId="0" applyNumberFormat="1" applyFont="1" applyFill="1" applyBorder="1" applyAlignment="1">
      <alignment horizontal="center" vertical="center"/>
    </xf>
    <xf numFmtId="166" fontId="38" fillId="2" borderId="86" xfId="0" applyNumberFormat="1" applyFont="1" applyFill="1" applyBorder="1" applyAlignment="1">
      <alignment horizontal="center" vertical="center"/>
    </xf>
    <xf numFmtId="166" fontId="38" fillId="2" borderId="86" xfId="0" applyNumberFormat="1" applyFont="1" applyFill="1" applyBorder="1" applyAlignment="1">
      <alignment horizontal="center" vertical="center"/>
    </xf>
    <xf numFmtId="166" fontId="38" fillId="2" borderId="89" xfId="0" applyNumberFormat="1" applyFont="1" applyFill="1" applyBorder="1" applyAlignment="1">
      <alignment horizontal="center" vertical="center"/>
    </xf>
    <xf numFmtId="0" fontId="37" fillId="2" borderId="43" xfId="0" applyFont="1" applyFill="1" applyBorder="1" applyAlignment="1">
      <alignment horizontal="center" vertical="center"/>
    </xf>
    <xf numFmtId="0" fontId="19" fillId="19" borderId="10" xfId="0" applyFont="1" applyFill="1" applyBorder="1" applyAlignment="1">
      <alignment horizontal="center" vertical="center" wrapText="1"/>
    </xf>
    <xf numFmtId="0" fontId="41" fillId="19" borderId="86" xfId="0" applyFont="1" applyFill="1" applyBorder="1" applyAlignment="1">
      <alignment horizontal="center" vertical="center"/>
    </xf>
    <xf numFmtId="2" fontId="37" fillId="19" borderId="86" xfId="0" applyNumberFormat="1" applyFont="1" applyFill="1" applyBorder="1" applyAlignment="1">
      <alignment horizontal="center" vertical="center"/>
    </xf>
    <xf numFmtId="2" fontId="37" fillId="19" borderId="87" xfId="0" applyNumberFormat="1" applyFont="1" applyFill="1" applyBorder="1" applyAlignment="1">
      <alignment horizontal="center" vertical="center"/>
    </xf>
    <xf numFmtId="1" fontId="37" fillId="19" borderId="91" xfId="0" applyNumberFormat="1" applyFont="1" applyFill="1" applyBorder="1" applyAlignment="1">
      <alignment horizontal="center" vertical="center"/>
    </xf>
    <xf numFmtId="1" fontId="37" fillId="19" borderId="92" xfId="0" applyNumberFormat="1" applyFont="1" applyFill="1" applyBorder="1" applyAlignment="1">
      <alignment horizontal="center" vertical="center"/>
    </xf>
    <xf numFmtId="164" fontId="37" fillId="19" borderId="86" xfId="0" applyNumberFormat="1" applyFont="1" applyFill="1" applyBorder="1" applyAlignment="1">
      <alignment horizontal="center" vertical="center"/>
    </xf>
    <xf numFmtId="1" fontId="37" fillId="19" borderId="87" xfId="0" applyNumberFormat="1" applyFont="1" applyFill="1" applyBorder="1" applyAlignment="1">
      <alignment horizontal="center" vertical="center"/>
    </xf>
    <xf numFmtId="1" fontId="42" fillId="19" borderId="86" xfId="0" applyNumberFormat="1" applyFont="1" applyFill="1" applyBorder="1" applyAlignment="1">
      <alignment horizontal="center" vertical="center"/>
    </xf>
    <xf numFmtId="2" fontId="37" fillId="19" borderId="3" xfId="0" applyNumberFormat="1" applyFont="1" applyFill="1" applyBorder="1" applyAlignment="1">
      <alignment horizontal="center" vertical="center"/>
    </xf>
    <xf numFmtId="166" fontId="37" fillId="19" borderId="89" xfId="0" applyNumberFormat="1" applyFont="1" applyFill="1" applyBorder="1" applyAlignment="1">
      <alignment horizontal="center" vertical="center"/>
    </xf>
    <xf numFmtId="2" fontId="40" fillId="19" borderId="15" xfId="0" applyNumberFormat="1" applyFont="1" applyFill="1" applyBorder="1" applyAlignment="1">
      <alignment horizontal="center" vertical="center"/>
    </xf>
    <xf numFmtId="2" fontId="37" fillId="19" borderId="89" xfId="0" applyNumberFormat="1" applyFont="1" applyFill="1" applyBorder="1" applyAlignment="1">
      <alignment horizontal="center" vertical="center"/>
    </xf>
    <xf numFmtId="2" fontId="37" fillId="19" borderId="0" xfId="0" applyNumberFormat="1" applyFont="1" applyFill="1" applyAlignment="1">
      <alignment horizontal="center" vertical="center"/>
    </xf>
    <xf numFmtId="2" fontId="37" fillId="19" borderId="43" xfId="0" applyNumberFormat="1" applyFont="1" applyFill="1" applyBorder="1" applyAlignment="1">
      <alignment horizontal="center" vertical="center"/>
    </xf>
    <xf numFmtId="0" fontId="37" fillId="19" borderId="43" xfId="0" applyFont="1" applyFill="1" applyBorder="1" applyAlignment="1">
      <alignment horizontal="center" vertical="center"/>
    </xf>
    <xf numFmtId="0" fontId="40" fillId="19" borderId="15" xfId="0" applyFont="1" applyFill="1" applyBorder="1" applyAlignment="1">
      <alignment horizontal="center" vertical="center"/>
    </xf>
    <xf numFmtId="1" fontId="40" fillId="19" borderId="15" xfId="0" applyNumberFormat="1" applyFont="1" applyFill="1" applyBorder="1" applyAlignment="1">
      <alignment horizontal="center" vertical="center"/>
    </xf>
    <xf numFmtId="2" fontId="40" fillId="19" borderId="16" xfId="0" applyNumberFormat="1" applyFont="1" applyFill="1" applyBorder="1" applyAlignment="1">
      <alignment horizontal="center" vertical="center"/>
    </xf>
    <xf numFmtId="0" fontId="19" fillId="2" borderId="10" xfId="0" applyFont="1" applyFill="1" applyBorder="1" applyAlignment="1">
      <alignment horizontal="center" vertical="center" wrapText="1"/>
    </xf>
    <xf numFmtId="1" fontId="37" fillId="2" borderId="86" xfId="0" applyNumberFormat="1" applyFont="1" applyFill="1" applyBorder="1" applyAlignment="1">
      <alignment horizontal="center" vertical="center"/>
    </xf>
    <xf numFmtId="2" fontId="37" fillId="2" borderId="87" xfId="0" applyNumberFormat="1" applyFont="1" applyFill="1" applyBorder="1" applyAlignment="1">
      <alignment horizontal="center" vertical="center"/>
    </xf>
    <xf numFmtId="1" fontId="37" fillId="2" borderId="91" xfId="0" applyNumberFormat="1" applyFont="1" applyFill="1" applyBorder="1" applyAlignment="1">
      <alignment horizontal="center" vertical="center"/>
    </xf>
    <xf numFmtId="1" fontId="37" fillId="2" borderId="92" xfId="0" applyNumberFormat="1" applyFont="1" applyFill="1" applyBorder="1" applyAlignment="1">
      <alignment horizontal="center" vertical="center"/>
    </xf>
    <xf numFmtId="164" fontId="37" fillId="2" borderId="86" xfId="0" applyNumberFormat="1" applyFont="1" applyFill="1" applyBorder="1" applyAlignment="1">
      <alignment horizontal="center" vertical="center"/>
    </xf>
    <xf numFmtId="1" fontId="44" fillId="2" borderId="86" xfId="0" applyNumberFormat="1" applyFont="1" applyFill="1" applyBorder="1" applyAlignment="1">
      <alignment horizontal="center" vertical="center"/>
    </xf>
    <xf numFmtId="2" fontId="37" fillId="2" borderId="3" xfId="0" applyNumberFormat="1" applyFont="1" applyFill="1" applyBorder="1" applyAlignment="1">
      <alignment horizontal="center" vertical="center"/>
    </xf>
    <xf numFmtId="166" fontId="37" fillId="2" borderId="89" xfId="0" applyNumberFormat="1" applyFont="1" applyFill="1" applyBorder="1" applyAlignment="1">
      <alignment horizontal="center" vertical="center"/>
    </xf>
    <xf numFmtId="2" fontId="37" fillId="2" borderId="89" xfId="0" applyNumberFormat="1" applyFont="1" applyFill="1" applyBorder="1" applyAlignment="1">
      <alignment horizontal="center" vertical="center"/>
    </xf>
    <xf numFmtId="2" fontId="37" fillId="2" borderId="23" xfId="0" applyNumberFormat="1" applyFont="1" applyFill="1" applyBorder="1" applyAlignment="1">
      <alignment horizontal="center" vertical="center"/>
    </xf>
    <xf numFmtId="2" fontId="37" fillId="2" borderId="93" xfId="0" applyNumberFormat="1" applyFont="1" applyFill="1" applyBorder="1" applyAlignment="1">
      <alignment horizontal="center" vertical="center"/>
    </xf>
    <xf numFmtId="0" fontId="37" fillId="2" borderId="0" xfId="0" applyFont="1" applyFill="1" applyAlignment="1">
      <alignment horizontal="center" vertical="center"/>
    </xf>
    <xf numFmtId="2" fontId="37" fillId="2" borderId="0" xfId="0" applyNumberFormat="1" applyFont="1" applyFill="1" applyAlignment="1">
      <alignment horizontal="center" vertical="center"/>
    </xf>
    <xf numFmtId="2" fontId="37" fillId="2" borderId="43" xfId="0" applyNumberFormat="1" applyFont="1" applyFill="1" applyBorder="1" applyAlignment="1">
      <alignment horizontal="center" vertical="center"/>
    </xf>
    <xf numFmtId="0" fontId="19" fillId="19" borderId="85" xfId="0" applyFont="1" applyFill="1" applyBorder="1" applyAlignment="1">
      <alignment horizontal="center" vertical="center"/>
    </xf>
    <xf numFmtId="0" fontId="19" fillId="19" borderId="86" xfId="0" applyFont="1" applyFill="1" applyBorder="1" applyAlignment="1">
      <alignment horizontal="center" vertical="center"/>
    </xf>
    <xf numFmtId="2" fontId="19" fillId="19" borderId="86" xfId="0" applyNumberFormat="1" applyFont="1" applyFill="1" applyBorder="1" applyAlignment="1">
      <alignment horizontal="center" vertical="center"/>
    </xf>
    <xf numFmtId="0" fontId="37" fillId="19" borderId="6" xfId="0" applyFont="1" applyFill="1" applyBorder="1" applyAlignment="1">
      <alignment horizontal="center" vertical="center"/>
    </xf>
    <xf numFmtId="2" fontId="37" fillId="19" borderId="22" xfId="0" applyNumberFormat="1" applyFont="1" applyFill="1" applyBorder="1" applyAlignment="1">
      <alignment horizontal="center" vertical="center"/>
    </xf>
    <xf numFmtId="0" fontId="19" fillId="2" borderId="85" xfId="0" applyFont="1" applyFill="1" applyBorder="1" applyAlignment="1">
      <alignment horizontal="center" vertical="center"/>
    </xf>
    <xf numFmtId="0" fontId="19" fillId="2" borderId="86" xfId="0" applyFont="1" applyFill="1" applyBorder="1" applyAlignment="1">
      <alignment horizontal="center" vertical="center"/>
    </xf>
    <xf numFmtId="2" fontId="19" fillId="2" borderId="86" xfId="0" applyNumberFormat="1" applyFont="1" applyFill="1" applyBorder="1" applyAlignment="1">
      <alignment horizontal="center" vertical="center"/>
    </xf>
    <xf numFmtId="0" fontId="19" fillId="19" borderId="94" xfId="0" applyFont="1" applyFill="1" applyBorder="1" applyAlignment="1">
      <alignment horizontal="center" vertical="center"/>
    </xf>
    <xf numFmtId="0" fontId="37" fillId="19" borderId="88" xfId="0" applyFont="1" applyFill="1" applyBorder="1" applyAlignment="1">
      <alignment horizontal="center" vertical="center"/>
    </xf>
    <xf numFmtId="2" fontId="19" fillId="19" borderId="88" xfId="0" applyNumberFormat="1" applyFont="1" applyFill="1" applyBorder="1" applyAlignment="1">
      <alignment horizontal="center" vertical="center"/>
    </xf>
    <xf numFmtId="1" fontId="33" fillId="19" borderId="15" xfId="0" applyNumberFormat="1" applyFont="1" applyFill="1" applyBorder="1" applyAlignment="1">
      <alignment horizontal="center" vertical="center"/>
    </xf>
    <xf numFmtId="1" fontId="33" fillId="19" borderId="15" xfId="0" applyNumberFormat="1" applyFont="1" applyFill="1" applyBorder="1" applyAlignment="1">
      <alignment horizontal="center" vertical="center"/>
    </xf>
    <xf numFmtId="1" fontId="33" fillId="19" borderId="88" xfId="0" applyNumberFormat="1" applyFont="1" applyFill="1" applyBorder="1" applyAlignment="1">
      <alignment horizontal="center" vertical="center"/>
    </xf>
    <xf numFmtId="0" fontId="33" fillId="19" borderId="15" xfId="0" applyFont="1" applyFill="1" applyBorder="1" applyAlignment="1">
      <alignment horizontal="center" vertical="center"/>
    </xf>
    <xf numFmtId="2" fontId="33" fillId="19" borderId="88" xfId="0" applyNumberFormat="1" applyFont="1" applyFill="1" applyBorder="1" applyAlignment="1">
      <alignment horizontal="center" vertical="center"/>
    </xf>
    <xf numFmtId="2" fontId="37" fillId="19" borderId="15" xfId="0" applyNumberFormat="1" applyFont="1" applyFill="1" applyBorder="1" applyAlignment="1">
      <alignment horizontal="center" vertical="center"/>
    </xf>
    <xf numFmtId="2" fontId="37" fillId="19" borderId="16" xfId="0" applyNumberFormat="1" applyFont="1" applyFill="1" applyBorder="1" applyAlignment="1">
      <alignment horizontal="center" vertical="center"/>
    </xf>
    <xf numFmtId="0" fontId="37" fillId="19" borderId="16" xfId="0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39" fillId="2" borderId="33" xfId="0" applyFont="1" applyFill="1" applyBorder="1"/>
    <xf numFmtId="0" fontId="39" fillId="2" borderId="90" xfId="0" applyFont="1" applyFill="1" applyBorder="1"/>
    <xf numFmtId="166" fontId="39" fillId="2" borderId="0" xfId="0" applyNumberFormat="1" applyFont="1" applyFill="1"/>
    <xf numFmtId="171" fontId="31" fillId="2" borderId="98" xfId="0" applyNumberFormat="1" applyFont="1" applyFill="1" applyBorder="1" applyAlignment="1">
      <alignment horizontal="center" vertical="center"/>
    </xf>
    <xf numFmtId="2" fontId="32" fillId="2" borderId="18" xfId="0" applyNumberFormat="1" applyFont="1" applyFill="1" applyBorder="1" applyAlignment="1">
      <alignment horizontal="center" vertical="center"/>
    </xf>
    <xf numFmtId="169" fontId="32" fillId="2" borderId="39" xfId="0" applyNumberFormat="1" applyFont="1" applyFill="1" applyBorder="1" applyAlignment="1">
      <alignment horizontal="center" vertical="center"/>
    </xf>
    <xf numFmtId="168" fontId="32" fillId="2" borderId="39" xfId="0" applyNumberFormat="1" applyFont="1" applyFill="1" applyBorder="1" applyAlignment="1">
      <alignment horizontal="center" vertical="center"/>
    </xf>
    <xf numFmtId="172" fontId="32" fillId="2" borderId="39" xfId="0" applyNumberFormat="1" applyFont="1" applyFill="1" applyBorder="1" applyAlignment="1">
      <alignment horizontal="center" vertical="center"/>
    </xf>
    <xf numFmtId="2" fontId="32" fillId="2" borderId="39" xfId="0" applyNumberFormat="1" applyFont="1" applyFill="1" applyBorder="1" applyAlignment="1">
      <alignment horizontal="center" vertical="center"/>
    </xf>
    <xf numFmtId="1" fontId="32" fillId="2" borderId="39" xfId="0" applyNumberFormat="1" applyFont="1" applyFill="1" applyBorder="1" applyAlignment="1">
      <alignment horizontal="center" vertical="center"/>
    </xf>
    <xf numFmtId="164" fontId="32" fillId="2" borderId="18" xfId="0" applyNumberFormat="1" applyFont="1" applyFill="1" applyBorder="1" applyAlignment="1">
      <alignment horizontal="center" vertical="center"/>
    </xf>
    <xf numFmtId="168" fontId="32" fillId="2" borderId="39" xfId="0" applyNumberFormat="1" applyFont="1" applyFill="1" applyBorder="1" applyAlignment="1">
      <alignment horizontal="center" vertical="center"/>
    </xf>
    <xf numFmtId="164" fontId="32" fillId="2" borderId="17" xfId="0" applyNumberFormat="1" applyFont="1" applyFill="1" applyBorder="1" applyAlignment="1">
      <alignment horizontal="center" vertical="center"/>
    </xf>
    <xf numFmtId="1" fontId="32" fillId="2" borderId="46" xfId="0" applyNumberFormat="1" applyFont="1" applyFill="1" applyBorder="1" applyAlignment="1">
      <alignment horizontal="center" vertical="center"/>
    </xf>
    <xf numFmtId="2" fontId="32" fillId="2" borderId="55" xfId="0" applyNumberFormat="1" applyFont="1" applyFill="1" applyBorder="1" applyAlignment="1">
      <alignment horizontal="center" vertical="center"/>
    </xf>
    <xf numFmtId="1" fontId="32" fillId="2" borderId="52" xfId="0" applyNumberFormat="1" applyFont="1" applyFill="1" applyBorder="1" applyAlignment="1">
      <alignment horizontal="center" vertical="center"/>
    </xf>
    <xf numFmtId="1" fontId="32" fillId="2" borderId="46" xfId="0" applyNumberFormat="1" applyFont="1" applyFill="1" applyBorder="1" applyAlignment="1">
      <alignment horizontal="center" vertical="center"/>
    </xf>
    <xf numFmtId="2" fontId="32" fillId="2" borderId="4" xfId="0" applyNumberFormat="1" applyFont="1" applyFill="1" applyBorder="1" applyAlignment="1">
      <alignment horizontal="center" vertical="center"/>
    </xf>
    <xf numFmtId="1" fontId="32" fillId="2" borderId="53" xfId="0" applyNumberFormat="1" applyFont="1" applyFill="1" applyBorder="1" applyAlignment="1">
      <alignment horizontal="center" vertical="center"/>
    </xf>
    <xf numFmtId="166" fontId="32" fillId="2" borderId="17" xfId="0" applyNumberFormat="1" applyFont="1" applyFill="1" applyBorder="1" applyAlignment="1">
      <alignment horizontal="center" vertical="center"/>
    </xf>
    <xf numFmtId="2" fontId="32" fillId="2" borderId="46" xfId="0" applyNumberFormat="1" applyFont="1" applyFill="1" applyBorder="1" applyAlignment="1">
      <alignment horizontal="center" vertical="center"/>
    </xf>
    <xf numFmtId="166" fontId="32" fillId="2" borderId="55" xfId="0" applyNumberFormat="1" applyFont="1" applyFill="1" applyBorder="1" applyAlignment="1">
      <alignment horizontal="center" vertical="center"/>
    </xf>
    <xf numFmtId="2" fontId="32" fillId="2" borderId="53" xfId="0" applyNumberFormat="1" applyFont="1" applyFill="1" applyBorder="1" applyAlignment="1">
      <alignment horizontal="center" vertical="center"/>
    </xf>
    <xf numFmtId="166" fontId="32" fillId="2" borderId="39" xfId="0" applyNumberFormat="1" applyFont="1" applyFill="1" applyBorder="1" applyAlignment="1">
      <alignment horizontal="center" vertical="center"/>
    </xf>
    <xf numFmtId="2" fontId="32" fillId="2" borderId="39" xfId="0" applyNumberFormat="1" applyFont="1" applyFill="1" applyBorder="1" applyAlignment="1">
      <alignment horizontal="center" vertical="center"/>
    </xf>
    <xf numFmtId="166" fontId="32" fillId="2" borderId="18" xfId="0" applyNumberFormat="1" applyFont="1" applyFill="1" applyBorder="1" applyAlignment="1">
      <alignment horizontal="center" vertical="center"/>
    </xf>
    <xf numFmtId="164" fontId="32" fillId="2" borderId="39" xfId="0" applyNumberFormat="1" applyFont="1" applyFill="1" applyBorder="1" applyAlignment="1">
      <alignment horizontal="center" vertical="center"/>
    </xf>
    <xf numFmtId="166" fontId="32" fillId="2" borderId="22" xfId="0" applyNumberFormat="1" applyFont="1" applyFill="1" applyBorder="1" applyAlignment="1">
      <alignment horizontal="center" vertical="center"/>
    </xf>
    <xf numFmtId="2" fontId="32" fillId="2" borderId="21" xfId="0" applyNumberFormat="1" applyFont="1" applyFill="1" applyBorder="1" applyAlignment="1">
      <alignment horizontal="center" vertical="center"/>
    </xf>
    <xf numFmtId="4" fontId="32" fillId="2" borderId="18" xfId="0" applyNumberFormat="1" applyFont="1" applyFill="1" applyBorder="1" applyAlignment="1">
      <alignment horizontal="center" vertical="center"/>
    </xf>
    <xf numFmtId="0" fontId="32" fillId="2" borderId="39" xfId="0" applyFont="1" applyFill="1" applyBorder="1" applyAlignment="1">
      <alignment horizontal="center" vertical="center"/>
    </xf>
    <xf numFmtId="175" fontId="32" fillId="2" borderId="39" xfId="0" applyNumberFormat="1" applyFont="1" applyFill="1" applyBorder="1" applyAlignment="1">
      <alignment horizontal="center" vertical="center"/>
    </xf>
    <xf numFmtId="172" fontId="47" fillId="2" borderId="38" xfId="0" applyNumberFormat="1" applyFont="1" applyFill="1" applyBorder="1" applyAlignment="1">
      <alignment horizontal="center" vertical="center" wrapText="1"/>
    </xf>
    <xf numFmtId="172" fontId="47" fillId="2" borderId="18" xfId="0" applyNumberFormat="1" applyFont="1" applyFill="1" applyBorder="1" applyAlignment="1">
      <alignment horizontal="center" vertical="center" wrapText="1"/>
    </xf>
    <xf numFmtId="2" fontId="47" fillId="4" borderId="99" xfId="0" applyNumberFormat="1" applyFont="1" applyFill="1" applyBorder="1" applyAlignment="1">
      <alignment horizontal="center" vertical="center" wrapText="1"/>
    </xf>
    <xf numFmtId="2" fontId="47" fillId="4" borderId="18" xfId="0" applyNumberFormat="1" applyFont="1" applyFill="1" applyBorder="1" applyAlignment="1">
      <alignment horizontal="center" vertical="center" wrapText="1"/>
    </xf>
    <xf numFmtId="171" fontId="31" fillId="2" borderId="98" xfId="0" applyNumberFormat="1" applyFont="1" applyFill="1" applyBorder="1" applyAlignment="1">
      <alignment horizontal="center" vertical="center"/>
    </xf>
    <xf numFmtId="2" fontId="32" fillId="2" borderId="22" xfId="0" applyNumberFormat="1" applyFont="1" applyFill="1" applyBorder="1" applyAlignment="1">
      <alignment horizontal="center" vertical="center"/>
    </xf>
    <xf numFmtId="2" fontId="32" fillId="2" borderId="22" xfId="0" applyNumberFormat="1" applyFont="1" applyFill="1" applyBorder="1" applyAlignment="1">
      <alignment horizontal="center" vertical="center"/>
    </xf>
    <xf numFmtId="169" fontId="32" fillId="2" borderId="21" xfId="0" applyNumberFormat="1" applyFont="1" applyFill="1" applyBorder="1" applyAlignment="1">
      <alignment horizontal="center" vertical="center"/>
    </xf>
    <xf numFmtId="168" fontId="32" fillId="2" borderId="21" xfId="0" applyNumberFormat="1" applyFont="1" applyFill="1" applyBorder="1" applyAlignment="1">
      <alignment horizontal="center" vertical="center"/>
    </xf>
    <xf numFmtId="172" fontId="32" fillId="2" borderId="21" xfId="0" applyNumberFormat="1" applyFont="1" applyFill="1" applyBorder="1" applyAlignment="1">
      <alignment horizontal="center" vertical="center"/>
    </xf>
    <xf numFmtId="1" fontId="32" fillId="2" borderId="21" xfId="0" applyNumberFormat="1" applyFont="1" applyFill="1" applyBorder="1" applyAlignment="1">
      <alignment horizontal="center" vertical="center"/>
    </xf>
    <xf numFmtId="164" fontId="32" fillId="2" borderId="22" xfId="0" applyNumberFormat="1" applyFont="1" applyFill="1" applyBorder="1" applyAlignment="1">
      <alignment horizontal="center" vertical="center"/>
    </xf>
    <xf numFmtId="2" fontId="32" fillId="2" borderId="21" xfId="0" applyNumberFormat="1" applyFont="1" applyFill="1" applyBorder="1" applyAlignment="1">
      <alignment horizontal="center" vertical="center"/>
    </xf>
    <xf numFmtId="1" fontId="32" fillId="2" borderId="21" xfId="0" applyNumberFormat="1" applyFont="1" applyFill="1" applyBorder="1" applyAlignment="1">
      <alignment horizontal="center" vertical="center"/>
    </xf>
    <xf numFmtId="164" fontId="32" fillId="2" borderId="29" xfId="0" applyNumberFormat="1" applyFont="1" applyFill="1" applyBorder="1" applyAlignment="1">
      <alignment horizontal="center" vertical="center"/>
    </xf>
    <xf numFmtId="1" fontId="32" fillId="2" borderId="67" xfId="0" applyNumberFormat="1" applyFont="1" applyFill="1" applyBorder="1" applyAlignment="1">
      <alignment horizontal="center" vertical="center"/>
    </xf>
    <xf numFmtId="1" fontId="32" fillId="2" borderId="56" xfId="0" applyNumberFormat="1" applyFont="1" applyFill="1" applyBorder="1" applyAlignment="1">
      <alignment horizontal="center" vertical="center"/>
    </xf>
    <xf numFmtId="2" fontId="32" fillId="2" borderId="56" xfId="0" applyNumberFormat="1" applyFont="1" applyFill="1" applyBorder="1" applyAlignment="1">
      <alignment horizontal="center" vertical="center"/>
    </xf>
    <xf numFmtId="2" fontId="32" fillId="2" borderId="100" xfId="0" applyNumberFormat="1" applyFont="1" applyFill="1" applyBorder="1" applyAlignment="1">
      <alignment horizontal="center" vertical="center"/>
    </xf>
    <xf numFmtId="166" fontId="32" fillId="2" borderId="6" xfId="0" applyNumberFormat="1" applyFont="1" applyFill="1" applyBorder="1" applyAlignment="1">
      <alignment horizontal="center" vertical="center"/>
    </xf>
    <xf numFmtId="2" fontId="32" fillId="2" borderId="67" xfId="0" applyNumberFormat="1" applyFont="1" applyFill="1" applyBorder="1" applyAlignment="1">
      <alignment horizontal="center" vertical="center"/>
    </xf>
    <xf numFmtId="166" fontId="32" fillId="2" borderId="4" xfId="0" applyNumberFormat="1" applyFont="1" applyFill="1" applyBorder="1" applyAlignment="1">
      <alignment horizontal="center" vertical="center"/>
    </xf>
    <xf numFmtId="166" fontId="32" fillId="2" borderId="21" xfId="0" applyNumberFormat="1" applyFont="1" applyFill="1" applyBorder="1" applyAlignment="1">
      <alignment horizontal="center" vertical="center"/>
    </xf>
    <xf numFmtId="2" fontId="32" fillId="2" borderId="30" xfId="0" applyNumberFormat="1" applyFont="1" applyFill="1" applyBorder="1" applyAlignment="1">
      <alignment horizontal="center" vertical="center"/>
    </xf>
    <xf numFmtId="172" fontId="32" fillId="2" borderId="21" xfId="0" applyNumberFormat="1" applyFont="1" applyFill="1" applyBorder="1" applyAlignment="1">
      <alignment horizontal="center" vertical="center"/>
    </xf>
    <xf numFmtId="166" fontId="32" fillId="2" borderId="21" xfId="0" applyNumberFormat="1" applyFont="1" applyFill="1" applyBorder="1" applyAlignment="1">
      <alignment horizontal="center" vertical="center"/>
    </xf>
    <xf numFmtId="166" fontId="32" fillId="2" borderId="30" xfId="0" applyNumberFormat="1" applyFont="1" applyFill="1" applyBorder="1" applyAlignment="1">
      <alignment horizontal="center" vertical="center"/>
    </xf>
    <xf numFmtId="164" fontId="32" fillId="2" borderId="21" xfId="0" applyNumberFormat="1" applyFont="1" applyFill="1" applyBorder="1" applyAlignment="1">
      <alignment horizontal="center" vertical="center"/>
    </xf>
    <xf numFmtId="4" fontId="32" fillId="2" borderId="22" xfId="0" applyNumberFormat="1" applyFont="1" applyFill="1" applyBorder="1" applyAlignment="1">
      <alignment horizontal="center" vertical="center"/>
    </xf>
    <xf numFmtId="0" fontId="32" fillId="2" borderId="21" xfId="0" applyFont="1" applyFill="1" applyBorder="1" applyAlignment="1">
      <alignment horizontal="center" vertical="center"/>
    </xf>
    <xf numFmtId="175" fontId="32" fillId="2" borderId="21" xfId="0" applyNumberFormat="1" applyFont="1" applyFill="1" applyBorder="1" applyAlignment="1">
      <alignment horizontal="center" vertical="center"/>
    </xf>
    <xf numFmtId="172" fontId="47" fillId="2" borderId="25" xfId="0" applyNumberFormat="1" applyFont="1" applyFill="1" applyBorder="1" applyAlignment="1">
      <alignment horizontal="center" vertical="center" wrapText="1"/>
    </xf>
    <xf numFmtId="172" fontId="47" fillId="2" borderId="22" xfId="0" applyNumberFormat="1" applyFont="1" applyFill="1" applyBorder="1" applyAlignment="1">
      <alignment horizontal="center" vertical="center" wrapText="1"/>
    </xf>
    <xf numFmtId="2" fontId="47" fillId="2" borderId="101" xfId="0" applyNumberFormat="1" applyFont="1" applyFill="1" applyBorder="1" applyAlignment="1">
      <alignment horizontal="center" vertical="center" wrapText="1"/>
    </xf>
    <xf numFmtId="2" fontId="47" fillId="2" borderId="22" xfId="0" applyNumberFormat="1" applyFont="1" applyFill="1" applyBorder="1" applyAlignment="1">
      <alignment horizontal="center" vertical="center" wrapText="1"/>
    </xf>
    <xf numFmtId="168" fontId="32" fillId="2" borderId="21" xfId="0" applyNumberFormat="1" applyFont="1" applyFill="1" applyBorder="1" applyAlignment="1">
      <alignment horizontal="center" vertical="center"/>
    </xf>
    <xf numFmtId="2" fontId="32" fillId="2" borderId="4" xfId="0" applyNumberFormat="1" applyFont="1" applyFill="1" applyBorder="1" applyAlignment="1">
      <alignment horizontal="center" vertical="center"/>
    </xf>
    <xf numFmtId="1" fontId="32" fillId="2" borderId="100" xfId="0" applyNumberFormat="1" applyFont="1" applyFill="1" applyBorder="1" applyAlignment="1">
      <alignment horizontal="center" vertical="center"/>
    </xf>
    <xf numFmtId="2" fontId="47" fillId="4" borderId="101" xfId="0" applyNumberFormat="1" applyFont="1" applyFill="1" applyBorder="1" applyAlignment="1">
      <alignment horizontal="center" vertical="center" wrapText="1"/>
    </xf>
    <xf numFmtId="2" fontId="47" fillId="4" borderId="22" xfId="0" applyNumberFormat="1" applyFont="1" applyFill="1" applyBorder="1" applyAlignment="1">
      <alignment horizontal="center" vertical="center" wrapText="1"/>
    </xf>
    <xf numFmtId="172" fontId="32" fillId="0" borderId="9" xfId="0" applyNumberFormat="1" applyFont="1" applyBorder="1" applyAlignment="1">
      <alignment horizontal="center" vertical="center"/>
    </xf>
    <xf numFmtId="2" fontId="32" fillId="0" borderId="10" xfId="0" applyNumberFormat="1" applyFont="1" applyBorder="1" applyAlignment="1">
      <alignment horizontal="center" vertical="center"/>
    </xf>
    <xf numFmtId="169" fontId="32" fillId="0" borderId="67" xfId="0" applyNumberFormat="1" applyFont="1" applyBorder="1" applyAlignment="1">
      <alignment horizontal="center" vertical="center"/>
    </xf>
    <xf numFmtId="168" fontId="32" fillId="0" borderId="27" xfId="0" applyNumberFormat="1" applyFont="1" applyBorder="1" applyAlignment="1">
      <alignment horizontal="center" vertical="center"/>
    </xf>
    <xf numFmtId="166" fontId="32" fillId="2" borderId="4" xfId="0" applyNumberFormat="1" applyFont="1" applyFill="1" applyBorder="1" applyAlignment="1">
      <alignment horizontal="center" vertical="center"/>
    </xf>
    <xf numFmtId="166" fontId="32" fillId="2" borderId="100" xfId="0" applyNumberFormat="1" applyFont="1" applyFill="1" applyBorder="1" applyAlignment="1">
      <alignment horizontal="center" vertical="center"/>
    </xf>
    <xf numFmtId="1" fontId="32" fillId="0" borderId="67" xfId="0" applyNumberFormat="1" applyFont="1" applyBorder="1" applyAlignment="1">
      <alignment horizontal="center" vertical="center"/>
    </xf>
    <xf numFmtId="172" fontId="32" fillId="2" borderId="6" xfId="0" applyNumberFormat="1" applyFont="1" applyFill="1" applyBorder="1" applyAlignment="1">
      <alignment horizontal="center" vertical="center"/>
    </xf>
    <xf numFmtId="166" fontId="32" fillId="2" borderId="60" xfId="0" applyNumberFormat="1" applyFont="1" applyFill="1" applyBorder="1" applyAlignment="1">
      <alignment horizontal="center" vertical="center"/>
    </xf>
    <xf numFmtId="170" fontId="32" fillId="0" borderId="27" xfId="0" applyNumberFormat="1" applyFont="1" applyBorder="1" applyAlignment="1">
      <alignment horizontal="center" vertical="center"/>
    </xf>
    <xf numFmtId="2" fontId="48" fillId="2" borderId="53" xfId="0" applyNumberFormat="1" applyFont="1" applyFill="1" applyBorder="1" applyAlignment="1">
      <alignment horizontal="center" vertical="center"/>
    </xf>
    <xf numFmtId="2" fontId="48" fillId="2" borderId="100" xfId="0" applyNumberFormat="1" applyFont="1" applyFill="1" applyBorder="1" applyAlignment="1">
      <alignment horizontal="center" vertical="center"/>
    </xf>
    <xf numFmtId="2" fontId="32" fillId="2" borderId="67" xfId="0" applyNumberFormat="1" applyFont="1" applyFill="1" applyBorder="1" applyAlignment="1">
      <alignment horizontal="center" vertical="center"/>
    </xf>
    <xf numFmtId="0" fontId="32" fillId="2" borderId="21" xfId="0" applyFont="1" applyFill="1" applyBorder="1" applyAlignment="1">
      <alignment horizontal="center" vertical="center"/>
    </xf>
    <xf numFmtId="175" fontId="32" fillId="2" borderId="21" xfId="0" applyNumberFormat="1" applyFont="1" applyFill="1" applyBorder="1" applyAlignment="1">
      <alignment horizontal="center" vertical="center"/>
    </xf>
    <xf numFmtId="169" fontId="32" fillId="2" borderId="21" xfId="0" applyNumberFormat="1" applyFont="1" applyFill="1" applyBorder="1" applyAlignment="1">
      <alignment horizontal="center" vertical="center"/>
    </xf>
    <xf numFmtId="169" fontId="32" fillId="0" borderId="27" xfId="0" applyNumberFormat="1" applyFont="1" applyBorder="1" applyAlignment="1">
      <alignment horizontal="center" vertical="center"/>
    </xf>
    <xf numFmtId="166" fontId="32" fillId="0" borderId="27" xfId="0" applyNumberFormat="1" applyFont="1" applyBorder="1" applyAlignment="1">
      <alignment horizontal="center" vertical="center"/>
    </xf>
    <xf numFmtId="2" fontId="32" fillId="0" borderId="30" xfId="0" applyNumberFormat="1" applyFont="1" applyBorder="1" applyAlignment="1">
      <alignment horizontal="center" vertical="center" wrapText="1"/>
    </xf>
    <xf numFmtId="172" fontId="32" fillId="0" borderId="21" xfId="0" applyNumberFormat="1" applyFont="1" applyBorder="1" applyAlignment="1">
      <alignment horizontal="center" vertical="center" wrapText="1"/>
    </xf>
    <xf numFmtId="164" fontId="32" fillId="0" borderId="60" xfId="0" applyNumberFormat="1" applyFont="1" applyBorder="1" applyAlignment="1">
      <alignment horizontal="center" vertical="center"/>
    </xf>
    <xf numFmtId="164" fontId="32" fillId="2" borderId="21" xfId="0" applyNumberFormat="1" applyFont="1" applyFill="1" applyBorder="1" applyAlignment="1">
      <alignment horizontal="center" vertical="center"/>
    </xf>
    <xf numFmtId="171" fontId="31" fillId="6" borderId="45" xfId="0" applyNumberFormat="1" applyFont="1" applyFill="1" applyBorder="1" applyAlignment="1">
      <alignment horizontal="center" vertical="center"/>
    </xf>
    <xf numFmtId="172" fontId="32" fillId="0" borderId="49" xfId="0" applyNumberFormat="1" applyFont="1" applyBorder="1" applyAlignment="1">
      <alignment horizontal="center" vertical="center"/>
    </xf>
    <xf numFmtId="2" fontId="32" fillId="0" borderId="59" xfId="0" applyNumberFormat="1" applyFont="1" applyBorder="1" applyAlignment="1">
      <alignment horizontal="center" vertical="center"/>
    </xf>
    <xf numFmtId="169" fontId="32" fillId="0" borderId="60" xfId="0" applyNumberFormat="1" applyFont="1" applyBorder="1" applyAlignment="1">
      <alignment horizontal="center" vertical="center"/>
    </xf>
    <xf numFmtId="168" fontId="32" fillId="0" borderId="21" xfId="0" applyNumberFormat="1" applyFont="1" applyBorder="1" applyAlignment="1">
      <alignment horizontal="center" vertical="center"/>
    </xf>
    <xf numFmtId="172" fontId="32" fillId="0" borderId="21" xfId="0" applyNumberFormat="1" applyFont="1" applyBorder="1" applyAlignment="1">
      <alignment horizontal="center" vertical="center"/>
    </xf>
    <xf numFmtId="164" fontId="32" fillId="0" borderId="21" xfId="0" applyNumberFormat="1" applyFont="1" applyBorder="1" applyAlignment="1">
      <alignment horizontal="center" vertical="center"/>
    </xf>
    <xf numFmtId="2" fontId="32" fillId="0" borderId="61" xfId="0" applyNumberFormat="1" applyFont="1" applyBorder="1" applyAlignment="1">
      <alignment horizontal="center" vertical="center"/>
    </xf>
    <xf numFmtId="1" fontId="32" fillId="0" borderId="60" xfId="0" applyNumberFormat="1" applyFont="1" applyBorder="1" applyAlignment="1">
      <alignment horizontal="center" vertical="center"/>
    </xf>
    <xf numFmtId="1" fontId="32" fillId="0" borderId="21" xfId="0" applyNumberFormat="1" applyFont="1" applyBorder="1" applyAlignment="1">
      <alignment horizontal="center" vertical="center"/>
    </xf>
    <xf numFmtId="1" fontId="32" fillId="0" borderId="21" xfId="0" applyNumberFormat="1" applyFont="1" applyBorder="1" applyAlignment="1">
      <alignment horizontal="center" vertical="center"/>
    </xf>
    <xf numFmtId="172" fontId="32" fillId="0" borderId="21" xfId="0" applyNumberFormat="1" applyFont="1" applyBorder="1" applyAlignment="1">
      <alignment horizontal="center" vertical="center"/>
    </xf>
    <xf numFmtId="2" fontId="32" fillId="0" borderId="21" xfId="0" applyNumberFormat="1" applyFont="1" applyBorder="1" applyAlignment="1">
      <alignment horizontal="center" vertical="center"/>
    </xf>
    <xf numFmtId="2" fontId="32" fillId="0" borderId="21" xfId="0" applyNumberFormat="1" applyFont="1" applyBorder="1" applyAlignment="1">
      <alignment horizontal="center" vertical="center"/>
    </xf>
    <xf numFmtId="2" fontId="32" fillId="0" borderId="60" xfId="0" applyNumberFormat="1" applyFont="1" applyBorder="1" applyAlignment="1">
      <alignment horizontal="center" vertical="center"/>
    </xf>
    <xf numFmtId="170" fontId="32" fillId="0" borderId="21" xfId="0" applyNumberFormat="1" applyFont="1" applyBorder="1" applyAlignment="1">
      <alignment horizontal="center" vertical="center"/>
    </xf>
    <xf numFmtId="166" fontId="32" fillId="0" borderId="61" xfId="0" applyNumberFormat="1" applyFont="1" applyBorder="1" applyAlignment="1">
      <alignment horizontal="center" vertical="center"/>
    </xf>
    <xf numFmtId="170" fontId="32" fillId="0" borderId="54" xfId="0" applyNumberFormat="1" applyFont="1" applyBorder="1" applyAlignment="1">
      <alignment horizontal="center" vertical="center"/>
    </xf>
    <xf numFmtId="172" fontId="32" fillId="0" borderId="60" xfId="0" applyNumberFormat="1" applyFont="1" applyBorder="1" applyAlignment="1">
      <alignment horizontal="center" vertical="center"/>
    </xf>
    <xf numFmtId="2" fontId="32" fillId="0" borderId="60" xfId="0" applyNumberFormat="1" applyFont="1" applyBorder="1" applyAlignment="1">
      <alignment horizontal="center" vertical="center"/>
    </xf>
    <xf numFmtId="169" fontId="32" fillId="0" borderId="21" xfId="0" applyNumberFormat="1" applyFont="1" applyBorder="1" applyAlignment="1">
      <alignment horizontal="center" vertical="center"/>
    </xf>
    <xf numFmtId="164" fontId="32" fillId="0" borderId="60" xfId="0" applyNumberFormat="1" applyFont="1" applyBorder="1" applyAlignment="1">
      <alignment horizontal="center" vertical="center"/>
    </xf>
    <xf numFmtId="166" fontId="32" fillId="0" borderId="21" xfId="0" applyNumberFormat="1" applyFont="1" applyBorder="1" applyAlignment="1">
      <alignment horizontal="center" vertical="center"/>
    </xf>
    <xf numFmtId="172" fontId="32" fillId="0" borderId="21" xfId="0" applyNumberFormat="1" applyFont="1" applyBorder="1" applyAlignment="1">
      <alignment horizontal="center" vertical="center" wrapText="1"/>
    </xf>
    <xf numFmtId="2" fontId="32" fillId="0" borderId="22" xfId="0" applyNumberFormat="1" applyFont="1" applyBorder="1" applyAlignment="1">
      <alignment horizontal="center" vertical="center" wrapText="1"/>
    </xf>
    <xf numFmtId="2" fontId="32" fillId="0" borderId="27" xfId="0" applyNumberFormat="1" applyFont="1" applyBorder="1" applyAlignment="1">
      <alignment horizontal="center" vertical="center" wrapText="1"/>
    </xf>
    <xf numFmtId="164" fontId="32" fillId="0" borderId="28" xfId="0" applyNumberFormat="1" applyFont="1" applyBorder="1" applyAlignment="1">
      <alignment horizontal="center" vertical="center" wrapText="1"/>
    </xf>
    <xf numFmtId="2" fontId="32" fillId="0" borderId="49" xfId="0" applyNumberFormat="1" applyFont="1" applyBorder="1" applyAlignment="1">
      <alignment horizontal="center" vertical="center"/>
    </xf>
    <xf numFmtId="2" fontId="32" fillId="0" borderId="50" xfId="0" applyNumberFormat="1" applyFont="1" applyBorder="1" applyAlignment="1">
      <alignment horizontal="center" vertical="center"/>
    </xf>
    <xf numFmtId="2" fontId="32" fillId="0" borderId="51" xfId="0" applyNumberFormat="1" applyFont="1" applyBorder="1" applyAlignment="1">
      <alignment horizontal="center" vertical="center"/>
    </xf>
    <xf numFmtId="4" fontId="32" fillId="2" borderId="22" xfId="0" applyNumberFormat="1" applyFont="1" applyFill="1" applyBorder="1" applyAlignment="1">
      <alignment horizontal="center" vertical="center"/>
    </xf>
    <xf numFmtId="2" fontId="36" fillId="14" borderId="6" xfId="0" applyNumberFormat="1" applyFont="1" applyFill="1" applyBorder="1" applyAlignment="1">
      <alignment horizontal="center" vertical="center"/>
    </xf>
    <xf numFmtId="2" fontId="36" fillId="14" borderId="71" xfId="0" applyNumberFormat="1" applyFont="1" applyFill="1" applyBorder="1" applyAlignment="1">
      <alignment horizontal="center" vertical="center"/>
    </xf>
    <xf numFmtId="164" fontId="36" fillId="14" borderId="122" xfId="0" applyNumberFormat="1" applyFont="1" applyFill="1" applyBorder="1" applyAlignment="1">
      <alignment horizontal="center" vertical="center"/>
    </xf>
    <xf numFmtId="164" fontId="36" fillId="14" borderId="9" xfId="0" applyNumberFormat="1" applyFont="1" applyFill="1" applyBorder="1" applyAlignment="1">
      <alignment horizontal="center" vertical="center"/>
    </xf>
    <xf numFmtId="1" fontId="36" fillId="14" borderId="4" xfId="0" applyNumberFormat="1" applyFont="1" applyFill="1" applyBorder="1" applyAlignment="1">
      <alignment horizontal="center" vertical="center"/>
    </xf>
    <xf numFmtId="164" fontId="36" fillId="14" borderId="4" xfId="0" applyNumberFormat="1" applyFont="1" applyFill="1" applyBorder="1" applyAlignment="1">
      <alignment horizontal="center" vertical="center"/>
    </xf>
    <xf numFmtId="164" fontId="36" fillId="14" borderId="100" xfId="0" applyNumberFormat="1" applyFont="1" applyFill="1" applyBorder="1" applyAlignment="1">
      <alignment horizontal="center" vertical="center"/>
    </xf>
    <xf numFmtId="2" fontId="36" fillId="23" borderId="4" xfId="0" applyNumberFormat="1" applyFont="1" applyFill="1" applyBorder="1" applyAlignment="1">
      <alignment horizontal="center" vertical="center"/>
    </xf>
    <xf numFmtId="2" fontId="32" fillId="0" borderId="49" xfId="0" applyNumberFormat="1" applyFont="1" applyBorder="1" applyAlignment="1">
      <alignment horizontal="center" vertical="center"/>
    </xf>
    <xf numFmtId="2" fontId="32" fillId="0" borderId="50" xfId="0" applyNumberFormat="1" applyFont="1" applyBorder="1" applyAlignment="1">
      <alignment horizontal="center" vertical="center"/>
    </xf>
    <xf numFmtId="2" fontId="32" fillId="0" borderId="22" xfId="0" applyNumberFormat="1" applyFont="1" applyBorder="1" applyAlignment="1">
      <alignment horizontal="center" vertical="center"/>
    </xf>
    <xf numFmtId="172" fontId="32" fillId="0" borderId="33" xfId="0" applyNumberFormat="1" applyFont="1" applyBorder="1" applyAlignment="1">
      <alignment horizontal="center" vertical="center"/>
    </xf>
    <xf numFmtId="2" fontId="32" fillId="0" borderId="40" xfId="0" applyNumberFormat="1" applyFont="1" applyBorder="1" applyAlignment="1">
      <alignment horizontal="center" vertical="center"/>
    </xf>
    <xf numFmtId="169" fontId="32" fillId="0" borderId="62" xfId="0" applyNumberFormat="1" applyFont="1" applyBorder="1" applyAlignment="1">
      <alignment horizontal="center" vertical="center"/>
    </xf>
    <xf numFmtId="164" fontId="32" fillId="0" borderId="63" xfId="0" applyNumberFormat="1" applyFont="1" applyBorder="1" applyAlignment="1">
      <alignment horizontal="center" vertical="center"/>
    </xf>
    <xf numFmtId="2" fontId="32" fillId="0" borderId="90" xfId="0" applyNumberFormat="1" applyFont="1" applyBorder="1" applyAlignment="1">
      <alignment horizontal="center" vertical="center"/>
    </xf>
    <xf numFmtId="1" fontId="32" fillId="0" borderId="63" xfId="0" applyNumberFormat="1" applyFont="1" applyBorder="1" applyAlignment="1">
      <alignment horizontal="center" vertical="center"/>
    </xf>
    <xf numFmtId="2" fontId="32" fillId="0" borderId="0" xfId="0" applyNumberFormat="1" applyFont="1" applyAlignment="1">
      <alignment horizontal="center" vertical="center"/>
    </xf>
    <xf numFmtId="1" fontId="32" fillId="0" borderId="62" xfId="0" applyNumberFormat="1" applyFont="1" applyBorder="1" applyAlignment="1">
      <alignment horizontal="center" vertical="center"/>
    </xf>
    <xf numFmtId="2" fontId="32" fillId="0" borderId="33" xfId="0" applyNumberFormat="1" applyFont="1" applyBorder="1" applyAlignment="1">
      <alignment horizontal="center" vertical="center"/>
    </xf>
    <xf numFmtId="2" fontId="32" fillId="0" borderId="5" xfId="0" applyNumberFormat="1" applyFont="1" applyBorder="1" applyAlignment="1">
      <alignment horizontal="center" vertical="center"/>
    </xf>
    <xf numFmtId="2" fontId="32" fillId="0" borderId="64" xfId="0" applyNumberFormat="1" applyFont="1" applyBorder="1" applyAlignment="1">
      <alignment horizontal="center" vertical="center"/>
    </xf>
    <xf numFmtId="2" fontId="32" fillId="0" borderId="110" xfId="0" applyNumberFormat="1" applyFont="1" applyBorder="1" applyAlignment="1">
      <alignment horizontal="center" vertical="center"/>
    </xf>
    <xf numFmtId="2" fontId="32" fillId="0" borderId="111" xfId="0" applyNumberFormat="1" applyFont="1" applyBorder="1" applyAlignment="1">
      <alignment horizontal="center" vertical="center"/>
    </xf>
    <xf numFmtId="2" fontId="32" fillId="0" borderId="132" xfId="0" applyNumberFormat="1" applyFont="1" applyBorder="1" applyAlignment="1">
      <alignment horizontal="center" vertical="center"/>
    </xf>
    <xf numFmtId="170" fontId="32" fillId="0" borderId="63" xfId="0" applyNumberFormat="1" applyFont="1" applyBorder="1" applyAlignment="1">
      <alignment horizontal="center" vertical="center"/>
    </xf>
    <xf numFmtId="166" fontId="32" fillId="0" borderId="90" xfId="0" applyNumberFormat="1" applyFont="1" applyBorder="1" applyAlignment="1">
      <alignment horizontal="center" vertical="center"/>
    </xf>
    <xf numFmtId="2" fontId="32" fillId="0" borderId="133" xfId="0" applyNumberFormat="1" applyFont="1" applyBorder="1" applyAlignment="1">
      <alignment horizontal="center" vertical="center"/>
    </xf>
    <xf numFmtId="174" fontId="34" fillId="14" borderId="7" xfId="0" applyNumberFormat="1" applyFont="1" applyFill="1" applyBorder="1" applyAlignment="1">
      <alignment horizontal="center" vertical="center"/>
    </xf>
    <xf numFmtId="2" fontId="36" fillId="14" borderId="134" xfId="0" applyNumberFormat="1" applyFont="1" applyFill="1" applyBorder="1" applyAlignment="1">
      <alignment horizontal="center" vertical="center"/>
    </xf>
    <xf numFmtId="2" fontId="36" fillId="14" borderId="135" xfId="0" applyNumberFormat="1" applyFont="1" applyFill="1" applyBorder="1" applyAlignment="1">
      <alignment horizontal="center" vertical="center"/>
    </xf>
    <xf numFmtId="2" fontId="36" fillId="14" borderId="136" xfId="0" applyNumberFormat="1" applyFont="1" applyFill="1" applyBorder="1" applyAlignment="1">
      <alignment horizontal="center" vertical="center"/>
    </xf>
    <xf numFmtId="2" fontId="36" fillId="14" borderId="69" xfId="0" applyNumberFormat="1" applyFont="1" applyFill="1" applyBorder="1" applyAlignment="1">
      <alignment horizontal="center" vertical="center"/>
    </xf>
    <xf numFmtId="2" fontId="36" fillId="14" borderId="137" xfId="0" applyNumberFormat="1" applyFont="1" applyFill="1" applyBorder="1" applyAlignment="1">
      <alignment horizontal="center" vertical="center"/>
    </xf>
    <xf numFmtId="1" fontId="36" fillId="14" borderId="136" xfId="0" applyNumberFormat="1" applyFont="1" applyFill="1" applyBorder="1" applyAlignment="1">
      <alignment horizontal="center" vertical="center"/>
    </xf>
    <xf numFmtId="1" fontId="36" fillId="14" borderId="69" xfId="0" applyNumberFormat="1" applyFont="1" applyFill="1" applyBorder="1" applyAlignment="1">
      <alignment horizontal="center" vertical="center"/>
    </xf>
    <xf numFmtId="2" fontId="36" fillId="14" borderId="39" xfId="0" applyNumberFormat="1" applyFont="1" applyFill="1" applyBorder="1" applyAlignment="1">
      <alignment horizontal="center" vertical="center"/>
    </xf>
    <xf numFmtId="2" fontId="36" fillId="14" borderId="138" xfId="0" applyNumberFormat="1" applyFont="1" applyFill="1" applyBorder="1" applyAlignment="1">
      <alignment horizontal="center" vertical="center"/>
    </xf>
    <xf numFmtId="164" fontId="36" fillId="14" borderId="69" xfId="0" applyNumberFormat="1" applyFont="1" applyFill="1" applyBorder="1" applyAlignment="1">
      <alignment horizontal="center" vertical="center"/>
    </xf>
    <xf numFmtId="2" fontId="36" fillId="14" borderId="139" xfId="0" applyNumberFormat="1" applyFont="1" applyFill="1" applyBorder="1" applyAlignment="1">
      <alignment horizontal="center" vertical="center"/>
    </xf>
    <xf numFmtId="2" fontId="36" fillId="14" borderId="7" xfId="0" applyNumberFormat="1" applyFont="1" applyFill="1" applyBorder="1" applyAlignment="1">
      <alignment horizontal="center" vertical="center"/>
    </xf>
    <xf numFmtId="2" fontId="36" fillId="14" borderId="48" xfId="0" applyNumberFormat="1" applyFont="1" applyFill="1" applyBorder="1" applyAlignment="1">
      <alignment horizontal="center" vertical="center"/>
    </xf>
    <xf numFmtId="2" fontId="36" fillId="8" borderId="136" xfId="0" applyNumberFormat="1" applyFont="1" applyFill="1" applyBorder="1" applyAlignment="1">
      <alignment horizontal="center" vertical="center"/>
    </xf>
    <xf numFmtId="2" fontId="36" fillId="8" borderId="17" xfId="0" applyNumberFormat="1" applyFont="1" applyFill="1" applyBorder="1" applyAlignment="1">
      <alignment horizontal="center" vertical="center"/>
    </xf>
    <xf numFmtId="2" fontId="36" fillId="24" borderId="136" xfId="0" applyNumberFormat="1" applyFont="1" applyFill="1" applyBorder="1" applyAlignment="1">
      <alignment horizontal="center" vertical="center"/>
    </xf>
    <xf numFmtId="2" fontId="36" fillId="24" borderId="39" xfId="0" applyNumberFormat="1" applyFont="1" applyFill="1" applyBorder="1" applyAlignment="1">
      <alignment horizontal="center" vertical="center"/>
    </xf>
    <xf numFmtId="2" fontId="36" fillId="14" borderId="58" xfId="0" applyNumberFormat="1" applyFont="1" applyFill="1" applyBorder="1" applyAlignment="1">
      <alignment horizontal="center" vertical="center"/>
    </xf>
    <xf numFmtId="2" fontId="49" fillId="24" borderId="39" xfId="0" applyNumberFormat="1" applyFont="1" applyFill="1" applyBorder="1" applyAlignment="1">
      <alignment horizontal="center" vertical="center"/>
    </xf>
    <xf numFmtId="2" fontId="49" fillId="15" borderId="58" xfId="0" applyNumberFormat="1" applyFont="1" applyFill="1" applyBorder="1" applyAlignment="1">
      <alignment horizontal="center" vertical="center"/>
    </xf>
    <xf numFmtId="2" fontId="36" fillId="24" borderId="48" xfId="0" applyNumberFormat="1" applyFont="1" applyFill="1" applyBorder="1" applyAlignment="1">
      <alignment horizontal="center" vertical="center"/>
    </xf>
    <xf numFmtId="2" fontId="36" fillId="24" borderId="46" xfId="0" applyNumberFormat="1" applyFont="1" applyFill="1" applyBorder="1" applyAlignment="1">
      <alignment horizontal="center" vertical="center"/>
    </xf>
    <xf numFmtId="2" fontId="36" fillId="24" borderId="55" xfId="0" applyNumberFormat="1" applyFont="1" applyFill="1" applyBorder="1" applyAlignment="1">
      <alignment horizontal="center" vertical="center"/>
    </xf>
    <xf numFmtId="2" fontId="36" fillId="24" borderId="53" xfId="0" applyNumberFormat="1" applyFont="1" applyFill="1" applyBorder="1" applyAlignment="1">
      <alignment horizontal="center" vertical="center"/>
    </xf>
    <xf numFmtId="174" fontId="34" fillId="14" borderId="81" xfId="0" applyNumberFormat="1" applyFont="1" applyFill="1" applyBorder="1" applyAlignment="1">
      <alignment horizontal="center" vertical="center"/>
    </xf>
    <xf numFmtId="2" fontId="36" fillId="14" borderId="9" xfId="0" applyNumberFormat="1" applyFont="1" applyFill="1" applyBorder="1" applyAlignment="1">
      <alignment horizontal="center" vertical="center"/>
    </xf>
    <xf numFmtId="2" fontId="36" fillId="14" borderId="10" xfId="0" applyNumberFormat="1" applyFont="1" applyFill="1" applyBorder="1" applyAlignment="1">
      <alignment horizontal="center" vertical="center"/>
    </xf>
    <xf numFmtId="2" fontId="36" fillId="14" borderId="67" xfId="0" applyNumberFormat="1" applyFont="1" applyFill="1" applyBorder="1" applyAlignment="1">
      <alignment horizontal="center" vertical="center"/>
    </xf>
    <xf numFmtId="2" fontId="36" fillId="14" borderId="4" xfId="0" applyNumberFormat="1" applyFont="1" applyFill="1" applyBorder="1" applyAlignment="1">
      <alignment horizontal="center" vertical="center"/>
    </xf>
    <xf numFmtId="2" fontId="36" fillId="14" borderId="100" xfId="0" applyNumberFormat="1" applyFont="1" applyFill="1" applyBorder="1" applyAlignment="1">
      <alignment horizontal="center" vertical="center"/>
    </xf>
    <xf numFmtId="1" fontId="36" fillId="14" borderId="67" xfId="0" applyNumberFormat="1" applyFont="1" applyFill="1" applyBorder="1" applyAlignment="1">
      <alignment horizontal="center" vertical="center"/>
    </xf>
    <xf numFmtId="2" fontId="36" fillId="14" borderId="27" xfId="0" applyNumberFormat="1" applyFont="1" applyFill="1" applyBorder="1" applyAlignment="1">
      <alignment horizontal="center" vertical="center"/>
    </xf>
    <xf numFmtId="2" fontId="36" fillId="14" borderId="56" xfId="0" applyNumberFormat="1" applyFont="1" applyFill="1" applyBorder="1" applyAlignment="1">
      <alignment horizontal="center" vertical="center"/>
    </xf>
    <xf numFmtId="2" fontId="36" fillId="14" borderId="57" xfId="0" applyNumberFormat="1" applyFont="1" applyFill="1" applyBorder="1" applyAlignment="1">
      <alignment horizontal="center" vertical="center"/>
    </xf>
    <xf numFmtId="2" fontId="36" fillId="8" borderId="67" xfId="0" applyNumberFormat="1" applyFont="1" applyFill="1" applyBorder="1" applyAlignment="1">
      <alignment horizontal="center" vertical="center"/>
    </xf>
    <xf numFmtId="2" fontId="36" fillId="8" borderId="29" xfId="0" applyNumberFormat="1" applyFont="1" applyFill="1" applyBorder="1" applyAlignment="1">
      <alignment horizontal="center" vertical="center"/>
    </xf>
    <xf numFmtId="2" fontId="36" fillId="24" borderId="67" xfId="0" applyNumberFormat="1" applyFont="1" applyFill="1" applyBorder="1" applyAlignment="1">
      <alignment horizontal="center" vertical="center"/>
    </xf>
    <xf numFmtId="2" fontId="36" fillId="24" borderId="27" xfId="0" applyNumberFormat="1" applyFont="1" applyFill="1" applyBorder="1" applyAlignment="1">
      <alignment horizontal="center" vertical="center"/>
    </xf>
    <xf numFmtId="2" fontId="49" fillId="24" borderId="27" xfId="0" applyNumberFormat="1" applyFont="1" applyFill="1" applyBorder="1" applyAlignment="1">
      <alignment horizontal="center" vertical="center"/>
    </xf>
    <xf numFmtId="2" fontId="49" fillId="15" borderId="28" xfId="0" applyNumberFormat="1" applyFont="1" applyFill="1" applyBorder="1" applyAlignment="1">
      <alignment horizontal="center" vertical="center"/>
    </xf>
    <xf numFmtId="2" fontId="36" fillId="24" borderId="140" xfId="0" applyNumberFormat="1" applyFont="1" applyFill="1" applyBorder="1" applyAlignment="1">
      <alignment horizontal="center" vertical="center"/>
    </xf>
    <xf numFmtId="2" fontId="36" fillId="24" borderId="80" xfId="0" applyNumberFormat="1" applyFont="1" applyFill="1" applyBorder="1" applyAlignment="1">
      <alignment horizontal="center" vertical="center"/>
    </xf>
    <xf numFmtId="2" fontId="36" fillId="24" borderId="71" xfId="0" applyNumberFormat="1" applyFont="1" applyFill="1" applyBorder="1" applyAlignment="1">
      <alignment horizontal="center" vertical="center"/>
    </xf>
    <xf numFmtId="2" fontId="36" fillId="24" borderId="123" xfId="0" applyNumberFormat="1" applyFont="1" applyFill="1" applyBorder="1" applyAlignment="1">
      <alignment horizontal="center" vertical="center"/>
    </xf>
    <xf numFmtId="2" fontId="36" fillId="24" borderId="4" xfId="0" applyNumberFormat="1" applyFont="1" applyFill="1" applyBorder="1" applyAlignment="1">
      <alignment horizontal="center" vertical="center"/>
    </xf>
    <xf numFmtId="1" fontId="36" fillId="24" borderId="67" xfId="0" applyNumberFormat="1" applyFont="1" applyFill="1" applyBorder="1" applyAlignment="1">
      <alignment horizontal="center" vertical="center"/>
    </xf>
    <xf numFmtId="1" fontId="36" fillId="14" borderId="100" xfId="0" applyNumberFormat="1" applyFont="1" applyFill="1" applyBorder="1" applyAlignment="1">
      <alignment horizontal="center" vertical="center"/>
    </xf>
    <xf numFmtId="166" fontId="36" fillId="14" borderId="4" xfId="0" applyNumberFormat="1" applyFont="1" applyFill="1" applyBorder="1" applyAlignment="1">
      <alignment horizontal="center" vertical="center"/>
    </xf>
    <xf numFmtId="164" fontId="36" fillId="14" borderId="57" xfId="0" applyNumberFormat="1" applyFont="1" applyFill="1" applyBorder="1" applyAlignment="1">
      <alignment horizontal="center" vertical="center"/>
    </xf>
    <xf numFmtId="164" fontId="36" fillId="8" borderId="29" xfId="0" applyNumberFormat="1" applyFont="1" applyFill="1" applyBorder="1" applyAlignment="1">
      <alignment horizontal="center" vertical="center"/>
    </xf>
    <xf numFmtId="164" fontId="36" fillId="8" borderId="67" xfId="0" applyNumberFormat="1" applyFont="1" applyFill="1" applyBorder="1" applyAlignment="1">
      <alignment horizontal="center" vertical="center"/>
    </xf>
    <xf numFmtId="164" fontId="36" fillId="24" borderId="67" xfId="0" applyNumberFormat="1" applyFont="1" applyFill="1" applyBorder="1" applyAlignment="1">
      <alignment horizontal="center" vertical="center"/>
    </xf>
    <xf numFmtId="164" fontId="36" fillId="24" borderId="27" xfId="0" applyNumberFormat="1" applyFont="1" applyFill="1" applyBorder="1" applyAlignment="1">
      <alignment horizontal="center" vertical="center"/>
    </xf>
    <xf numFmtId="166" fontId="36" fillId="24" borderId="140" xfId="0" applyNumberFormat="1" applyFont="1" applyFill="1" applyBorder="1" applyAlignment="1">
      <alignment horizontal="center" vertical="center"/>
    </xf>
    <xf numFmtId="166" fontId="36" fillId="24" borderId="67" xfId="0" applyNumberFormat="1" applyFont="1" applyFill="1" applyBorder="1" applyAlignment="1">
      <alignment horizontal="center" vertical="center"/>
    </xf>
    <xf numFmtId="166" fontId="36" fillId="24" borderId="71" xfId="0" applyNumberFormat="1" applyFont="1" applyFill="1" applyBorder="1" applyAlignment="1">
      <alignment horizontal="center" vertical="center"/>
    </xf>
    <xf numFmtId="166" fontId="36" fillId="24" borderId="123" xfId="0" applyNumberFormat="1" applyFont="1" applyFill="1" applyBorder="1" applyAlignment="1">
      <alignment horizontal="center" vertical="center"/>
    </xf>
    <xf numFmtId="166" fontId="36" fillId="24" borderId="141" xfId="0" applyNumberFormat="1" applyFont="1" applyFill="1" applyBorder="1" applyAlignment="1">
      <alignment horizontal="center" vertical="center"/>
    </xf>
    <xf numFmtId="2" fontId="49" fillId="15" borderId="4" xfId="0" applyNumberFormat="1" applyFont="1" applyFill="1" applyBorder="1" applyAlignment="1">
      <alignment horizontal="center" vertical="center"/>
    </xf>
    <xf numFmtId="164" fontId="36" fillId="24" borderId="57" xfId="0" applyNumberFormat="1" applyFont="1" applyFill="1" applyBorder="1" applyAlignment="1">
      <alignment horizontal="center" vertical="center"/>
    </xf>
    <xf numFmtId="164" fontId="36" fillId="24" borderId="141" xfId="0" applyNumberFormat="1" applyFont="1" applyFill="1" applyBorder="1" applyAlignment="1">
      <alignment horizontal="center" vertical="center"/>
    </xf>
    <xf numFmtId="164" fontId="36" fillId="24" borderId="4" xfId="0" applyNumberFormat="1" applyFont="1" applyFill="1" applyBorder="1" applyAlignment="1">
      <alignment horizontal="center" vertical="center"/>
    </xf>
    <xf numFmtId="164" fontId="36" fillId="24" borderId="100" xfId="0" applyNumberFormat="1" applyFont="1" applyFill="1" applyBorder="1" applyAlignment="1">
      <alignment horizontal="center" vertical="center"/>
    </xf>
    <xf numFmtId="174" fontId="34" fillId="14" borderId="9" xfId="0" applyNumberFormat="1" applyFont="1" applyFill="1" applyBorder="1" applyAlignment="1">
      <alignment horizontal="center" vertical="center"/>
    </xf>
    <xf numFmtId="2" fontId="36" fillId="24" borderId="10" xfId="0" applyNumberFormat="1" applyFont="1" applyFill="1" applyBorder="1" applyAlignment="1">
      <alignment horizontal="center" vertical="center"/>
    </xf>
    <xf numFmtId="2" fontId="36" fillId="24" borderId="100" xfId="0" applyNumberFormat="1" applyFont="1" applyFill="1" applyBorder="1" applyAlignment="1">
      <alignment horizontal="center" vertical="center"/>
    </xf>
    <xf numFmtId="164" fontId="36" fillId="24" borderId="56" xfId="0" applyNumberFormat="1" applyFont="1" applyFill="1" applyBorder="1" applyAlignment="1">
      <alignment horizontal="center" vertical="center"/>
    </xf>
    <xf numFmtId="164" fontId="49" fillId="24" borderId="28" xfId="0" applyNumberFormat="1" applyFont="1" applyFill="1" applyBorder="1" applyAlignment="1">
      <alignment horizontal="center" vertical="center"/>
    </xf>
    <xf numFmtId="164" fontId="49" fillId="24" borderId="27" xfId="0" applyNumberFormat="1" applyFont="1" applyFill="1" applyBorder="1" applyAlignment="1">
      <alignment horizontal="center" vertical="center"/>
    </xf>
    <xf numFmtId="164" fontId="49" fillId="14" borderId="4" xfId="0" applyNumberFormat="1" applyFont="1" applyFill="1" applyBorder="1" applyAlignment="1">
      <alignment horizontal="center" vertical="center"/>
    </xf>
    <xf numFmtId="2" fontId="49" fillId="24" borderId="28" xfId="0" applyNumberFormat="1" applyFont="1" applyFill="1" applyBorder="1" applyAlignment="1">
      <alignment horizontal="center" vertical="center"/>
    </xf>
    <xf numFmtId="164" fontId="36" fillId="24" borderId="142" xfId="0" applyNumberFormat="1" applyFont="1" applyFill="1" applyBorder="1" applyAlignment="1">
      <alignment horizontal="center" vertical="center"/>
    </xf>
    <xf numFmtId="164" fontId="36" fillId="24" borderId="143" xfId="0" applyNumberFormat="1" applyFont="1" applyFill="1" applyBorder="1" applyAlignment="1">
      <alignment horizontal="center" vertical="center"/>
    </xf>
    <xf numFmtId="164" fontId="36" fillId="24" borderId="144" xfId="0" applyNumberFormat="1" applyFont="1" applyFill="1" applyBorder="1" applyAlignment="1">
      <alignment horizontal="center" vertical="center"/>
    </xf>
    <xf numFmtId="174" fontId="34" fillId="14" borderId="127" xfId="0" applyNumberFormat="1" applyFont="1" applyFill="1" applyBorder="1" applyAlignment="1">
      <alignment horizontal="center" vertical="center"/>
    </xf>
    <xf numFmtId="164" fontId="36" fillId="24" borderId="9" xfId="0" applyNumberFormat="1" applyFont="1" applyFill="1" applyBorder="1" applyAlignment="1">
      <alignment horizontal="center" vertical="center"/>
    </xf>
    <xf numFmtId="1" fontId="36" fillId="24" borderId="4" xfId="0" applyNumberFormat="1" applyFont="1" applyFill="1" applyBorder="1" applyAlignment="1">
      <alignment horizontal="center" vertical="center"/>
    </xf>
    <xf numFmtId="164" fontId="36" fillId="24" borderId="29" xfId="0" applyNumberFormat="1" applyFont="1" applyFill="1" applyBorder="1" applyAlignment="1">
      <alignment horizontal="center" vertical="center"/>
    </xf>
    <xf numFmtId="164" fontId="49" fillId="24" borderId="4" xfId="0" applyNumberFormat="1" applyFont="1" applyFill="1" applyBorder="1" applyAlignment="1">
      <alignment horizontal="center" vertical="center"/>
    </xf>
    <xf numFmtId="2" fontId="49" fillId="24" borderId="4" xfId="0" applyNumberFormat="1" applyFont="1" applyFill="1" applyBorder="1" applyAlignment="1">
      <alignment horizontal="center" vertical="center"/>
    </xf>
    <xf numFmtId="164" fontId="36" fillId="24" borderId="145" xfId="0" applyNumberFormat="1" applyFont="1" applyFill="1" applyBorder="1" applyAlignment="1">
      <alignment horizontal="center" vertical="center"/>
    </xf>
    <xf numFmtId="164" fontId="36" fillId="24" borderId="146" xfId="0" applyNumberFormat="1" applyFont="1" applyFill="1" applyBorder="1" applyAlignment="1">
      <alignment horizontal="center" vertical="center"/>
    </xf>
    <xf numFmtId="164" fontId="36" fillId="24" borderId="129" xfId="0" applyNumberFormat="1" applyFont="1" applyFill="1" applyBorder="1" applyAlignment="1">
      <alignment horizontal="center" vertical="center"/>
    </xf>
    <xf numFmtId="164" fontId="36" fillId="24" borderId="131" xfId="0" applyNumberFormat="1" applyFont="1" applyFill="1" applyBorder="1" applyAlignment="1">
      <alignment horizontal="center" vertical="center"/>
    </xf>
    <xf numFmtId="0" fontId="34" fillId="14" borderId="127" xfId="0" applyFont="1" applyFill="1" applyBorder="1" applyAlignment="1">
      <alignment horizontal="center" vertical="center"/>
    </xf>
    <xf numFmtId="10" fontId="39" fillId="15" borderId="9" xfId="0" applyNumberFormat="1" applyFont="1" applyFill="1" applyBorder="1" applyAlignment="1">
      <alignment horizontal="center" vertical="center"/>
    </xf>
    <xf numFmtId="10" fontId="39" fillId="15" borderId="10" xfId="0" applyNumberFormat="1" applyFont="1" applyFill="1" applyBorder="1" applyAlignment="1">
      <alignment horizontal="center" vertical="center"/>
    </xf>
    <xf numFmtId="10" fontId="39" fillId="8" borderId="67" xfId="0" applyNumberFormat="1" applyFont="1" applyFill="1" applyBorder="1" applyAlignment="1">
      <alignment horizontal="center" vertical="center"/>
    </xf>
    <xf numFmtId="10" fontId="39" fillId="8" borderId="4" xfId="0" applyNumberFormat="1" applyFont="1" applyFill="1" applyBorder="1" applyAlignment="1">
      <alignment horizontal="center" vertical="center"/>
    </xf>
    <xf numFmtId="10" fontId="39" fillId="15" borderId="4" xfId="0" applyNumberFormat="1" applyFont="1" applyFill="1" applyBorder="1" applyAlignment="1">
      <alignment horizontal="center" vertical="center"/>
    </xf>
    <xf numFmtId="10" fontId="39" fillId="8" borderId="100" xfId="0" applyNumberFormat="1" applyFont="1" applyFill="1" applyBorder="1" applyAlignment="1">
      <alignment horizontal="center" vertical="center"/>
    </xf>
    <xf numFmtId="10" fontId="39" fillId="8" borderId="27" xfId="0" applyNumberFormat="1" applyFont="1" applyFill="1" applyBorder="1" applyAlignment="1">
      <alignment horizontal="center" vertical="center"/>
    </xf>
    <xf numFmtId="10" fontId="39" fillId="8" borderId="56" xfId="0" applyNumberFormat="1" applyFont="1" applyFill="1" applyBorder="1" applyAlignment="1">
      <alignment horizontal="center" vertical="center"/>
    </xf>
    <xf numFmtId="10" fontId="39" fillId="15" borderId="27" xfId="0" applyNumberFormat="1" applyFont="1" applyFill="1" applyBorder="1" applyAlignment="1">
      <alignment horizontal="center" vertical="center"/>
    </xf>
    <xf numFmtId="10" fontId="39" fillId="8" borderId="9" xfId="0" applyNumberFormat="1" applyFont="1" applyFill="1" applyBorder="1" applyAlignment="1">
      <alignment horizontal="center" vertical="center"/>
    </xf>
    <xf numFmtId="10" fontId="39" fillId="8" borderId="29" xfId="0" applyNumberFormat="1" applyFont="1" applyFill="1" applyBorder="1" applyAlignment="1">
      <alignment horizontal="center" vertical="center"/>
    </xf>
    <xf numFmtId="10" fontId="39" fillId="8" borderId="57" xfId="0" applyNumberFormat="1" applyFont="1" applyFill="1" applyBorder="1" applyAlignment="1">
      <alignment horizontal="center" vertical="center"/>
    </xf>
    <xf numFmtId="10" fontId="39" fillId="8" borderId="28" xfId="0" applyNumberFormat="1" applyFont="1" applyFill="1" applyBorder="1" applyAlignment="1">
      <alignment horizontal="center" vertical="center"/>
    </xf>
    <xf numFmtId="10" fontId="39" fillId="8" borderId="16" xfId="0" applyNumberFormat="1" applyFont="1" applyFill="1" applyBorder="1" applyAlignment="1">
      <alignment horizontal="center" vertical="center"/>
    </xf>
    <xf numFmtId="10" fontId="39" fillId="8" borderId="36" xfId="0" applyNumberFormat="1" applyFont="1" applyFill="1" applyBorder="1" applyAlignment="1">
      <alignment horizontal="center" vertical="center"/>
    </xf>
    <xf numFmtId="10" fontId="39" fillId="8" borderId="147" xfId="0" applyNumberFormat="1" applyFont="1" applyFill="1" applyBorder="1" applyAlignment="1">
      <alignment horizontal="center" vertical="center"/>
    </xf>
    <xf numFmtId="10" fontId="39" fillId="8" borderId="148" xfId="0" applyNumberFormat="1" applyFont="1" applyFill="1" applyBorder="1" applyAlignment="1">
      <alignment horizontal="center" vertical="center"/>
    </xf>
    <xf numFmtId="10" fontId="39" fillId="24" borderId="9" xfId="0" applyNumberFormat="1" applyFont="1" applyFill="1" applyBorder="1" applyAlignment="1">
      <alignment horizontal="center" vertical="center"/>
    </xf>
    <xf numFmtId="10" fontId="39" fillId="24" borderId="10" xfId="0" applyNumberFormat="1" applyFont="1" applyFill="1" applyBorder="1" applyAlignment="1">
      <alignment horizontal="center" vertical="center"/>
    </xf>
    <xf numFmtId="10" fontId="39" fillId="21" borderId="67" xfId="0" applyNumberFormat="1" applyFont="1" applyFill="1" applyBorder="1" applyAlignment="1">
      <alignment horizontal="center" vertical="center"/>
    </xf>
    <xf numFmtId="3" fontId="39" fillId="15" borderId="4" xfId="0" applyNumberFormat="1" applyFont="1" applyFill="1" applyBorder="1" applyAlignment="1">
      <alignment horizontal="center" vertical="center"/>
    </xf>
    <xf numFmtId="3" fontId="39" fillId="15" borderId="100" xfId="0" applyNumberFormat="1" applyFont="1" applyFill="1" applyBorder="1" applyAlignment="1">
      <alignment horizontal="center" vertical="center"/>
    </xf>
    <xf numFmtId="4" fontId="39" fillId="15" borderId="4" xfId="0" applyNumberFormat="1" applyFont="1" applyFill="1" applyBorder="1" applyAlignment="1">
      <alignment horizontal="center" vertical="center"/>
    </xf>
    <xf numFmtId="4" fontId="39" fillId="15" borderId="56" xfId="0" applyNumberFormat="1" applyFont="1" applyFill="1" applyBorder="1" applyAlignment="1">
      <alignment horizontal="center" vertical="center"/>
    </xf>
    <xf numFmtId="4" fontId="39" fillId="15" borderId="100" xfId="0" applyNumberFormat="1" applyFont="1" applyFill="1" applyBorder="1" applyAlignment="1">
      <alignment horizontal="center" vertical="center"/>
    </xf>
    <xf numFmtId="4" fontId="39" fillId="15" borderId="27" xfId="0" applyNumberFormat="1" applyFont="1" applyFill="1" applyBorder="1" applyAlignment="1">
      <alignment horizontal="center" vertical="center"/>
    </xf>
    <xf numFmtId="4" fontId="39" fillId="15" borderId="9" xfId="0" applyNumberFormat="1" applyFont="1" applyFill="1" applyBorder="1" applyAlignment="1">
      <alignment horizontal="center" vertical="center"/>
    </xf>
    <xf numFmtId="4" fontId="39" fillId="15" borderId="29" xfId="0" applyNumberFormat="1" applyFont="1" applyFill="1" applyBorder="1" applyAlignment="1">
      <alignment horizontal="center" vertical="center"/>
    </xf>
    <xf numFmtId="4" fontId="39" fillId="15" borderId="57" xfId="0" applyNumberFormat="1" applyFont="1" applyFill="1" applyBorder="1" applyAlignment="1">
      <alignment horizontal="center" vertical="center"/>
    </xf>
    <xf numFmtId="4" fontId="39" fillId="15" borderId="28" xfId="0" applyNumberFormat="1" applyFont="1" applyFill="1" applyBorder="1" applyAlignment="1">
      <alignment horizontal="center" vertical="center"/>
    </xf>
    <xf numFmtId="0" fontId="32" fillId="2" borderId="22" xfId="0" applyFont="1" applyFill="1" applyBorder="1" applyAlignment="1">
      <alignment horizontal="center" vertical="center"/>
    </xf>
    <xf numFmtId="10" fontId="39" fillId="24" borderId="12" xfId="0" applyNumberFormat="1" applyFont="1" applyFill="1" applyBorder="1" applyAlignment="1">
      <alignment horizontal="center" vertical="center"/>
    </xf>
    <xf numFmtId="10" fontId="39" fillId="24" borderId="13" xfId="0" applyNumberFormat="1" applyFont="1" applyFill="1" applyBorder="1" applyAlignment="1">
      <alignment horizontal="center" vertical="center"/>
    </xf>
    <xf numFmtId="10" fontId="39" fillId="8" borderId="102" xfId="0" applyNumberFormat="1" applyFont="1" applyFill="1" applyBorder="1" applyAlignment="1">
      <alignment horizontal="center" vertical="center"/>
    </xf>
    <xf numFmtId="10" fontId="39" fillId="8" borderId="114" xfId="0" applyNumberFormat="1" applyFont="1" applyFill="1" applyBorder="1" applyAlignment="1">
      <alignment horizontal="center" vertical="center"/>
    </xf>
    <xf numFmtId="3" fontId="39" fillId="15" borderId="114" xfId="0" applyNumberFormat="1" applyFont="1" applyFill="1" applyBorder="1" applyAlignment="1">
      <alignment horizontal="center" vertical="center"/>
    </xf>
    <xf numFmtId="3" fontId="39" fillId="15" borderId="103" xfId="0" applyNumberFormat="1" applyFont="1" applyFill="1" applyBorder="1" applyAlignment="1">
      <alignment horizontal="center" vertical="center"/>
    </xf>
    <xf numFmtId="10" fontId="39" fillId="8" borderId="35" xfId="0" applyNumberFormat="1" applyFont="1" applyFill="1" applyBorder="1" applyAlignment="1">
      <alignment horizontal="center" vertical="center"/>
    </xf>
    <xf numFmtId="10" fontId="39" fillId="8" borderId="120" xfId="0" applyNumberFormat="1" applyFont="1" applyFill="1" applyBorder="1" applyAlignment="1">
      <alignment horizontal="center" vertical="center"/>
    </xf>
    <xf numFmtId="4" fontId="39" fillId="15" borderId="120" xfId="0" applyNumberFormat="1" applyFont="1" applyFill="1" applyBorder="1" applyAlignment="1">
      <alignment horizontal="center" vertical="center"/>
    </xf>
    <xf numFmtId="4" fontId="39" fillId="15" borderId="149" xfId="0" applyNumberFormat="1" applyFont="1" applyFill="1" applyBorder="1" applyAlignment="1">
      <alignment horizontal="center" vertical="center"/>
    </xf>
    <xf numFmtId="4" fontId="39" fillId="15" borderId="114" xfId="0" applyNumberFormat="1" applyFont="1" applyFill="1" applyBorder="1" applyAlignment="1">
      <alignment horizontal="center" vertical="center"/>
    </xf>
    <xf numFmtId="4" fontId="39" fillId="15" borderId="103" xfId="0" applyNumberFormat="1" applyFont="1" applyFill="1" applyBorder="1" applyAlignment="1">
      <alignment horizontal="center" vertical="center"/>
    </xf>
    <xf numFmtId="4" fontId="39" fillId="15" borderId="35" xfId="0" applyNumberFormat="1" applyFont="1" applyFill="1" applyBorder="1" applyAlignment="1">
      <alignment horizontal="center" vertical="center"/>
    </xf>
    <xf numFmtId="4" fontId="39" fillId="15" borderId="12" xfId="0" applyNumberFormat="1" applyFont="1" applyFill="1" applyBorder="1" applyAlignment="1">
      <alignment horizontal="center" vertical="center"/>
    </xf>
    <xf numFmtId="4" fontId="39" fillId="15" borderId="108" xfId="0" applyNumberFormat="1" applyFont="1" applyFill="1" applyBorder="1" applyAlignment="1">
      <alignment horizontal="center" vertical="center"/>
    </xf>
    <xf numFmtId="4" fontId="39" fillId="15" borderId="107" xfId="0" applyNumberFormat="1" applyFont="1" applyFill="1" applyBorder="1" applyAlignment="1">
      <alignment horizontal="center" vertical="center"/>
    </xf>
    <xf numFmtId="10" fontId="39" fillId="8" borderId="108" xfId="0" applyNumberFormat="1" applyFont="1" applyFill="1" applyBorder="1" applyAlignment="1">
      <alignment horizontal="center" vertical="center"/>
    </xf>
    <xf numFmtId="4" fontId="39" fillId="15" borderId="130" xfId="0" applyNumberFormat="1" applyFont="1" applyFill="1" applyBorder="1" applyAlignment="1">
      <alignment horizontal="center" vertical="center"/>
    </xf>
    <xf numFmtId="0" fontId="34" fillId="2" borderId="0" xfId="0" applyFont="1" applyFill="1" applyAlignment="1">
      <alignment horizontal="center" vertical="center"/>
    </xf>
    <xf numFmtId="10" fontId="39" fillId="2" borderId="0" xfId="0" applyNumberFormat="1" applyFont="1" applyFill="1" applyAlignment="1">
      <alignment horizontal="center" vertical="center"/>
    </xf>
    <xf numFmtId="4" fontId="39" fillId="2" borderId="0" xfId="0" applyNumberFormat="1" applyFont="1" applyFill="1" applyAlignment="1">
      <alignment horizontal="center" vertical="center"/>
    </xf>
    <xf numFmtId="1" fontId="51" fillId="25" borderId="1" xfId="0" applyNumberFormat="1" applyFont="1" applyFill="1" applyBorder="1" applyAlignment="1">
      <alignment horizontal="left"/>
    </xf>
    <xf numFmtId="0" fontId="52" fillId="25" borderId="1" xfId="0" applyFont="1" applyFill="1" applyBorder="1"/>
    <xf numFmtId="0" fontId="53" fillId="25" borderId="1" xfId="0" applyFont="1" applyFill="1" applyBorder="1"/>
    <xf numFmtId="0" fontId="4" fillId="25" borderId="1" xfId="0" applyFont="1" applyFill="1" applyBorder="1"/>
    <xf numFmtId="0" fontId="48" fillId="25" borderId="1" xfId="0" applyFont="1" applyFill="1" applyBorder="1"/>
    <xf numFmtId="0" fontId="4" fillId="25" borderId="1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25" borderId="1" xfId="0" applyFont="1" applyFill="1" applyBorder="1"/>
    <xf numFmtId="1" fontId="54" fillId="25" borderId="1" xfId="0" applyNumberFormat="1" applyFont="1" applyFill="1" applyBorder="1" applyAlignment="1">
      <alignment horizontal="left"/>
    </xf>
    <xf numFmtId="1" fontId="14" fillId="25" borderId="1" xfId="0" applyNumberFormat="1" applyFont="1" applyFill="1" applyBorder="1"/>
    <xf numFmtId="1" fontId="48" fillId="25" borderId="1" xfId="0" applyNumberFormat="1" applyFont="1" applyFill="1" applyBorder="1" applyAlignment="1">
      <alignment horizontal="left"/>
    </xf>
    <xf numFmtId="0" fontId="52" fillId="25" borderId="1" xfId="0" applyFont="1" applyFill="1" applyBorder="1" applyAlignment="1">
      <alignment horizontal="center"/>
    </xf>
    <xf numFmtId="0" fontId="52" fillId="25" borderId="156" xfId="0" applyFont="1" applyFill="1" applyBorder="1"/>
    <xf numFmtId="0" fontId="14" fillId="26" borderId="159" xfId="0" applyFont="1" applyFill="1" applyBorder="1" applyAlignment="1">
      <alignment horizontal="center"/>
    </xf>
    <xf numFmtId="2" fontId="36" fillId="14" borderId="99" xfId="0" applyNumberFormat="1" applyFont="1" applyFill="1" applyBorder="1" applyAlignment="1">
      <alignment horizontal="center" vertical="center"/>
    </xf>
    <xf numFmtId="0" fontId="14" fillId="26" borderId="124" xfId="0" applyFont="1" applyFill="1" applyBorder="1" applyAlignment="1">
      <alignment horizontal="center"/>
    </xf>
    <xf numFmtId="0" fontId="14" fillId="26" borderId="160" xfId="0" applyFont="1" applyFill="1" applyBorder="1" applyAlignment="1">
      <alignment horizontal="center"/>
    </xf>
    <xf numFmtId="0" fontId="14" fillId="26" borderId="71" xfId="0" applyFont="1" applyFill="1" applyBorder="1" applyAlignment="1">
      <alignment horizontal="center"/>
    </xf>
    <xf numFmtId="0" fontId="14" fillId="26" borderId="77" xfId="0" applyFont="1" applyFill="1" applyBorder="1" applyAlignment="1">
      <alignment horizontal="center"/>
    </xf>
    <xf numFmtId="0" fontId="54" fillId="25" borderId="1" xfId="0" applyFont="1" applyFill="1" applyBorder="1"/>
    <xf numFmtId="191" fontId="13" fillId="26" borderId="37" xfId="0" applyNumberFormat="1" applyFont="1" applyFill="1" applyBorder="1" applyAlignment="1">
      <alignment horizontal="center"/>
    </xf>
    <xf numFmtId="2" fontId="36" fillId="14" borderId="162" xfId="0" applyNumberFormat="1" applyFont="1" applyFill="1" applyBorder="1" applyAlignment="1">
      <alignment horizontal="center" vertical="center"/>
    </xf>
    <xf numFmtId="192" fontId="48" fillId="2" borderId="46" xfId="0" applyNumberFormat="1" applyFont="1" applyFill="1" applyBorder="1" applyAlignment="1">
      <alignment horizontal="center" vertical="center"/>
    </xf>
    <xf numFmtId="171" fontId="31" fillId="6" borderId="98" xfId="0" applyNumberFormat="1" applyFont="1" applyFill="1" applyBorder="1" applyAlignment="1">
      <alignment horizontal="center" vertical="center"/>
    </xf>
    <xf numFmtId="164" fontId="36" fillId="14" borderId="162" xfId="0" applyNumberFormat="1" applyFont="1" applyFill="1" applyBorder="1" applyAlignment="1">
      <alignment horizontal="center" vertical="center"/>
    </xf>
    <xf numFmtId="2" fontId="32" fillId="6" borderId="22" xfId="0" applyNumberFormat="1" applyFont="1" applyFill="1" applyBorder="1" applyAlignment="1">
      <alignment horizontal="center" vertical="center"/>
    </xf>
    <xf numFmtId="2" fontId="32" fillId="6" borderId="22" xfId="0" applyNumberFormat="1" applyFont="1" applyFill="1" applyBorder="1" applyAlignment="1">
      <alignment horizontal="center" vertical="center"/>
    </xf>
    <xf numFmtId="169" fontId="32" fillId="6" borderId="21" xfId="0" applyNumberFormat="1" applyFont="1" applyFill="1" applyBorder="1" applyAlignment="1">
      <alignment horizontal="center" vertical="center"/>
    </xf>
    <xf numFmtId="168" fontId="32" fillId="6" borderId="21" xfId="0" applyNumberFormat="1" applyFont="1" applyFill="1" applyBorder="1" applyAlignment="1">
      <alignment horizontal="center" vertical="center"/>
    </xf>
    <xf numFmtId="172" fontId="32" fillId="6" borderId="21" xfId="0" applyNumberFormat="1" applyFont="1" applyFill="1" applyBorder="1" applyAlignment="1">
      <alignment horizontal="center" vertical="center"/>
    </xf>
    <xf numFmtId="2" fontId="32" fillId="6" borderId="21" xfId="0" applyNumberFormat="1" applyFont="1" applyFill="1" applyBorder="1" applyAlignment="1">
      <alignment horizontal="center" vertical="center"/>
    </xf>
    <xf numFmtId="1" fontId="32" fillId="6" borderId="21" xfId="0" applyNumberFormat="1" applyFont="1" applyFill="1" applyBorder="1" applyAlignment="1">
      <alignment horizontal="center" vertical="center"/>
    </xf>
    <xf numFmtId="164" fontId="32" fillId="6" borderId="22" xfId="0" applyNumberFormat="1" applyFont="1" applyFill="1" applyBorder="1" applyAlignment="1">
      <alignment horizontal="center" vertical="center"/>
    </xf>
    <xf numFmtId="2" fontId="32" fillId="6" borderId="21" xfId="0" applyNumberFormat="1" applyFont="1" applyFill="1" applyBorder="1" applyAlignment="1">
      <alignment horizontal="center" vertical="center"/>
    </xf>
    <xf numFmtId="1" fontId="32" fillId="6" borderId="21" xfId="0" applyNumberFormat="1" applyFont="1" applyFill="1" applyBorder="1" applyAlignment="1">
      <alignment horizontal="center" vertical="center"/>
    </xf>
    <xf numFmtId="168" fontId="32" fillId="6" borderId="21" xfId="0" applyNumberFormat="1" applyFont="1" applyFill="1" applyBorder="1" applyAlignment="1">
      <alignment horizontal="center" vertical="center"/>
    </xf>
    <xf numFmtId="164" fontId="32" fillId="6" borderId="29" xfId="0" applyNumberFormat="1" applyFont="1" applyFill="1" applyBorder="1" applyAlignment="1">
      <alignment horizontal="center" vertical="center"/>
    </xf>
    <xf numFmtId="1" fontId="32" fillId="6" borderId="67" xfId="0" applyNumberFormat="1" applyFont="1" applyFill="1" applyBorder="1" applyAlignment="1">
      <alignment horizontal="center" vertical="center"/>
    </xf>
    <xf numFmtId="2" fontId="32" fillId="6" borderId="4" xfId="0" applyNumberFormat="1" applyFont="1" applyFill="1" applyBorder="1" applyAlignment="1">
      <alignment horizontal="center" vertical="center"/>
    </xf>
    <xf numFmtId="190" fontId="48" fillId="2" borderId="46" xfId="0" applyNumberFormat="1" applyFont="1" applyFill="1" applyBorder="1" applyAlignment="1">
      <alignment horizontal="center" vertical="center"/>
    </xf>
    <xf numFmtId="190" fontId="48" fillId="2" borderId="53" xfId="0" applyNumberFormat="1" applyFont="1" applyFill="1" applyBorder="1" applyAlignment="1">
      <alignment horizontal="center" vertical="center"/>
    </xf>
    <xf numFmtId="2" fontId="48" fillId="2" borderId="163" xfId="0" applyNumberFormat="1" applyFont="1" applyFill="1" applyBorder="1" applyAlignment="1">
      <alignment horizontal="center" vertical="center"/>
    </xf>
    <xf numFmtId="9" fontId="39" fillId="15" borderId="4" xfId="0" applyNumberFormat="1" applyFont="1" applyFill="1" applyBorder="1" applyAlignment="1">
      <alignment horizontal="center" vertical="center"/>
    </xf>
    <xf numFmtId="192" fontId="48" fillId="2" borderId="53" xfId="0" applyNumberFormat="1" applyFont="1" applyFill="1" applyBorder="1" applyAlignment="1">
      <alignment horizontal="center" vertical="center"/>
    </xf>
    <xf numFmtId="190" fontId="48" fillId="2" borderId="52" xfId="0" applyNumberFormat="1" applyFont="1" applyFill="1" applyBorder="1" applyAlignment="1">
      <alignment horizontal="center" vertical="center"/>
    </xf>
    <xf numFmtId="193" fontId="48" fillId="2" borderId="46" xfId="0" applyNumberFormat="1" applyFont="1" applyFill="1" applyBorder="1" applyAlignment="1">
      <alignment horizontal="center" vertical="center"/>
    </xf>
    <xf numFmtId="193" fontId="48" fillId="2" borderId="53" xfId="0" applyNumberFormat="1" applyFont="1" applyFill="1" applyBorder="1" applyAlignment="1">
      <alignment horizontal="center" vertical="center"/>
    </xf>
    <xf numFmtId="190" fontId="48" fillId="2" borderId="8" xfId="0" applyNumberFormat="1" applyFont="1" applyFill="1" applyBorder="1" applyAlignment="1">
      <alignment horizontal="center" vertical="center"/>
    </xf>
    <xf numFmtId="0" fontId="4" fillId="25" borderId="155" xfId="0" applyFont="1" applyFill="1" applyBorder="1"/>
    <xf numFmtId="1" fontId="32" fillId="6" borderId="56" xfId="0" applyNumberFormat="1" applyFont="1" applyFill="1" applyBorder="1" applyAlignment="1">
      <alignment horizontal="center" vertical="center"/>
    </xf>
    <xf numFmtId="191" fontId="13" fillId="26" borderId="10" xfId="0" applyNumberFormat="1" applyFont="1" applyFill="1" applyBorder="1" applyAlignment="1">
      <alignment horizontal="center"/>
    </xf>
    <xf numFmtId="1" fontId="32" fillId="6" borderId="100" xfId="0" applyNumberFormat="1" applyFont="1" applyFill="1" applyBorder="1" applyAlignment="1">
      <alignment horizontal="center" vertical="center"/>
    </xf>
    <xf numFmtId="166" fontId="32" fillId="6" borderId="6" xfId="0" applyNumberFormat="1" applyFont="1" applyFill="1" applyBorder="1" applyAlignment="1">
      <alignment horizontal="center" vertical="center"/>
    </xf>
    <xf numFmtId="2" fontId="32" fillId="6" borderId="67" xfId="0" applyNumberFormat="1" applyFont="1" applyFill="1" applyBorder="1" applyAlignment="1">
      <alignment horizontal="center" vertical="center"/>
    </xf>
    <xf numFmtId="192" fontId="48" fillId="2" borderId="67" xfId="0" applyNumberFormat="1" applyFont="1" applyFill="1" applyBorder="1" applyAlignment="1">
      <alignment horizontal="center" vertical="center"/>
    </xf>
    <xf numFmtId="166" fontId="32" fillId="6" borderId="4" xfId="0" applyNumberFormat="1" applyFont="1" applyFill="1" applyBorder="1" applyAlignment="1">
      <alignment horizontal="center" vertical="center"/>
    </xf>
    <xf numFmtId="166" fontId="32" fillId="6" borderId="21" xfId="0" applyNumberFormat="1" applyFont="1" applyFill="1" applyBorder="1" applyAlignment="1">
      <alignment horizontal="center" vertical="center"/>
    </xf>
    <xf numFmtId="190" fontId="48" fillId="2" borderId="67" xfId="0" applyNumberFormat="1" applyFont="1" applyFill="1" applyBorder="1" applyAlignment="1">
      <alignment horizontal="center" vertical="center"/>
    </xf>
    <xf numFmtId="2" fontId="32" fillId="6" borderId="30" xfId="0" applyNumberFormat="1" applyFont="1" applyFill="1" applyBorder="1" applyAlignment="1">
      <alignment horizontal="center" vertical="center"/>
    </xf>
    <xf numFmtId="172" fontId="32" fillId="6" borderId="21" xfId="0" applyNumberFormat="1" applyFont="1" applyFill="1" applyBorder="1" applyAlignment="1">
      <alignment horizontal="center" vertical="center"/>
    </xf>
    <xf numFmtId="190" fontId="48" fillId="2" borderId="100" xfId="0" applyNumberFormat="1" applyFont="1" applyFill="1" applyBorder="1" applyAlignment="1">
      <alignment horizontal="center" vertical="center"/>
    </xf>
    <xf numFmtId="166" fontId="32" fillId="6" borderId="30" xfId="0" applyNumberFormat="1" applyFont="1" applyFill="1" applyBorder="1" applyAlignment="1">
      <alignment horizontal="center" vertical="center"/>
    </xf>
    <xf numFmtId="164" fontId="32" fillId="6" borderId="21" xfId="0" applyNumberFormat="1" applyFont="1" applyFill="1" applyBorder="1" applyAlignment="1">
      <alignment horizontal="center" vertical="center"/>
    </xf>
    <xf numFmtId="2" fontId="48" fillId="2" borderId="117" xfId="0" applyNumberFormat="1" applyFont="1" applyFill="1" applyBorder="1" applyAlignment="1">
      <alignment horizontal="center" vertical="center"/>
    </xf>
    <xf numFmtId="192" fontId="48" fillId="2" borderId="100" xfId="0" applyNumberFormat="1" applyFont="1" applyFill="1" applyBorder="1" applyAlignment="1">
      <alignment horizontal="center" vertical="center"/>
    </xf>
    <xf numFmtId="4" fontId="32" fillId="6" borderId="22" xfId="0" applyNumberFormat="1" applyFont="1" applyFill="1" applyBorder="1" applyAlignment="1">
      <alignment horizontal="center" vertical="center"/>
    </xf>
    <xf numFmtId="0" fontId="32" fillId="6" borderId="21" xfId="0" applyFont="1" applyFill="1" applyBorder="1" applyAlignment="1">
      <alignment horizontal="center" vertical="center"/>
    </xf>
    <xf numFmtId="175" fontId="32" fillId="6" borderId="21" xfId="0" applyNumberFormat="1" applyFont="1" applyFill="1" applyBorder="1" applyAlignment="1">
      <alignment horizontal="center" vertical="center"/>
    </xf>
    <xf numFmtId="172" fontId="47" fillId="6" borderId="25" xfId="0" applyNumberFormat="1" applyFont="1" applyFill="1" applyBorder="1" applyAlignment="1">
      <alignment horizontal="center" vertical="center" wrapText="1"/>
    </xf>
    <xf numFmtId="172" fontId="47" fillId="6" borderId="22" xfId="0" applyNumberFormat="1" applyFont="1" applyFill="1" applyBorder="1" applyAlignment="1">
      <alignment horizontal="center" vertical="center" wrapText="1"/>
    </xf>
    <xf numFmtId="2" fontId="47" fillId="6" borderId="101" xfId="0" applyNumberFormat="1" applyFont="1" applyFill="1" applyBorder="1" applyAlignment="1">
      <alignment horizontal="center" vertical="center" wrapText="1"/>
    </xf>
    <xf numFmtId="2" fontId="47" fillId="6" borderId="22" xfId="0" applyNumberFormat="1" applyFont="1" applyFill="1" applyBorder="1" applyAlignment="1">
      <alignment horizontal="center" vertical="center" wrapText="1"/>
    </xf>
    <xf numFmtId="190" fontId="48" fillId="2" borderId="56" xfId="0" applyNumberFormat="1" applyFont="1" applyFill="1" applyBorder="1" applyAlignment="1">
      <alignment horizontal="center" vertical="center"/>
    </xf>
    <xf numFmtId="193" fontId="48" fillId="2" borderId="100" xfId="0" applyNumberFormat="1" applyFont="1" applyFill="1" applyBorder="1" applyAlignment="1">
      <alignment horizontal="center" vertical="center"/>
    </xf>
    <xf numFmtId="1" fontId="32" fillId="2" borderId="67" xfId="0" applyNumberFormat="1" applyFont="1" applyFill="1" applyBorder="1" applyAlignment="1">
      <alignment horizontal="center" vertical="center"/>
    </xf>
    <xf numFmtId="190" fontId="48" fillId="2" borderId="10" xfId="0" applyNumberFormat="1" applyFont="1" applyFill="1" applyBorder="1" applyAlignment="1">
      <alignment horizontal="center" vertical="center"/>
    </xf>
    <xf numFmtId="193" fontId="48" fillId="2" borderId="51" xfId="0" applyNumberFormat="1" applyFont="1" applyFill="1" applyBorder="1" applyAlignment="1">
      <alignment horizontal="center" vertical="center"/>
    </xf>
    <xf numFmtId="190" fontId="48" fillId="2" borderId="59" xfId="0" applyNumberFormat="1" applyFont="1" applyFill="1" applyBorder="1" applyAlignment="1">
      <alignment horizontal="center" vertical="center"/>
    </xf>
    <xf numFmtId="191" fontId="13" fillId="26" borderId="119" xfId="0" applyNumberFormat="1" applyFont="1" applyFill="1" applyBorder="1" applyAlignment="1">
      <alignment horizontal="center"/>
    </xf>
    <xf numFmtId="190" fontId="48" fillId="2" borderId="102" xfId="0" applyNumberFormat="1" applyFont="1" applyFill="1" applyBorder="1" applyAlignment="1">
      <alignment horizontal="center" vertical="center"/>
    </xf>
    <xf numFmtId="193" fontId="48" fillId="2" borderId="132" xfId="0" applyNumberFormat="1" applyFont="1" applyFill="1" applyBorder="1" applyAlignment="1">
      <alignment horizontal="center" vertical="center"/>
    </xf>
    <xf numFmtId="190" fontId="48" fillId="2" borderId="42" xfId="0" applyNumberFormat="1" applyFont="1" applyFill="1" applyBorder="1" applyAlignment="1">
      <alignment horizontal="center" vertical="center"/>
    </xf>
    <xf numFmtId="190" fontId="13" fillId="26" borderId="166" xfId="0" applyNumberFormat="1" applyFont="1" applyFill="1" applyBorder="1" applyAlignment="1">
      <alignment horizontal="center"/>
    </xf>
    <xf numFmtId="1" fontId="13" fillId="26" borderId="46" xfId="0" applyNumberFormat="1" applyFont="1" applyFill="1" applyBorder="1" applyAlignment="1">
      <alignment horizontal="center" vertical="center"/>
    </xf>
    <xf numFmtId="1" fontId="13" fillId="26" borderId="53" xfId="0" applyNumberFormat="1" applyFont="1" applyFill="1" applyBorder="1" applyAlignment="1">
      <alignment horizontal="center" vertical="center"/>
    </xf>
    <xf numFmtId="1" fontId="13" fillId="26" borderId="8" xfId="0" applyNumberFormat="1" applyFont="1" applyFill="1" applyBorder="1" applyAlignment="1">
      <alignment horizontal="center" vertical="center"/>
    </xf>
    <xf numFmtId="1" fontId="13" fillId="26" borderId="60" xfId="0" applyNumberFormat="1" applyFont="1" applyFill="1" applyBorder="1" applyAlignment="1">
      <alignment horizontal="center" vertical="center"/>
    </xf>
    <xf numFmtId="1" fontId="13" fillId="26" borderId="51" xfId="0" applyNumberFormat="1" applyFont="1" applyFill="1" applyBorder="1" applyAlignment="1">
      <alignment horizontal="center" vertical="center"/>
    </xf>
    <xf numFmtId="1" fontId="13" fillId="26" borderId="102" xfId="0" applyNumberFormat="1" applyFont="1" applyFill="1" applyBorder="1" applyAlignment="1">
      <alignment horizontal="center" vertical="center"/>
    </xf>
    <xf numFmtId="190" fontId="13" fillId="24" borderId="103" xfId="0" applyNumberFormat="1" applyFont="1" applyFill="1" applyBorder="1" applyAlignment="1">
      <alignment horizontal="center" vertical="center"/>
    </xf>
    <xf numFmtId="0" fontId="48" fillId="24" borderId="103" xfId="0" applyFont="1" applyFill="1" applyBorder="1" applyAlignment="1">
      <alignment horizontal="center" vertical="center"/>
    </xf>
    <xf numFmtId="0" fontId="48" fillId="24" borderId="13" xfId="0" applyFont="1" applyFill="1" applyBorder="1" applyAlignment="1">
      <alignment horizontal="center" vertical="center"/>
    </xf>
    <xf numFmtId="190" fontId="51" fillId="25" borderId="1" xfId="0" applyNumberFormat="1" applyFont="1" applyFill="1" applyBorder="1" applyAlignment="1">
      <alignment horizontal="center"/>
    </xf>
    <xf numFmtId="1" fontId="51" fillId="25" borderId="1" xfId="0" applyNumberFormat="1" applyFont="1" applyFill="1" applyBorder="1"/>
    <xf numFmtId="1" fontId="51" fillId="25" borderId="126" xfId="0" applyNumberFormat="1" applyFont="1" applyFill="1" applyBorder="1"/>
    <xf numFmtId="0" fontId="14" fillId="26" borderId="8" xfId="0" applyFont="1" applyFill="1" applyBorder="1" applyAlignment="1">
      <alignment horizontal="center"/>
    </xf>
    <xf numFmtId="0" fontId="14" fillId="28" borderId="167" xfId="0" applyFont="1" applyFill="1" applyBorder="1" applyAlignment="1">
      <alignment horizontal="center"/>
    </xf>
    <xf numFmtId="0" fontId="14" fillId="26" borderId="13" xfId="0" applyFont="1" applyFill="1" applyBorder="1" applyAlignment="1">
      <alignment horizontal="center"/>
    </xf>
    <xf numFmtId="164" fontId="48" fillId="28" borderId="100" xfId="0" applyNumberFormat="1" applyFont="1" applyFill="1" applyBorder="1" applyAlignment="1">
      <alignment horizontal="center" vertical="center"/>
    </xf>
    <xf numFmtId="0" fontId="14" fillId="28" borderId="168" xfId="0" applyFont="1" applyFill="1" applyBorder="1" applyAlignment="1">
      <alignment horizontal="center"/>
    </xf>
    <xf numFmtId="0" fontId="13" fillId="26" borderId="8" xfId="0" applyFont="1" applyFill="1" applyBorder="1" applyAlignment="1">
      <alignment horizontal="center"/>
    </xf>
    <xf numFmtId="192" fontId="48" fillId="26" borderId="121" xfId="0" applyNumberFormat="1" applyFont="1" applyFill="1" applyBorder="1" applyAlignment="1">
      <alignment horizontal="center" vertical="center"/>
    </xf>
    <xf numFmtId="192" fontId="48" fillId="29" borderId="55" xfId="0" applyNumberFormat="1" applyFont="1" applyFill="1" applyBorder="1" applyAlignment="1">
      <alignment horizontal="center" vertical="center"/>
    </xf>
    <xf numFmtId="164" fontId="48" fillId="29" borderId="46" xfId="0" applyNumberFormat="1" applyFont="1" applyFill="1" applyBorder="1" applyAlignment="1">
      <alignment horizontal="center" vertical="center"/>
    </xf>
    <xf numFmtId="2" fontId="48" fillId="29" borderId="55" xfId="0" applyNumberFormat="1" applyFont="1" applyFill="1" applyBorder="1" applyAlignment="1">
      <alignment horizontal="center" vertical="center"/>
    </xf>
    <xf numFmtId="166" fontId="48" fillId="29" borderId="55" xfId="0" applyNumberFormat="1" applyFont="1" applyFill="1" applyBorder="1" applyAlignment="1">
      <alignment horizontal="center" vertical="center"/>
    </xf>
    <xf numFmtId="164" fontId="48" fillId="28" borderId="167" xfId="0" applyNumberFormat="1" applyFont="1" applyFill="1" applyBorder="1" applyAlignment="1">
      <alignment horizontal="center"/>
    </xf>
    <xf numFmtId="0" fontId="13" fillId="26" borderId="10" xfId="0" applyFont="1" applyFill="1" applyBorder="1" applyAlignment="1">
      <alignment horizontal="center"/>
    </xf>
    <xf numFmtId="190" fontId="48" fillId="26" borderId="76" xfId="0" applyNumberFormat="1" applyFont="1" applyFill="1" applyBorder="1" applyAlignment="1">
      <alignment horizontal="center" vertical="center"/>
    </xf>
    <xf numFmtId="190" fontId="48" fillId="2" borderId="4" xfId="0" applyNumberFormat="1" applyFont="1" applyFill="1" applyBorder="1" applyAlignment="1">
      <alignment horizontal="center" vertical="center"/>
    </xf>
    <xf numFmtId="193" fontId="48" fillId="2" borderId="4" xfId="0" applyNumberFormat="1" applyFont="1" applyFill="1" applyBorder="1" applyAlignment="1">
      <alignment horizontal="center" vertical="center"/>
    </xf>
    <xf numFmtId="1" fontId="48" fillId="0" borderId="67" xfId="0" applyNumberFormat="1" applyFont="1" applyBorder="1" applyAlignment="1">
      <alignment horizontal="center" vertical="center"/>
    </xf>
    <xf numFmtId="164" fontId="48" fillId="0" borderId="4" xfId="0" applyNumberFormat="1" applyFont="1" applyBorder="1" applyAlignment="1">
      <alignment horizontal="center" vertical="center"/>
    </xf>
    <xf numFmtId="164" fontId="48" fillId="28" borderId="125" xfId="0" applyNumberFormat="1" applyFont="1" applyFill="1" applyBorder="1" applyAlignment="1">
      <alignment horizontal="center"/>
    </xf>
    <xf numFmtId="0" fontId="13" fillId="26" borderId="70" xfId="0" applyFont="1" applyFill="1" applyBorder="1" applyAlignment="1">
      <alignment horizontal="center"/>
    </xf>
    <xf numFmtId="190" fontId="48" fillId="26" borderId="169" xfId="0" applyNumberFormat="1" applyFont="1" applyFill="1" applyBorder="1" applyAlignment="1">
      <alignment horizontal="center" vertical="center"/>
    </xf>
    <xf numFmtId="190" fontId="48" fillId="2" borderId="114" xfId="0" applyNumberFormat="1" applyFont="1" applyFill="1" applyBorder="1" applyAlignment="1">
      <alignment horizontal="center" vertical="center"/>
    </xf>
    <xf numFmtId="164" fontId="48" fillId="28" borderId="103" xfId="0" applyNumberFormat="1" applyFont="1" applyFill="1" applyBorder="1" applyAlignment="1">
      <alignment horizontal="center" vertical="center"/>
    </xf>
    <xf numFmtId="1" fontId="48" fillId="0" borderId="102" xfId="0" applyNumberFormat="1" applyFont="1" applyBorder="1" applyAlignment="1">
      <alignment horizontal="center" vertical="center"/>
    </xf>
    <xf numFmtId="164" fontId="48" fillId="0" borderId="114" xfId="0" applyNumberFormat="1" applyFont="1" applyBorder="1" applyAlignment="1">
      <alignment horizontal="center" vertical="center"/>
    </xf>
    <xf numFmtId="164" fontId="48" fillId="28" borderId="168" xfId="0" applyNumberFormat="1" applyFont="1" applyFill="1" applyBorder="1" applyAlignment="1">
      <alignment horizontal="center"/>
    </xf>
    <xf numFmtId="0" fontId="29" fillId="25" borderId="1" xfId="0" applyFont="1" applyFill="1" applyBorder="1" applyAlignment="1">
      <alignment horizontal="right"/>
    </xf>
    <xf numFmtId="0" fontId="53" fillId="25" borderId="1" xfId="0" applyFont="1" applyFill="1" applyBorder="1" applyAlignment="1">
      <alignment horizontal="right"/>
    </xf>
    <xf numFmtId="190" fontId="13" fillId="26" borderId="3" xfId="0" applyNumberFormat="1" applyFont="1" applyFill="1" applyBorder="1" applyAlignment="1">
      <alignment horizontal="center"/>
    </xf>
    <xf numFmtId="1" fontId="13" fillId="26" borderId="170" xfId="0" applyNumberFormat="1" applyFont="1" applyFill="1" applyBorder="1" applyAlignment="1">
      <alignment horizontal="center" vertical="center"/>
    </xf>
    <xf numFmtId="164" fontId="13" fillId="28" borderId="171" xfId="0" applyNumberFormat="1" applyFont="1" applyFill="1" applyBorder="1" applyAlignment="1">
      <alignment horizontal="center" vertical="center"/>
    </xf>
    <xf numFmtId="1" fontId="13" fillId="26" borderId="172" xfId="0" applyNumberFormat="1" applyFont="1" applyFill="1" applyBorder="1" applyAlignment="1">
      <alignment horizontal="center" vertical="center"/>
    </xf>
    <xf numFmtId="164" fontId="13" fillId="26" borderId="170" xfId="0" applyNumberFormat="1" applyFont="1" applyFill="1" applyBorder="1" applyAlignment="1">
      <alignment horizontal="center" vertical="center"/>
    </xf>
    <xf numFmtId="164" fontId="13" fillId="28" borderId="171" xfId="0" applyNumberFormat="1" applyFont="1" applyFill="1" applyBorder="1" applyAlignment="1">
      <alignment horizontal="center"/>
    </xf>
    <xf numFmtId="190" fontId="13" fillId="25" borderId="1" xfId="0" applyNumberFormat="1" applyFont="1" applyFill="1" applyBorder="1" applyAlignment="1">
      <alignment horizontal="center"/>
    </xf>
    <xf numFmtId="1" fontId="13" fillId="25" borderId="1" xfId="0" applyNumberFormat="1" applyFont="1" applyFill="1" applyBorder="1" applyAlignment="1">
      <alignment horizontal="center"/>
    </xf>
    <xf numFmtId="164" fontId="13" fillId="25" borderId="1" xfId="0" applyNumberFormat="1" applyFont="1" applyFill="1" applyBorder="1" applyAlignment="1">
      <alignment horizontal="center"/>
    </xf>
    <xf numFmtId="164" fontId="51" fillId="25" borderId="1" xfId="0" applyNumberFormat="1" applyFont="1" applyFill="1" applyBorder="1"/>
    <xf numFmtId="0" fontId="29" fillId="25" borderId="1" xfId="0" applyFont="1" applyFill="1" applyBorder="1"/>
    <xf numFmtId="0" fontId="48" fillId="25" borderId="1" xfId="0" applyFont="1" applyFill="1" applyBorder="1" applyAlignment="1">
      <alignment horizontal="right"/>
    </xf>
    <xf numFmtId="15" fontId="48" fillId="25" borderId="1" xfId="0" applyNumberFormat="1" applyFont="1" applyFill="1" applyBorder="1" applyAlignment="1">
      <alignment horizontal="right"/>
    </xf>
    <xf numFmtId="0" fontId="52" fillId="25" borderId="1" xfId="0" applyFont="1" applyFill="1" applyBorder="1" applyAlignment="1">
      <alignment horizontal="left"/>
    </xf>
    <xf numFmtId="0" fontId="52" fillId="25" borderId="173" xfId="0" applyFont="1" applyFill="1" applyBorder="1"/>
    <xf numFmtId="0" fontId="14" fillId="26" borderId="174" xfId="0" applyFont="1" applyFill="1" applyBorder="1" applyAlignment="1">
      <alignment horizontal="center"/>
    </xf>
    <xf numFmtId="0" fontId="14" fillId="26" borderId="55" xfId="0" applyFont="1" applyFill="1" applyBorder="1" applyAlignment="1">
      <alignment horizontal="center"/>
    </xf>
    <xf numFmtId="0" fontId="14" fillId="5" borderId="55" xfId="0" applyFont="1" applyFill="1" applyBorder="1" applyAlignment="1">
      <alignment horizontal="center"/>
    </xf>
    <xf numFmtId="0" fontId="14" fillId="26" borderId="53" xfId="0" applyFont="1" applyFill="1" applyBorder="1" applyAlignment="1">
      <alignment horizontal="center"/>
    </xf>
    <xf numFmtId="0" fontId="14" fillId="26" borderId="102" xfId="0" applyFont="1" applyFill="1" applyBorder="1" applyAlignment="1">
      <alignment horizontal="center"/>
    </xf>
    <xf numFmtId="0" fontId="14" fillId="26" borderId="114" xfId="0" applyFont="1" applyFill="1" applyBorder="1" applyAlignment="1">
      <alignment horizontal="center"/>
    </xf>
    <xf numFmtId="0" fontId="14" fillId="5" borderId="114" xfId="0" applyFont="1" applyFill="1" applyBorder="1" applyAlignment="1">
      <alignment horizontal="center"/>
    </xf>
    <xf numFmtId="0" fontId="14" fillId="26" borderId="103" xfId="0" applyFont="1" applyFill="1" applyBorder="1" applyAlignment="1">
      <alignment horizontal="center"/>
    </xf>
    <xf numFmtId="0" fontId="14" fillId="26" borderId="175" xfId="0" applyFont="1" applyFill="1" applyBorder="1" applyAlignment="1">
      <alignment horizontal="center"/>
    </xf>
    <xf numFmtId="0" fontId="4" fillId="7" borderId="1" xfId="0" applyFont="1" applyFill="1" applyBorder="1"/>
    <xf numFmtId="0" fontId="2" fillId="7" borderId="1" xfId="0" applyFont="1" applyFill="1" applyBorder="1"/>
    <xf numFmtId="167" fontId="13" fillId="26" borderId="8" xfId="0" applyNumberFormat="1" applyFont="1" applyFill="1" applyBorder="1" applyAlignment="1">
      <alignment horizontal="center"/>
    </xf>
    <xf numFmtId="2" fontId="35" fillId="30" borderId="56" xfId="0" applyNumberFormat="1" applyFont="1" applyFill="1" applyBorder="1" applyAlignment="1">
      <alignment horizontal="center"/>
    </xf>
    <xf numFmtId="2" fontId="35" fillId="29" borderId="56" xfId="0" applyNumberFormat="1" applyFont="1" applyFill="1" applyBorder="1" applyAlignment="1">
      <alignment horizontal="center"/>
    </xf>
    <xf numFmtId="2" fontId="35" fillId="5" borderId="56" xfId="0" applyNumberFormat="1" applyFont="1" applyFill="1" applyBorder="1" applyAlignment="1">
      <alignment horizontal="center"/>
    </xf>
    <xf numFmtId="0" fontId="4" fillId="7" borderId="1" xfId="0" applyFont="1" applyFill="1" applyBorder="1" applyAlignment="1"/>
    <xf numFmtId="167" fontId="13" fillId="26" borderId="10" xfId="0" applyNumberFormat="1" applyFont="1" applyFill="1" applyBorder="1" applyAlignment="1">
      <alignment horizontal="center"/>
    </xf>
    <xf numFmtId="166" fontId="35" fillId="5" borderId="4" xfId="0" applyNumberFormat="1" applyFont="1" applyFill="1" applyBorder="1" applyAlignment="1">
      <alignment horizontal="center"/>
    </xf>
    <xf numFmtId="166" fontId="35" fillId="5" borderId="54" xfId="0" applyNumberFormat="1" applyFont="1" applyFill="1" applyBorder="1" applyAlignment="1">
      <alignment horizontal="center"/>
    </xf>
    <xf numFmtId="2" fontId="13" fillId="26" borderId="3" xfId="0" applyNumberFormat="1" applyFont="1" applyFill="1" applyBorder="1" applyAlignment="1">
      <alignment horizontal="center" vertical="center"/>
    </xf>
    <xf numFmtId="2" fontId="13" fillId="26" borderId="176" xfId="0" applyNumberFormat="1" applyFont="1" applyFill="1" applyBorder="1" applyAlignment="1">
      <alignment horizontal="center" vertical="center"/>
    </xf>
    <xf numFmtId="0" fontId="14" fillId="26" borderId="46" xfId="0" applyFont="1" applyFill="1" applyBorder="1" applyAlignment="1">
      <alignment horizontal="center"/>
    </xf>
    <xf numFmtId="1" fontId="13" fillId="26" borderId="171" xfId="0" applyNumberFormat="1" applyFont="1" applyFill="1" applyBorder="1" applyAlignment="1">
      <alignment horizontal="center" vertical="center"/>
    </xf>
    <xf numFmtId="2" fontId="51" fillId="25" borderId="1" xfId="0" applyNumberFormat="1" applyFont="1" applyFill="1" applyBorder="1"/>
    <xf numFmtId="15" fontId="48" fillId="25" borderId="1" xfId="0" applyNumberFormat="1" applyFont="1" applyFill="1" applyBorder="1" applyAlignment="1">
      <alignment horizontal="left"/>
    </xf>
    <xf numFmtId="0" fontId="14" fillId="26" borderId="177" xfId="0" applyFont="1" applyFill="1" applyBorder="1" applyAlignment="1">
      <alignment horizontal="center"/>
    </xf>
    <xf numFmtId="0" fontId="14" fillId="26" borderId="178" xfId="0" applyFont="1" applyFill="1" applyBorder="1" applyAlignment="1">
      <alignment horizontal="center"/>
    </xf>
    <xf numFmtId="0" fontId="14" fillId="26" borderId="123" xfId="0" applyFont="1" applyFill="1" applyBorder="1" applyAlignment="1">
      <alignment horizontal="center"/>
    </xf>
    <xf numFmtId="164" fontId="48" fillId="29" borderId="55" xfId="0" applyNumberFormat="1" applyFont="1" applyFill="1" applyBorder="1" applyAlignment="1">
      <alignment horizontal="center" vertical="center"/>
    </xf>
    <xf numFmtId="166" fontId="48" fillId="29" borderId="177" xfId="0" applyNumberFormat="1" applyFont="1" applyFill="1" applyBorder="1" applyAlignment="1">
      <alignment horizontal="center" vertical="center"/>
    </xf>
    <xf numFmtId="166" fontId="48" fillId="29" borderId="53" xfId="0" applyNumberFormat="1" applyFont="1" applyFill="1" applyBorder="1" applyAlignment="1">
      <alignment horizontal="center" vertical="center"/>
    </xf>
    <xf numFmtId="164" fontId="48" fillId="0" borderId="67" xfId="0" applyNumberFormat="1" applyFont="1" applyBorder="1" applyAlignment="1">
      <alignment horizontal="center" vertical="center"/>
    </xf>
    <xf numFmtId="166" fontId="48" fillId="0" borderId="4" xfId="0" applyNumberFormat="1" applyFont="1" applyBorder="1" applyAlignment="1">
      <alignment horizontal="center" vertical="center"/>
    </xf>
    <xf numFmtId="166" fontId="48" fillId="0" borderId="56" xfId="0" applyNumberFormat="1" applyFont="1" applyBorder="1" applyAlignment="1">
      <alignment horizontal="center" vertical="center"/>
    </xf>
    <xf numFmtId="166" fontId="48" fillId="0" borderId="100" xfId="0" applyNumberFormat="1" applyFont="1" applyBorder="1" applyAlignment="1">
      <alignment horizontal="center" vertical="center"/>
    </xf>
    <xf numFmtId="164" fontId="48" fillId="0" borderId="102" xfId="0" applyNumberFormat="1" applyFont="1" applyBorder="1" applyAlignment="1">
      <alignment horizontal="center" vertical="center"/>
    </xf>
    <xf numFmtId="166" fontId="48" fillId="0" borderId="114" xfId="0" applyNumberFormat="1" applyFont="1" applyBorder="1" applyAlignment="1">
      <alignment horizontal="center" vertical="center"/>
    </xf>
    <xf numFmtId="166" fontId="48" fillId="0" borderId="104" xfId="0" applyNumberFormat="1" applyFont="1" applyBorder="1" applyAlignment="1">
      <alignment horizontal="center" vertical="center"/>
    </xf>
    <xf numFmtId="166" fontId="48" fillId="0" borderId="103" xfId="0" applyNumberFormat="1" applyFont="1" applyBorder="1" applyAlignment="1">
      <alignment horizontal="center" vertical="center"/>
    </xf>
    <xf numFmtId="190" fontId="13" fillId="26" borderId="37" xfId="0" applyNumberFormat="1" applyFont="1" applyFill="1" applyBorder="1" applyAlignment="1">
      <alignment horizontal="center"/>
    </xf>
    <xf numFmtId="164" fontId="13" fillId="26" borderId="179" xfId="0" applyNumberFormat="1" applyFont="1" applyFill="1" applyBorder="1" applyAlignment="1">
      <alignment horizontal="center" vertical="center"/>
    </xf>
    <xf numFmtId="166" fontId="13" fillId="26" borderId="179" xfId="0" applyNumberFormat="1" applyFont="1" applyFill="1" applyBorder="1" applyAlignment="1">
      <alignment horizontal="center" vertical="center"/>
    </xf>
    <xf numFmtId="166" fontId="13" fillId="26" borderId="180" xfId="0" applyNumberFormat="1" applyFont="1" applyFill="1" applyBorder="1" applyAlignment="1">
      <alignment horizontal="center" vertical="center"/>
    </xf>
    <xf numFmtId="166" fontId="13" fillId="26" borderId="181" xfId="0" applyNumberFormat="1" applyFont="1" applyFill="1" applyBorder="1" applyAlignment="1">
      <alignment horizontal="center" vertical="center"/>
    </xf>
    <xf numFmtId="166" fontId="13" fillId="26" borderId="182" xfId="0" applyNumberFormat="1" applyFont="1" applyFill="1" applyBorder="1" applyAlignment="1">
      <alignment horizontal="center" vertical="center"/>
    </xf>
    <xf numFmtId="164" fontId="58" fillId="0" borderId="46" xfId="0" applyNumberFormat="1" applyFont="1" applyBorder="1" applyAlignment="1">
      <alignment horizontal="center" vertical="center"/>
    </xf>
    <xf numFmtId="164" fontId="58" fillId="0" borderId="55" xfId="0" applyNumberFormat="1" applyFont="1" applyBorder="1" applyAlignment="1">
      <alignment horizontal="center" vertical="center"/>
    </xf>
    <xf numFmtId="2" fontId="59" fillId="0" borderId="55" xfId="0" applyNumberFormat="1" applyFont="1" applyBorder="1" applyAlignment="1">
      <alignment horizontal="center" vertical="center"/>
    </xf>
    <xf numFmtId="1" fontId="59" fillId="0" borderId="55" xfId="0" applyNumberFormat="1" applyFont="1" applyBorder="1" applyAlignment="1">
      <alignment horizontal="center" vertical="center"/>
    </xf>
    <xf numFmtId="164" fontId="59" fillId="0" borderId="55" xfId="0" applyNumberFormat="1" applyFont="1" applyBorder="1" applyAlignment="1">
      <alignment horizontal="center" vertical="center"/>
    </xf>
    <xf numFmtId="172" fontId="47" fillId="2" borderId="25" xfId="0" applyNumberFormat="1" applyFont="1" applyFill="1" applyBorder="1" applyAlignment="1">
      <alignment horizontal="center" vertical="center" wrapText="1"/>
    </xf>
    <xf numFmtId="164" fontId="59" fillId="0" borderId="55" xfId="0" applyNumberFormat="1" applyFont="1" applyBorder="1" applyAlignment="1">
      <alignment horizontal="center" vertical="center"/>
    </xf>
    <xf numFmtId="1" fontId="59" fillId="0" borderId="53" xfId="0" applyNumberFormat="1" applyFont="1" applyBorder="1" applyAlignment="1">
      <alignment horizontal="center" vertical="center"/>
    </xf>
    <xf numFmtId="1" fontId="59" fillId="0" borderId="102" xfId="0" applyNumberFormat="1" applyFont="1" applyBorder="1" applyAlignment="1">
      <alignment horizontal="center" vertical="center"/>
    </xf>
    <xf numFmtId="1" fontId="59" fillId="0" borderId="114" xfId="0" applyNumberFormat="1" applyFont="1" applyBorder="1" applyAlignment="1">
      <alignment horizontal="center" vertical="center"/>
    </xf>
    <xf numFmtId="1" fontId="59" fillId="0" borderId="103" xfId="0" applyNumberFormat="1" applyFont="1" applyBorder="1" applyAlignment="1">
      <alignment horizontal="center" vertical="center"/>
    </xf>
    <xf numFmtId="0" fontId="51" fillId="25" borderId="1" xfId="0" applyFont="1" applyFill="1" applyBorder="1" applyAlignment="1">
      <alignment horizontal="center"/>
    </xf>
    <xf numFmtId="0" fontId="53" fillId="25" borderId="118" xfId="0" applyFont="1" applyFill="1" applyBorder="1" applyAlignment="1">
      <alignment horizontal="center"/>
    </xf>
    <xf numFmtId="190" fontId="14" fillId="26" borderId="46" xfId="0" applyNumberFormat="1" applyFont="1" applyFill="1" applyBorder="1" applyAlignment="1">
      <alignment horizontal="center"/>
    </xf>
    <xf numFmtId="190" fontId="14" fillId="26" borderId="159" xfId="0" applyNumberFormat="1" applyFont="1" applyFill="1" applyBorder="1" applyAlignment="1">
      <alignment horizontal="center"/>
    </xf>
    <xf numFmtId="190" fontId="48" fillId="29" borderId="46" xfId="0" applyNumberFormat="1" applyFont="1" applyFill="1" applyBorder="1" applyAlignment="1">
      <alignment horizontal="center" vertical="center"/>
    </xf>
    <xf numFmtId="192" fontId="48" fillId="29" borderId="53" xfId="0" applyNumberFormat="1" applyFont="1" applyFill="1" applyBorder="1" applyAlignment="1">
      <alignment horizontal="center" vertical="center"/>
    </xf>
    <xf numFmtId="190" fontId="48" fillId="0" borderId="67" xfId="0" applyNumberFormat="1" applyFont="1" applyBorder="1" applyAlignment="1">
      <alignment horizontal="center" vertical="center"/>
    </xf>
    <xf numFmtId="192" fontId="48" fillId="0" borderId="4" xfId="0" applyNumberFormat="1" applyFont="1" applyBorder="1" applyAlignment="1">
      <alignment horizontal="center" vertical="center"/>
    </xf>
    <xf numFmtId="192" fontId="48" fillId="0" borderId="100" xfId="0" applyNumberFormat="1" applyFont="1" applyBorder="1" applyAlignment="1">
      <alignment horizontal="center" vertical="center"/>
    </xf>
    <xf numFmtId="190" fontId="48" fillId="0" borderId="102" xfId="0" applyNumberFormat="1" applyFont="1" applyBorder="1" applyAlignment="1">
      <alignment horizontal="center" vertical="center"/>
    </xf>
    <xf numFmtId="192" fontId="48" fillId="0" borderId="114" xfId="0" applyNumberFormat="1" applyFont="1" applyBorder="1" applyAlignment="1">
      <alignment horizontal="center" vertical="center"/>
    </xf>
    <xf numFmtId="192" fontId="48" fillId="0" borderId="103" xfId="0" applyNumberFormat="1" applyFont="1" applyBorder="1" applyAlignment="1">
      <alignment horizontal="center" vertical="center"/>
    </xf>
    <xf numFmtId="1" fontId="32" fillId="19" borderId="67" xfId="0" applyNumberFormat="1" applyFont="1" applyFill="1" applyBorder="1" applyAlignment="1">
      <alignment horizontal="center" vertical="center"/>
    </xf>
    <xf numFmtId="1" fontId="13" fillId="26" borderId="172" xfId="0" applyNumberFormat="1" applyFont="1" applyFill="1" applyBorder="1" applyAlignment="1">
      <alignment horizontal="right"/>
    </xf>
    <xf numFmtId="192" fontId="13" fillId="26" borderId="170" xfId="0" applyNumberFormat="1" applyFont="1" applyFill="1" applyBorder="1" applyAlignment="1">
      <alignment horizontal="right"/>
    </xf>
    <xf numFmtId="1" fontId="13" fillId="25" borderId="183" xfId="0" applyNumberFormat="1" applyFont="1" applyFill="1" applyBorder="1"/>
    <xf numFmtId="192" fontId="13" fillId="25" borderId="183" xfId="0" applyNumberFormat="1" applyFont="1" applyFill="1" applyBorder="1"/>
    <xf numFmtId="192" fontId="13" fillId="25" borderId="1" xfId="0" applyNumberFormat="1" applyFont="1" applyFill="1" applyBorder="1"/>
    <xf numFmtId="1" fontId="13" fillId="25" borderId="1" xfId="0" applyNumberFormat="1" applyFont="1" applyFill="1" applyBorder="1"/>
    <xf numFmtId="0" fontId="14" fillId="26" borderId="168" xfId="0" applyFont="1" applyFill="1" applyBorder="1" applyAlignment="1">
      <alignment horizontal="center"/>
    </xf>
    <xf numFmtId="190" fontId="48" fillId="0" borderId="63" xfId="0" applyNumberFormat="1" applyFont="1" applyBorder="1" applyAlignment="1">
      <alignment horizontal="right"/>
    </xf>
    <xf numFmtId="190" fontId="48" fillId="0" borderId="0" xfId="0" applyNumberFormat="1" applyFont="1" applyAlignment="1">
      <alignment horizontal="right"/>
    </xf>
    <xf numFmtId="190" fontId="48" fillId="0" borderId="46" xfId="0" applyNumberFormat="1" applyFont="1" applyBorder="1" applyAlignment="1">
      <alignment horizontal="right"/>
    </xf>
    <xf numFmtId="190" fontId="48" fillId="0" borderId="47" xfId="0" applyNumberFormat="1" applyFont="1" applyBorder="1" applyAlignment="1">
      <alignment horizontal="right"/>
    </xf>
    <xf numFmtId="190" fontId="48" fillId="0" borderId="55" xfId="0" applyNumberFormat="1" applyFont="1" applyBorder="1" applyAlignment="1">
      <alignment horizontal="right"/>
    </xf>
    <xf numFmtId="164" fontId="48" fillId="0" borderId="53" xfId="0" applyNumberFormat="1" applyFont="1" applyBorder="1" applyAlignment="1">
      <alignment horizontal="right"/>
    </xf>
    <xf numFmtId="1" fontId="48" fillId="0" borderId="46" xfId="0" applyNumberFormat="1" applyFont="1" applyBorder="1" applyAlignment="1">
      <alignment horizontal="right"/>
    </xf>
    <xf numFmtId="1" fontId="48" fillId="0" borderId="47" xfId="0" applyNumberFormat="1" applyFont="1" applyBorder="1" applyAlignment="1">
      <alignment horizontal="right"/>
    </xf>
    <xf numFmtId="1" fontId="48" fillId="0" borderId="55" xfId="0" applyNumberFormat="1" applyFont="1" applyBorder="1" applyAlignment="1">
      <alignment horizontal="right"/>
    </xf>
    <xf numFmtId="164" fontId="48" fillId="0" borderId="55" xfId="0" applyNumberFormat="1" applyFont="1" applyBorder="1" applyAlignment="1">
      <alignment horizontal="right"/>
    </xf>
    <xf numFmtId="190" fontId="48" fillId="0" borderId="27" xfId="0" applyNumberFormat="1" applyFont="1" applyBorder="1" applyAlignment="1">
      <alignment horizontal="right"/>
    </xf>
    <xf numFmtId="190" fontId="48" fillId="0" borderId="29" xfId="0" applyNumberFormat="1" applyFont="1" applyBorder="1" applyAlignment="1">
      <alignment horizontal="right"/>
    </xf>
    <xf numFmtId="190" fontId="48" fillId="0" borderId="67" xfId="0" applyNumberFormat="1" applyFont="1" applyBorder="1" applyAlignment="1">
      <alignment horizontal="right"/>
    </xf>
    <xf numFmtId="190" fontId="48" fillId="0" borderId="4" xfId="0" applyNumberFormat="1" applyFont="1" applyBorder="1" applyAlignment="1">
      <alignment horizontal="right"/>
    </xf>
    <xf numFmtId="164" fontId="48" fillId="0" borderId="100" xfId="0" applyNumberFormat="1" applyFont="1" applyBorder="1" applyAlignment="1">
      <alignment horizontal="right"/>
    </xf>
    <xf numFmtId="1" fontId="48" fillId="0" borderId="67" xfId="0" applyNumberFormat="1" applyFont="1" applyBorder="1" applyAlignment="1">
      <alignment horizontal="right"/>
    </xf>
    <xf numFmtId="1" fontId="48" fillId="0" borderId="27" xfId="0" applyNumberFormat="1" applyFont="1" applyBorder="1" applyAlignment="1">
      <alignment horizontal="right"/>
    </xf>
    <xf numFmtId="1" fontId="48" fillId="0" borderId="4" xfId="0" applyNumberFormat="1" applyFont="1" applyBorder="1" applyAlignment="1">
      <alignment horizontal="right"/>
    </xf>
    <xf numFmtId="164" fontId="48" fillId="0" borderId="4" xfId="0" applyNumberFormat="1" applyFont="1" applyBorder="1" applyAlignment="1">
      <alignment horizontal="right"/>
    </xf>
    <xf numFmtId="0" fontId="13" fillId="26" borderId="20" xfId="0" applyFont="1" applyFill="1" applyBorder="1" applyAlignment="1">
      <alignment horizontal="center"/>
    </xf>
    <xf numFmtId="190" fontId="48" fillId="0" borderId="62" xfId="0" applyNumberFormat="1" applyFont="1" applyBorder="1" applyAlignment="1">
      <alignment horizontal="right"/>
    </xf>
    <xf numFmtId="190" fontId="48" fillId="0" borderId="65" xfId="0" applyNumberFormat="1" applyFont="1" applyBorder="1" applyAlignment="1">
      <alignment horizontal="right"/>
    </xf>
    <xf numFmtId="164" fontId="48" fillId="0" borderId="64" xfId="0" applyNumberFormat="1" applyFont="1" applyBorder="1" applyAlignment="1">
      <alignment horizontal="right"/>
    </xf>
    <xf numFmtId="1" fontId="48" fillId="0" borderId="62" xfId="0" applyNumberFormat="1" applyFont="1" applyBorder="1" applyAlignment="1">
      <alignment horizontal="right"/>
    </xf>
    <xf numFmtId="1" fontId="48" fillId="0" borderId="63" xfId="0" applyNumberFormat="1" applyFont="1" applyBorder="1" applyAlignment="1">
      <alignment horizontal="right"/>
    </xf>
    <xf numFmtId="1" fontId="48" fillId="0" borderId="65" xfId="0" applyNumberFormat="1" applyFont="1" applyBorder="1" applyAlignment="1">
      <alignment horizontal="right"/>
    </xf>
    <xf numFmtId="164" fontId="48" fillId="0" borderId="65" xfId="0" applyNumberFormat="1" applyFont="1" applyBorder="1" applyAlignment="1">
      <alignment horizontal="right"/>
    </xf>
    <xf numFmtId="190" fontId="48" fillId="0" borderId="115" xfId="0" applyNumberFormat="1" applyFont="1" applyBorder="1" applyAlignment="1">
      <alignment horizontal="right"/>
    </xf>
    <xf numFmtId="190" fontId="48" fillId="0" borderId="78" xfId="0" applyNumberFormat="1" applyFont="1" applyBorder="1" applyAlignment="1">
      <alignment horizontal="right"/>
    </xf>
    <xf numFmtId="190" fontId="48" fillId="0" borderId="80" xfId="0" applyNumberFormat="1" applyFont="1" applyBorder="1" applyAlignment="1">
      <alignment horizontal="right"/>
    </xf>
    <xf numFmtId="190" fontId="48" fillId="0" borderId="79" xfId="0" applyNumberFormat="1" applyFont="1" applyBorder="1" applyAlignment="1">
      <alignment horizontal="right"/>
    </xf>
    <xf numFmtId="190" fontId="48" fillId="0" borderId="77" xfId="0" applyNumberFormat="1" applyFont="1" applyBorder="1" applyAlignment="1">
      <alignment horizontal="right"/>
    </xf>
    <xf numFmtId="164" fontId="48" fillId="0" borderId="184" xfId="0" applyNumberFormat="1" applyFont="1" applyBorder="1" applyAlignment="1">
      <alignment horizontal="right"/>
    </xf>
    <xf numFmtId="1" fontId="48" fillId="0" borderId="80" xfId="0" applyNumberFormat="1" applyFont="1" applyBorder="1" applyAlignment="1">
      <alignment horizontal="right"/>
    </xf>
    <xf numFmtId="1" fontId="48" fillId="0" borderId="79" xfId="0" applyNumberFormat="1" applyFont="1" applyBorder="1" applyAlignment="1">
      <alignment horizontal="right"/>
    </xf>
    <xf numFmtId="1" fontId="48" fillId="0" borderId="77" xfId="0" applyNumberFormat="1" applyFont="1" applyBorder="1" applyAlignment="1">
      <alignment horizontal="right"/>
    </xf>
    <xf numFmtId="164" fontId="48" fillId="0" borderId="77" xfId="0" applyNumberFormat="1" applyFont="1" applyBorder="1" applyAlignment="1">
      <alignment horizontal="right"/>
    </xf>
    <xf numFmtId="0" fontId="13" fillId="26" borderId="13" xfId="0" applyFont="1" applyFill="1" applyBorder="1" applyAlignment="1">
      <alignment horizontal="center"/>
    </xf>
    <xf numFmtId="190" fontId="48" fillId="0" borderId="105" xfId="0" applyNumberFormat="1" applyFont="1" applyBorder="1" applyAlignment="1">
      <alignment horizontal="right"/>
    </xf>
    <xf numFmtId="190" fontId="14" fillId="26" borderId="3" xfId="0" applyNumberFormat="1" applyFont="1" applyFill="1" applyBorder="1" applyAlignment="1">
      <alignment horizontal="center"/>
    </xf>
    <xf numFmtId="1" fontId="13" fillId="26" borderId="166" xfId="0" applyNumberFormat="1" applyFont="1" applyFill="1" applyBorder="1" applyAlignment="1">
      <alignment horizontal="right"/>
    </xf>
    <xf numFmtId="1" fontId="13" fillId="26" borderId="171" xfId="0" applyNumberFormat="1" applyFont="1" applyFill="1" applyBorder="1" applyAlignment="1">
      <alignment horizontal="right"/>
    </xf>
    <xf numFmtId="1" fontId="13" fillId="26" borderId="185" xfId="0" applyNumberFormat="1" applyFont="1" applyFill="1" applyBorder="1" applyAlignment="1">
      <alignment horizontal="right"/>
    </xf>
    <xf numFmtId="1" fontId="13" fillId="26" borderId="170" xfId="0" applyNumberFormat="1" applyFont="1" applyFill="1" applyBorder="1" applyAlignment="1">
      <alignment horizontal="right"/>
    </xf>
    <xf numFmtId="1" fontId="13" fillId="26" borderId="156" xfId="0" applyNumberFormat="1" applyFont="1" applyFill="1" applyBorder="1" applyAlignment="1">
      <alignment horizontal="right"/>
    </xf>
    <xf numFmtId="164" fontId="13" fillId="25" borderId="1" xfId="0" applyNumberFormat="1" applyFont="1" applyFill="1" applyBorder="1"/>
    <xf numFmtId="190" fontId="4" fillId="25" borderId="1" xfId="0" applyNumberFormat="1" applyFont="1" applyFill="1" applyBorder="1"/>
    <xf numFmtId="164" fontId="48" fillId="29" borderId="46" xfId="0" applyNumberFormat="1" applyFont="1" applyFill="1" applyBorder="1" applyAlignment="1">
      <alignment horizontal="right"/>
    </xf>
    <xf numFmtId="164" fontId="48" fillId="29" borderId="55" xfId="0" applyNumberFormat="1" applyFont="1" applyFill="1" applyBorder="1" applyAlignment="1">
      <alignment horizontal="right"/>
    </xf>
    <xf numFmtId="164" fontId="48" fillId="28" borderId="55" xfId="0" applyNumberFormat="1" applyFont="1" applyFill="1" applyBorder="1" applyAlignment="1">
      <alignment horizontal="right"/>
    </xf>
    <xf numFmtId="164" fontId="48" fillId="28" borderId="53" xfId="0" applyNumberFormat="1" applyFont="1" applyFill="1" applyBorder="1" applyAlignment="1">
      <alignment horizontal="right"/>
    </xf>
    <xf numFmtId="164" fontId="48" fillId="0" borderId="67" xfId="0" applyNumberFormat="1" applyFont="1" applyBorder="1" applyAlignment="1">
      <alignment horizontal="right"/>
    </xf>
    <xf numFmtId="164" fontId="48" fillId="28" borderId="4" xfId="0" applyNumberFormat="1" applyFont="1" applyFill="1" applyBorder="1" applyAlignment="1">
      <alignment horizontal="right"/>
    </xf>
    <xf numFmtId="164" fontId="48" fillId="28" borderId="100" xfId="0" applyNumberFormat="1" applyFont="1" applyFill="1" applyBorder="1" applyAlignment="1">
      <alignment horizontal="right"/>
    </xf>
    <xf numFmtId="172" fontId="47" fillId="2" borderId="68" xfId="0" applyNumberFormat="1" applyFont="1" applyFill="1" applyBorder="1" applyAlignment="1">
      <alignment horizontal="center" vertical="center" wrapText="1"/>
    </xf>
    <xf numFmtId="172" fontId="47" fillId="2" borderId="16" xfId="0" applyNumberFormat="1" applyFont="1" applyFill="1" applyBorder="1" applyAlignment="1">
      <alignment horizontal="center" vertical="center" wrapText="1"/>
    </xf>
    <xf numFmtId="2" fontId="47" fillId="4" borderId="116" xfId="0" applyNumberFormat="1" applyFont="1" applyFill="1" applyBorder="1" applyAlignment="1">
      <alignment horizontal="center" vertical="center" wrapText="1"/>
    </xf>
    <xf numFmtId="2" fontId="47" fillId="4" borderId="16" xfId="0" applyNumberFormat="1" applyFont="1" applyFill="1" applyBorder="1" applyAlignment="1">
      <alignment horizontal="center" vertical="center" wrapText="1"/>
    </xf>
    <xf numFmtId="1" fontId="32" fillId="2" borderId="80" xfId="0" applyNumberFormat="1" applyFont="1" applyFill="1" applyBorder="1" applyAlignment="1">
      <alignment horizontal="center" vertical="center"/>
    </xf>
    <xf numFmtId="2" fontId="32" fillId="2" borderId="77" xfId="0" applyNumberFormat="1" applyFont="1" applyFill="1" applyBorder="1" applyAlignment="1">
      <alignment horizontal="center" vertical="center"/>
    </xf>
    <xf numFmtId="1" fontId="32" fillId="8" borderId="21" xfId="0" applyNumberFormat="1" applyFont="1" applyFill="1" applyBorder="1" applyAlignment="1">
      <alignment horizontal="center" vertical="center"/>
    </xf>
    <xf numFmtId="2" fontId="32" fillId="2" borderId="80" xfId="0" applyNumberFormat="1" applyFont="1" applyFill="1" applyBorder="1" applyAlignment="1">
      <alignment horizontal="center" vertical="center"/>
    </xf>
    <xf numFmtId="166" fontId="32" fillId="2" borderId="77" xfId="0" applyNumberFormat="1" applyFont="1" applyFill="1" applyBorder="1" applyAlignment="1">
      <alignment horizontal="center" vertical="center"/>
    </xf>
    <xf numFmtId="2" fontId="32" fillId="2" borderId="25" xfId="0" applyNumberFormat="1" applyFont="1" applyFill="1" applyBorder="1" applyAlignment="1">
      <alignment horizontal="center" vertical="center"/>
    </xf>
    <xf numFmtId="2" fontId="60" fillId="2" borderId="21" xfId="0" applyNumberFormat="1" applyFont="1" applyFill="1" applyBorder="1" applyAlignment="1">
      <alignment horizontal="center" vertical="center"/>
    </xf>
    <xf numFmtId="172" fontId="47" fillId="2" borderId="21" xfId="0" applyNumberFormat="1" applyFont="1" applyFill="1" applyBorder="1" applyAlignment="1">
      <alignment horizontal="center" vertical="center" wrapText="1"/>
    </xf>
    <xf numFmtId="2" fontId="47" fillId="2" borderId="21" xfId="0" applyNumberFormat="1" applyFont="1" applyFill="1" applyBorder="1" applyAlignment="1">
      <alignment horizontal="center" vertical="center" wrapText="1"/>
    </xf>
    <xf numFmtId="2" fontId="36" fillId="14" borderId="186" xfId="0" applyNumberFormat="1" applyFont="1" applyFill="1" applyBorder="1" applyAlignment="1">
      <alignment horizontal="center" vertical="center"/>
    </xf>
    <xf numFmtId="2" fontId="36" fillId="23" borderId="7" xfId="0" applyNumberFormat="1" applyFont="1" applyFill="1" applyBorder="1" applyAlignment="1">
      <alignment horizontal="center" vertical="center"/>
    </xf>
    <xf numFmtId="2" fontId="36" fillId="23" borderId="187" xfId="0" applyNumberFormat="1" applyFont="1" applyFill="1" applyBorder="1" applyAlignment="1">
      <alignment horizontal="center" vertical="center"/>
    </xf>
    <xf numFmtId="2" fontId="36" fillId="8" borderId="177" xfId="0" applyNumberFormat="1" applyFont="1" applyFill="1" applyBorder="1" applyAlignment="1">
      <alignment horizontal="center" vertical="center"/>
    </xf>
    <xf numFmtId="2" fontId="36" fillId="8" borderId="55" xfId="0" applyNumberFormat="1" applyFont="1" applyFill="1" applyBorder="1" applyAlignment="1">
      <alignment horizontal="center" vertical="center"/>
    </xf>
    <xf numFmtId="2" fontId="36" fillId="8" borderId="174" xfId="0" applyNumberFormat="1" applyFont="1" applyFill="1" applyBorder="1" applyAlignment="1">
      <alignment horizontal="center" vertical="center"/>
    </xf>
    <xf numFmtId="2" fontId="36" fillId="14" borderId="188" xfId="0" applyNumberFormat="1" applyFont="1" applyFill="1" applyBorder="1" applyAlignment="1">
      <alignment horizontal="center" vertical="center"/>
    </xf>
    <xf numFmtId="1" fontId="36" fillId="8" borderId="47" xfId="0" applyNumberFormat="1" applyFont="1" applyFill="1" applyBorder="1" applyAlignment="1">
      <alignment horizontal="center" vertical="center"/>
    </xf>
    <xf numFmtId="2" fontId="36" fillId="14" borderId="189" xfId="0" applyNumberFormat="1" applyFont="1" applyFill="1" applyBorder="1" applyAlignment="1">
      <alignment horizontal="center" vertical="center"/>
    </xf>
    <xf numFmtId="1" fontId="36" fillId="14" borderId="190" xfId="0" applyNumberFormat="1" applyFont="1" applyFill="1" applyBorder="1" applyAlignment="1">
      <alignment horizontal="center" vertical="center"/>
    </xf>
    <xf numFmtId="164" fontId="48" fillId="0" borderId="27" xfId="0" applyNumberFormat="1" applyFont="1" applyBorder="1" applyAlignment="1">
      <alignment horizontal="right"/>
    </xf>
    <xf numFmtId="2" fontId="36" fillId="14" borderId="55" xfId="0" applyNumberFormat="1" applyFont="1" applyFill="1" applyBorder="1" applyAlignment="1">
      <alignment horizontal="center" vertical="center"/>
    </xf>
    <xf numFmtId="2" fontId="36" fillId="14" borderId="190" xfId="0" applyNumberFormat="1" applyFont="1" applyFill="1" applyBorder="1" applyAlignment="1">
      <alignment horizontal="center" vertical="center"/>
    </xf>
    <xf numFmtId="2" fontId="36" fillId="24" borderId="47" xfId="0" applyNumberFormat="1" applyFont="1" applyFill="1" applyBorder="1" applyAlignment="1">
      <alignment horizontal="center" vertical="center"/>
    </xf>
    <xf numFmtId="2" fontId="36" fillId="8" borderId="47" xfId="0" applyNumberFormat="1" applyFont="1" applyFill="1" applyBorder="1" applyAlignment="1">
      <alignment horizontal="center" vertical="center"/>
    </xf>
    <xf numFmtId="1" fontId="36" fillId="8" borderId="158" xfId="0" applyNumberFormat="1" applyFont="1" applyFill="1" applyBorder="1" applyAlignment="1">
      <alignment horizontal="center" vertical="center"/>
    </xf>
    <xf numFmtId="164" fontId="36" fillId="14" borderId="189" xfId="0" applyNumberFormat="1" applyFont="1" applyFill="1" applyBorder="1" applyAlignment="1">
      <alignment horizontal="center" vertical="center"/>
    </xf>
    <xf numFmtId="164" fontId="36" fillId="14" borderId="55" xfId="0" applyNumberFormat="1" applyFont="1" applyFill="1" applyBorder="1" applyAlignment="1">
      <alignment horizontal="center" vertical="center"/>
    </xf>
    <xf numFmtId="2" fontId="36" fillId="8" borderId="190" xfId="0" applyNumberFormat="1" applyFont="1" applyFill="1" applyBorder="1" applyAlignment="1">
      <alignment horizontal="center" vertical="center"/>
    </xf>
    <xf numFmtId="2" fontId="36" fillId="14" borderId="158" xfId="0" applyNumberFormat="1" applyFont="1" applyFill="1" applyBorder="1" applyAlignment="1">
      <alignment horizontal="center" vertical="center"/>
    </xf>
    <xf numFmtId="164" fontId="48" fillId="0" borderId="63" xfId="0" applyNumberFormat="1" applyFont="1" applyBorder="1" applyAlignment="1">
      <alignment horizontal="right"/>
    </xf>
    <xf numFmtId="2" fontId="36" fillId="8" borderId="48" xfId="0" applyNumberFormat="1" applyFont="1" applyFill="1" applyBorder="1" applyAlignment="1">
      <alignment horizontal="center" vertical="center"/>
    </xf>
    <xf numFmtId="2" fontId="36" fillId="14" borderId="121" xfId="0" applyNumberFormat="1" applyFont="1" applyFill="1" applyBorder="1" applyAlignment="1">
      <alignment horizontal="center" vertical="center"/>
    </xf>
    <xf numFmtId="2" fontId="36" fillId="14" borderId="157" xfId="0" applyNumberFormat="1" applyFont="1" applyFill="1" applyBorder="1" applyAlignment="1">
      <alignment horizontal="center" vertical="center"/>
    </xf>
    <xf numFmtId="164" fontId="48" fillId="0" borderId="79" xfId="0" applyNumberFormat="1" applyFont="1" applyBorder="1" applyAlignment="1">
      <alignment horizontal="right"/>
    </xf>
    <xf numFmtId="2" fontId="36" fillId="8" borderId="187" xfId="0" applyNumberFormat="1" applyFont="1" applyFill="1" applyBorder="1" applyAlignment="1">
      <alignment horizontal="center" vertical="center"/>
    </xf>
    <xf numFmtId="2" fontId="36" fillId="14" borderId="53" xfId="0" applyNumberFormat="1" applyFont="1" applyFill="1" applyBorder="1" applyAlignment="1">
      <alignment horizontal="center" vertical="center"/>
    </xf>
    <xf numFmtId="2" fontId="49" fillId="25" borderId="158" xfId="0" applyNumberFormat="1" applyFont="1" applyFill="1" applyBorder="1" applyAlignment="1">
      <alignment horizontal="center" vertical="center"/>
    </xf>
    <xf numFmtId="2" fontId="49" fillId="0" borderId="8" xfId="0" applyNumberFormat="1" applyFont="1" applyBorder="1" applyAlignment="1">
      <alignment horizontal="center" vertical="center"/>
    </xf>
    <xf numFmtId="0" fontId="49" fillId="0" borderId="8" xfId="0" applyFont="1" applyBorder="1" applyAlignment="1">
      <alignment horizontal="center" vertical="center"/>
    </xf>
    <xf numFmtId="0" fontId="49" fillId="0" borderId="167" xfId="0" applyFont="1" applyBorder="1" applyAlignment="1">
      <alignment horizontal="center" vertical="center"/>
    </xf>
    <xf numFmtId="164" fontId="36" fillId="14" borderId="46" xfId="0" applyNumberFormat="1" applyFont="1" applyFill="1" applyBorder="1" applyAlignment="1">
      <alignment horizontal="center" vertical="center"/>
    </xf>
    <xf numFmtId="164" fontId="48" fillId="0" borderId="105" xfId="0" applyNumberFormat="1" applyFont="1" applyBorder="1" applyAlignment="1">
      <alignment horizontal="right"/>
    </xf>
    <xf numFmtId="2" fontId="36" fillId="14" borderId="177" xfId="0" applyNumberFormat="1" applyFont="1" applyFill="1" applyBorder="1" applyAlignment="1">
      <alignment horizontal="center" vertical="center"/>
    </xf>
    <xf numFmtId="2" fontId="49" fillId="25" borderId="8" xfId="0" applyNumberFormat="1" applyFont="1" applyFill="1" applyBorder="1" applyAlignment="1">
      <alignment horizontal="center" vertical="center"/>
    </xf>
    <xf numFmtId="2" fontId="49" fillId="2" borderId="174" xfId="0" applyNumberFormat="1" applyFont="1" applyFill="1" applyBorder="1" applyAlignment="1">
      <alignment horizontal="center" vertical="center"/>
    </xf>
    <xf numFmtId="2" fontId="36" fillId="8" borderId="4" xfId="0" applyNumberFormat="1" applyFont="1" applyFill="1" applyBorder="1" applyAlignment="1">
      <alignment horizontal="center" vertical="center"/>
    </xf>
    <xf numFmtId="1" fontId="36" fillId="14" borderId="27" xfId="0" applyNumberFormat="1" applyFont="1" applyFill="1" applyBorder="1" applyAlignment="1">
      <alignment horizontal="center" vertical="center"/>
    </xf>
    <xf numFmtId="192" fontId="13" fillId="26" borderId="171" xfId="0" applyNumberFormat="1" applyFont="1" applyFill="1" applyBorder="1" applyAlignment="1">
      <alignment horizontal="right"/>
    </xf>
    <xf numFmtId="190" fontId="14" fillId="25" borderId="1" xfId="0" applyNumberFormat="1" applyFont="1" applyFill="1" applyBorder="1" applyAlignment="1">
      <alignment horizontal="center"/>
    </xf>
    <xf numFmtId="2" fontId="36" fillId="8" borderId="27" xfId="0" applyNumberFormat="1" applyFont="1" applyFill="1" applyBorder="1" applyAlignment="1">
      <alignment horizontal="center" vertical="center"/>
    </xf>
    <xf numFmtId="192" fontId="13" fillId="25" borderId="1" xfId="0" applyNumberFormat="1" applyFont="1" applyFill="1" applyBorder="1" applyAlignment="1">
      <alignment horizontal="center"/>
    </xf>
    <xf numFmtId="1" fontId="36" fillId="8" borderId="27" xfId="0" applyNumberFormat="1" applyFont="1" applyFill="1" applyBorder="1" applyAlignment="1">
      <alignment horizontal="center" vertical="center"/>
    </xf>
    <xf numFmtId="164" fontId="36" fillId="8" borderId="27" xfId="0" applyNumberFormat="1" applyFont="1" applyFill="1" applyBorder="1" applyAlignment="1">
      <alignment horizontal="center" vertical="center"/>
    </xf>
    <xf numFmtId="2" fontId="49" fillId="25" borderId="74" xfId="0" applyNumberFormat="1" applyFont="1" applyFill="1" applyBorder="1" applyAlignment="1">
      <alignment horizontal="center" vertical="center"/>
    </xf>
    <xf numFmtId="2" fontId="49" fillId="0" borderId="10" xfId="0" applyNumberFormat="1" applyFont="1" applyBorder="1" applyAlignment="1">
      <alignment horizontal="center" vertical="center"/>
    </xf>
    <xf numFmtId="0" fontId="49" fillId="0" borderId="10" xfId="0" applyFont="1" applyBorder="1" applyAlignment="1">
      <alignment horizontal="center" vertical="center"/>
    </xf>
    <xf numFmtId="0" fontId="49" fillId="0" borderId="125" xfId="0" applyFont="1" applyBorder="1" applyAlignment="1">
      <alignment horizontal="center" vertical="center"/>
    </xf>
    <xf numFmtId="164" fontId="36" fillId="14" borderId="141" xfId="0" applyNumberFormat="1" applyFont="1" applyFill="1" applyBorder="1" applyAlignment="1">
      <alignment horizontal="center" vertical="center"/>
    </xf>
    <xf numFmtId="2" fontId="36" fillId="14" borderId="117" xfId="0" applyNumberFormat="1" applyFont="1" applyFill="1" applyBorder="1" applyAlignment="1">
      <alignment horizontal="center" vertical="center"/>
    </xf>
    <xf numFmtId="2" fontId="36" fillId="14" borderId="70" xfId="0" applyNumberFormat="1" applyFont="1" applyFill="1" applyBorder="1" applyAlignment="1">
      <alignment horizontal="center" vertical="center"/>
    </xf>
    <xf numFmtId="2" fontId="49" fillId="2" borderId="191" xfId="0" applyNumberFormat="1" applyFont="1" applyFill="1" applyBorder="1" applyAlignment="1">
      <alignment horizontal="center" vertical="center"/>
    </xf>
    <xf numFmtId="164" fontId="36" fillId="8" borderId="4" xfId="0" applyNumberFormat="1" applyFont="1" applyFill="1" applyBorder="1" applyAlignment="1">
      <alignment horizontal="center" vertical="center"/>
    </xf>
    <xf numFmtId="1" fontId="36" fillId="14" borderId="28" xfId="0" applyNumberFormat="1" applyFont="1" applyFill="1" applyBorder="1" applyAlignment="1">
      <alignment horizontal="center" vertical="center"/>
    </xf>
    <xf numFmtId="192" fontId="48" fillId="0" borderId="46" xfId="0" applyNumberFormat="1" applyFont="1" applyBorder="1" applyAlignment="1">
      <alignment horizontal="right"/>
    </xf>
    <xf numFmtId="192" fontId="48" fillId="0" borderId="55" xfId="0" applyNumberFormat="1" applyFont="1" applyBorder="1" applyAlignment="1">
      <alignment horizontal="right"/>
    </xf>
    <xf numFmtId="192" fontId="48" fillId="28" borderId="55" xfId="0" applyNumberFormat="1" applyFont="1" applyFill="1" applyBorder="1" applyAlignment="1">
      <alignment horizontal="right"/>
    </xf>
    <xf numFmtId="192" fontId="48" fillId="28" borderId="53" xfId="0" applyNumberFormat="1" applyFont="1" applyFill="1" applyBorder="1" applyAlignment="1">
      <alignment horizontal="right"/>
    </xf>
    <xf numFmtId="164" fontId="48" fillId="0" borderId="46" xfId="0" applyNumberFormat="1" applyFont="1" applyBorder="1" applyAlignment="1">
      <alignment horizontal="right"/>
    </xf>
    <xf numFmtId="192" fontId="48" fillId="0" borderId="67" xfId="0" applyNumberFormat="1" applyFont="1" applyBorder="1" applyAlignment="1">
      <alignment horizontal="right"/>
    </xf>
    <xf numFmtId="192" fontId="48" fillId="0" borderId="4" xfId="0" applyNumberFormat="1" applyFont="1" applyBorder="1" applyAlignment="1">
      <alignment horizontal="right"/>
    </xf>
    <xf numFmtId="192" fontId="48" fillId="28" borderId="4" xfId="0" applyNumberFormat="1" applyFont="1" applyFill="1" applyBorder="1" applyAlignment="1">
      <alignment horizontal="right"/>
    </xf>
    <xf numFmtId="192" fontId="48" fillId="28" borderId="100" xfId="0" applyNumberFormat="1" applyFont="1" applyFill="1" applyBorder="1" applyAlignment="1">
      <alignment horizontal="right"/>
    </xf>
    <xf numFmtId="2" fontId="49" fillId="25" borderId="10" xfId="0" applyNumberFormat="1" applyFont="1" applyFill="1" applyBorder="1" applyAlignment="1">
      <alignment horizontal="center" vertical="center"/>
    </xf>
    <xf numFmtId="192" fontId="48" fillId="0" borderId="100" xfId="0" applyNumberFormat="1" applyFont="1" applyBorder="1" applyAlignment="1">
      <alignment horizontal="right"/>
    </xf>
    <xf numFmtId="164" fontId="36" fillId="15" borderId="28" xfId="0" applyNumberFormat="1" applyFont="1" applyFill="1" applyBorder="1" applyAlignment="1">
      <alignment horizontal="center" vertical="center"/>
    </xf>
    <xf numFmtId="164" fontId="49" fillId="14" borderId="73" xfId="0" applyNumberFormat="1" applyFont="1" applyFill="1" applyBorder="1" applyAlignment="1">
      <alignment horizontal="center" vertical="center"/>
    </xf>
    <xf numFmtId="164" fontId="36" fillId="23" borderId="4" xfId="0" applyNumberFormat="1" applyFont="1" applyFill="1" applyBorder="1" applyAlignment="1">
      <alignment horizontal="center" vertical="center"/>
    </xf>
    <xf numFmtId="2" fontId="36" fillId="8" borderId="28" xfId="0" applyNumberFormat="1" applyFont="1" applyFill="1" applyBorder="1" applyAlignment="1">
      <alignment horizontal="center" vertical="center"/>
    </xf>
    <xf numFmtId="164" fontId="36" fillId="8" borderId="28" xfId="0" applyNumberFormat="1" applyFont="1" applyFill="1" applyBorder="1" applyAlignment="1">
      <alignment horizontal="center" vertical="center"/>
    </xf>
    <xf numFmtId="1" fontId="36" fillId="24" borderId="27" xfId="0" applyNumberFormat="1" applyFont="1" applyFill="1" applyBorder="1" applyAlignment="1">
      <alignment horizontal="center" vertical="center"/>
    </xf>
    <xf numFmtId="1" fontId="36" fillId="8" borderId="4" xfId="0" applyNumberFormat="1" applyFont="1" applyFill="1" applyBorder="1" applyAlignment="1">
      <alignment horizontal="center" vertical="center"/>
    </xf>
    <xf numFmtId="1" fontId="36" fillId="8" borderId="28" xfId="0" applyNumberFormat="1" applyFont="1" applyFill="1" applyBorder="1" applyAlignment="1">
      <alignment horizontal="center" vertical="center"/>
    </xf>
    <xf numFmtId="164" fontId="36" fillId="14" borderId="143" xfId="0" applyNumberFormat="1" applyFont="1" applyFill="1" applyBorder="1" applyAlignment="1">
      <alignment horizontal="center" vertical="center"/>
    </xf>
    <xf numFmtId="192" fontId="48" fillId="0" borderId="62" xfId="0" applyNumberFormat="1" applyFont="1" applyBorder="1" applyAlignment="1">
      <alignment horizontal="right"/>
    </xf>
    <xf numFmtId="192" fontId="48" fillId="0" borderId="65" xfId="0" applyNumberFormat="1" applyFont="1" applyBorder="1" applyAlignment="1">
      <alignment horizontal="right"/>
    </xf>
    <xf numFmtId="192" fontId="48" fillId="0" borderId="64" xfId="0" applyNumberFormat="1" applyFont="1" applyBorder="1" applyAlignment="1">
      <alignment horizontal="right"/>
    </xf>
    <xf numFmtId="164" fontId="48" fillId="0" borderId="62" xfId="0" applyNumberFormat="1" applyFont="1" applyBorder="1" applyAlignment="1">
      <alignment horizontal="right"/>
    </xf>
    <xf numFmtId="1" fontId="36" fillId="23" borderId="27" xfId="0" applyNumberFormat="1" applyFont="1" applyFill="1" applyBorder="1" applyAlignment="1">
      <alignment horizontal="center" vertical="center"/>
    </xf>
    <xf numFmtId="164" fontId="49" fillId="8" borderId="28" xfId="0" applyNumberFormat="1" applyFont="1" applyFill="1" applyBorder="1" applyAlignment="1">
      <alignment horizontal="center" vertical="center"/>
    </xf>
    <xf numFmtId="192" fontId="48" fillId="0" borderId="80" xfId="0" applyNumberFormat="1" applyFont="1" applyBorder="1" applyAlignment="1">
      <alignment horizontal="right"/>
    </xf>
    <xf numFmtId="2" fontId="49" fillId="25" borderId="192" xfId="0" applyNumberFormat="1" applyFont="1" applyFill="1" applyBorder="1" applyAlignment="1">
      <alignment horizontal="center" vertical="center"/>
    </xf>
    <xf numFmtId="192" fontId="48" fillId="0" borderId="77" xfId="0" applyNumberFormat="1" applyFont="1" applyBorder="1" applyAlignment="1">
      <alignment horizontal="right"/>
    </xf>
    <xf numFmtId="2" fontId="49" fillId="0" borderId="13" xfId="0" applyNumberFormat="1" applyFont="1" applyBorder="1" applyAlignment="1">
      <alignment horizontal="center" vertical="center"/>
    </xf>
    <xf numFmtId="192" fontId="48" fillId="0" borderId="184" xfId="0" applyNumberFormat="1" applyFont="1" applyBorder="1" applyAlignment="1">
      <alignment horizontal="right"/>
    </xf>
    <xf numFmtId="0" fontId="49" fillId="0" borderId="13" xfId="0" applyFont="1" applyBorder="1" applyAlignment="1">
      <alignment horizontal="center" vertical="center"/>
    </xf>
    <xf numFmtId="164" fontId="48" fillId="0" borderId="80" xfId="0" applyNumberFormat="1" applyFont="1" applyBorder="1" applyAlignment="1">
      <alignment horizontal="right"/>
    </xf>
    <xf numFmtId="0" fontId="49" fillId="0" borderId="168" xfId="0" applyFont="1" applyBorder="1" applyAlignment="1">
      <alignment horizontal="center" vertical="center"/>
    </xf>
    <xf numFmtId="164" fontId="36" fillId="14" borderId="146" xfId="0" applyNumberFormat="1" applyFont="1" applyFill="1" applyBorder="1" applyAlignment="1">
      <alignment horizontal="center" vertical="center"/>
    </xf>
    <xf numFmtId="164" fontId="36" fillId="14" borderId="129" xfId="0" applyNumberFormat="1" applyFont="1" applyFill="1" applyBorder="1" applyAlignment="1">
      <alignment horizontal="center" vertical="center"/>
    </xf>
    <xf numFmtId="164" fontId="49" fillId="14" borderId="129" xfId="0" applyNumberFormat="1" applyFont="1" applyFill="1" applyBorder="1" applyAlignment="1">
      <alignment horizontal="center" vertical="center"/>
    </xf>
    <xf numFmtId="164" fontId="49" fillId="14" borderId="128" xfId="0" applyNumberFormat="1" applyFont="1" applyFill="1" applyBorder="1" applyAlignment="1">
      <alignment horizontal="center" vertical="center"/>
    </xf>
    <xf numFmtId="2" fontId="49" fillId="25" borderId="13" xfId="0" applyNumberFormat="1" applyFont="1" applyFill="1" applyBorder="1" applyAlignment="1">
      <alignment horizontal="center" vertical="center"/>
    </xf>
    <xf numFmtId="192" fontId="48" fillId="0" borderId="12" xfId="0" applyNumberFormat="1" applyFont="1" applyBorder="1" applyAlignment="1">
      <alignment horizontal="right"/>
    </xf>
    <xf numFmtId="2" fontId="48" fillId="0" borderId="114" xfId="0" applyNumberFormat="1" applyFont="1" applyBorder="1" applyAlignment="1">
      <alignment horizontal="right"/>
    </xf>
    <xf numFmtId="2" fontId="48" fillId="0" borderId="103" xfId="0" applyNumberFormat="1" applyFont="1" applyBorder="1" applyAlignment="1">
      <alignment horizontal="right"/>
    </xf>
    <xf numFmtId="2" fontId="48" fillId="0" borderId="102" xfId="0" applyNumberFormat="1" applyFont="1" applyBorder="1" applyAlignment="1">
      <alignment horizontal="right"/>
    </xf>
    <xf numFmtId="2" fontId="49" fillId="2" borderId="175" xfId="0" applyNumberFormat="1" applyFont="1" applyFill="1" applyBorder="1" applyAlignment="1">
      <alignment horizontal="center" vertical="center"/>
    </xf>
    <xf numFmtId="0" fontId="39" fillId="8" borderId="4" xfId="0" applyFont="1" applyFill="1" applyBorder="1" applyAlignment="1">
      <alignment horizontal="center" vertical="center"/>
    </xf>
    <xf numFmtId="192" fontId="13" fillId="26" borderId="193" xfId="0" applyNumberFormat="1" applyFont="1" applyFill="1" applyBorder="1" applyAlignment="1">
      <alignment horizontal="right"/>
    </xf>
    <xf numFmtId="9" fontId="39" fillId="8" borderId="28" xfId="0" applyNumberFormat="1" applyFont="1" applyFill="1" applyBorder="1" applyAlignment="1">
      <alignment horizontal="center" vertical="center"/>
    </xf>
    <xf numFmtId="192" fontId="13" fillId="26" borderId="129" xfId="0" applyNumberFormat="1" applyFont="1" applyFill="1" applyBorder="1" applyAlignment="1">
      <alignment horizontal="right"/>
    </xf>
    <xf numFmtId="9" fontId="39" fillId="15" borderId="27" xfId="0" applyNumberFormat="1" applyFont="1" applyFill="1" applyBorder="1" applyAlignment="1">
      <alignment horizontal="center" vertical="center"/>
    </xf>
    <xf numFmtId="9" fontId="39" fillId="8" borderId="27" xfId="0" applyNumberFormat="1" applyFont="1" applyFill="1" applyBorder="1" applyAlignment="1">
      <alignment horizontal="center" vertical="center"/>
    </xf>
    <xf numFmtId="192" fontId="13" fillId="26" borderId="131" xfId="0" applyNumberFormat="1" applyFont="1" applyFill="1" applyBorder="1" applyAlignment="1">
      <alignment horizontal="right"/>
    </xf>
    <xf numFmtId="9" fontId="39" fillId="8" borderId="4" xfId="0" applyNumberFormat="1" applyFont="1" applyFill="1" applyBorder="1" applyAlignment="1">
      <alignment horizontal="center" vertical="center"/>
    </xf>
    <xf numFmtId="164" fontId="13" fillId="26" borderId="193" xfId="0" applyNumberFormat="1" applyFont="1" applyFill="1" applyBorder="1" applyAlignment="1">
      <alignment horizontal="right"/>
    </xf>
    <xf numFmtId="164" fontId="13" fillId="26" borderId="129" xfId="0" applyNumberFormat="1" applyFont="1" applyFill="1" applyBorder="1" applyAlignment="1">
      <alignment horizontal="right"/>
    </xf>
    <xf numFmtId="164" fontId="13" fillId="26" borderId="131" xfId="0" applyNumberFormat="1" applyFont="1" applyFill="1" applyBorder="1" applyAlignment="1">
      <alignment horizontal="right"/>
    </xf>
    <xf numFmtId="0" fontId="39" fillId="8" borderId="36" xfId="0" applyFont="1" applyFill="1" applyBorder="1" applyAlignment="1">
      <alignment horizontal="center" vertical="center"/>
    </xf>
    <xf numFmtId="0" fontId="39" fillId="8" borderId="148" xfId="0" applyFont="1" applyFill="1" applyBorder="1" applyAlignment="1">
      <alignment horizontal="center" vertical="center"/>
    </xf>
    <xf numFmtId="10" fontId="39" fillId="24" borderId="4" xfId="0" applyNumberFormat="1" applyFont="1" applyFill="1" applyBorder="1" applyAlignment="1">
      <alignment horizontal="center" vertical="center"/>
    </xf>
    <xf numFmtId="0" fontId="39" fillId="8" borderId="27" xfId="0" applyFont="1" applyFill="1" applyBorder="1" applyAlignment="1">
      <alignment horizontal="center" vertical="center"/>
    </xf>
    <xf numFmtId="1" fontId="48" fillId="0" borderId="47" xfId="0" applyNumberFormat="1" applyFont="1" applyBorder="1" applyAlignment="1">
      <alignment horizontal="center"/>
    </xf>
    <xf numFmtId="1" fontId="48" fillId="0" borderId="55" xfId="0" applyNumberFormat="1" applyFont="1" applyBorder="1" applyAlignment="1">
      <alignment horizontal="center"/>
    </xf>
    <xf numFmtId="0" fontId="34" fillId="7" borderId="127" xfId="0" applyFont="1" applyFill="1" applyBorder="1" applyAlignment="1">
      <alignment horizontal="center" vertical="center"/>
    </xf>
    <xf numFmtId="10" fontId="39" fillId="7" borderId="4" xfId="0" applyNumberFormat="1" applyFont="1" applyFill="1" applyBorder="1" applyAlignment="1">
      <alignment horizontal="center" vertical="center"/>
    </xf>
    <xf numFmtId="0" fontId="39" fillId="7" borderId="4" xfId="0" applyFont="1" applyFill="1" applyBorder="1" applyAlignment="1">
      <alignment horizontal="center" vertical="center"/>
    </xf>
    <xf numFmtId="1" fontId="48" fillId="28" borderId="55" xfId="0" applyNumberFormat="1" applyFont="1" applyFill="1" applyBorder="1" applyAlignment="1">
      <alignment horizontal="center"/>
    </xf>
    <xf numFmtId="4" fontId="39" fillId="7" borderId="4" xfId="0" applyNumberFormat="1" applyFont="1" applyFill="1" applyBorder="1" applyAlignment="1">
      <alignment horizontal="center" vertical="center"/>
    </xf>
    <xf numFmtId="4" fontId="39" fillId="7" borderId="28" xfId="0" applyNumberFormat="1" applyFont="1" applyFill="1" applyBorder="1" applyAlignment="1">
      <alignment horizontal="center" vertical="center"/>
    </xf>
    <xf numFmtId="1" fontId="48" fillId="28" borderId="53" xfId="0" applyNumberFormat="1" applyFont="1" applyFill="1" applyBorder="1" applyAlignment="1">
      <alignment horizontal="center"/>
    </xf>
    <xf numFmtId="4" fontId="39" fillId="7" borderId="27" xfId="0" applyNumberFormat="1" applyFont="1" applyFill="1" applyBorder="1" applyAlignment="1">
      <alignment horizontal="center" vertical="center"/>
    </xf>
    <xf numFmtId="0" fontId="39" fillId="7" borderId="27" xfId="0" applyFont="1" applyFill="1" applyBorder="1" applyAlignment="1">
      <alignment horizontal="center" vertical="center"/>
    </xf>
    <xf numFmtId="1" fontId="48" fillId="0" borderId="27" xfId="0" applyNumberFormat="1" applyFont="1" applyBorder="1" applyAlignment="1">
      <alignment horizontal="center"/>
    </xf>
    <xf numFmtId="1" fontId="48" fillId="0" borderId="4" xfId="0" applyNumberFormat="1" applyFont="1" applyBorder="1" applyAlignment="1">
      <alignment horizontal="center"/>
    </xf>
    <xf numFmtId="1" fontId="48" fillId="28" borderId="4" xfId="0" applyNumberFormat="1" applyFont="1" applyFill="1" applyBorder="1" applyAlignment="1">
      <alignment horizontal="center"/>
    </xf>
    <xf numFmtId="1" fontId="48" fillId="28" borderId="100" xfId="0" applyNumberFormat="1" applyFont="1" applyFill="1" applyBorder="1" applyAlignment="1">
      <alignment horizontal="center"/>
    </xf>
    <xf numFmtId="0" fontId="39" fillId="7" borderId="0" xfId="0" applyFont="1" applyFill="1"/>
    <xf numFmtId="0" fontId="32" fillId="7" borderId="0" xfId="0" applyFont="1" applyFill="1" applyAlignment="1">
      <alignment horizontal="center" vertical="center"/>
    </xf>
    <xf numFmtId="2" fontId="2" fillId="7" borderId="0" xfId="0" applyNumberFormat="1" applyFont="1" applyFill="1"/>
    <xf numFmtId="1" fontId="48" fillId="0" borderId="100" xfId="0" applyNumberFormat="1" applyFont="1" applyBorder="1" applyAlignment="1">
      <alignment horizontal="center"/>
    </xf>
    <xf numFmtId="164" fontId="2" fillId="7" borderId="0" xfId="0" applyNumberFormat="1" applyFont="1" applyFill="1"/>
    <xf numFmtId="0" fontId="34" fillId="14" borderId="7" xfId="0" applyFont="1" applyFill="1" applyBorder="1" applyAlignment="1">
      <alignment horizontal="center" vertical="center"/>
    </xf>
    <xf numFmtId="2" fontId="36" fillId="22" borderId="99" xfId="0" applyNumberFormat="1" applyFont="1" applyFill="1" applyBorder="1" applyAlignment="1">
      <alignment horizontal="center" vertical="center"/>
    </xf>
    <xf numFmtId="0" fontId="13" fillId="26" borderId="194" xfId="0" applyFont="1" applyFill="1" applyBorder="1" applyAlignment="1">
      <alignment horizontal="center"/>
    </xf>
    <xf numFmtId="2" fontId="36" fillId="22" borderId="162" xfId="0" applyNumberFormat="1" applyFont="1" applyFill="1" applyBorder="1" applyAlignment="1">
      <alignment horizontal="center" vertical="center"/>
    </xf>
    <xf numFmtId="166" fontId="36" fillId="14" borderId="162" xfId="0" applyNumberFormat="1" applyFont="1" applyFill="1" applyBorder="1" applyAlignment="1">
      <alignment horizontal="center" vertical="center"/>
    </xf>
    <xf numFmtId="1" fontId="48" fillId="0" borderId="63" xfId="0" applyNumberFormat="1" applyFont="1" applyBorder="1" applyAlignment="1">
      <alignment horizontal="center"/>
    </xf>
    <xf numFmtId="1" fontId="48" fillId="0" borderId="184" xfId="0" applyNumberFormat="1" applyFont="1" applyBorder="1" applyAlignment="1">
      <alignment horizontal="center"/>
    </xf>
    <xf numFmtId="1" fontId="48" fillId="0" borderId="67" xfId="0" applyNumberFormat="1" applyFont="1" applyBorder="1" applyAlignment="1">
      <alignment horizontal="center"/>
    </xf>
    <xf numFmtId="1" fontId="48" fillId="0" borderId="79" xfId="0" applyNumberFormat="1" applyFont="1" applyBorder="1" applyAlignment="1">
      <alignment horizontal="center"/>
    </xf>
    <xf numFmtId="164" fontId="36" fillId="22" borderId="162" xfId="0" applyNumberFormat="1" applyFont="1" applyFill="1" applyBorder="1" applyAlignment="1">
      <alignment horizontal="center" vertical="center"/>
    </xf>
    <xf numFmtId="1" fontId="48" fillId="0" borderId="105" xfId="0" applyNumberFormat="1" applyFont="1" applyBorder="1" applyAlignment="1">
      <alignment horizontal="center"/>
    </xf>
    <xf numFmtId="1" fontId="13" fillId="26" borderId="172" xfId="0" applyNumberFormat="1" applyFont="1" applyFill="1" applyBorder="1" applyAlignment="1">
      <alignment horizontal="center"/>
    </xf>
    <xf numFmtId="1" fontId="13" fillId="26" borderId="171" xfId="0" applyNumberFormat="1" applyFont="1" applyFill="1" applyBorder="1" applyAlignment="1">
      <alignment horizontal="center"/>
    </xf>
    <xf numFmtId="0" fontId="34" fillId="14" borderId="81" xfId="0" applyFont="1" applyFill="1" applyBorder="1" applyAlignment="1">
      <alignment horizontal="center" vertical="center" wrapText="1"/>
    </xf>
    <xf numFmtId="0" fontId="34" fillId="14" borderId="11" xfId="0" applyFont="1" applyFill="1" applyBorder="1" applyAlignment="1">
      <alignment horizontal="center" vertical="center" wrapText="1"/>
    </xf>
    <xf numFmtId="0" fontId="34" fillId="14" borderId="9" xfId="0" applyFont="1" applyFill="1" applyBorder="1" applyAlignment="1">
      <alignment horizontal="center" vertical="center" wrapText="1"/>
    </xf>
    <xf numFmtId="0" fontId="34" fillId="14" borderId="127" xfId="0" applyFont="1" applyFill="1" applyBorder="1" applyAlignment="1">
      <alignment horizontal="center" vertical="center" wrapText="1"/>
    </xf>
    <xf numFmtId="10" fontId="36" fillId="15" borderId="162" xfId="0" applyNumberFormat="1" applyFont="1" applyFill="1" applyBorder="1" applyAlignment="1">
      <alignment horizontal="center" vertical="center"/>
    </xf>
    <xf numFmtId="10" fontId="36" fillId="22" borderId="162" xfId="0" applyNumberFormat="1" applyFont="1" applyFill="1" applyBorder="1" applyAlignment="1">
      <alignment horizontal="center" vertical="center"/>
    </xf>
    <xf numFmtId="9" fontId="36" fillId="22" borderId="162" xfId="0" applyNumberFormat="1" applyFont="1" applyFill="1" applyBorder="1" applyAlignment="1">
      <alignment horizontal="center" vertical="center"/>
    </xf>
    <xf numFmtId="9" fontId="36" fillId="22" borderId="16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61" fillId="0" borderId="0" xfId="0" applyFont="1" applyAlignment="1"/>
    <xf numFmtId="0" fontId="61" fillId="0" borderId="21" xfId="0" applyFont="1" applyBorder="1" applyAlignment="1">
      <alignment horizontal="center"/>
    </xf>
    <xf numFmtId="0" fontId="54" fillId="0" borderId="0" xfId="0" applyFont="1" applyAlignment="1">
      <alignment horizontal="center" vertical="center"/>
    </xf>
    <xf numFmtId="0" fontId="2" fillId="0" borderId="21" xfId="0" applyFont="1" applyBorder="1" applyAlignment="1">
      <alignment horizontal="center"/>
    </xf>
    <xf numFmtId="0" fontId="2" fillId="0" borderId="86" xfId="0" applyFont="1" applyBorder="1" applyAlignment="1"/>
    <xf numFmtId="0" fontId="18" fillId="0" borderId="0" xfId="0" applyFont="1"/>
    <xf numFmtId="0" fontId="2" fillId="31" borderId="0" xfId="0" applyFont="1" applyFill="1"/>
    <xf numFmtId="2" fontId="2" fillId="31" borderId="0" xfId="0" applyNumberFormat="1" applyFont="1" applyFill="1"/>
    <xf numFmtId="0" fontId="63" fillId="0" borderId="0" xfId="0" applyFont="1" applyAlignment="1">
      <alignment horizontal="center"/>
    </xf>
    <xf numFmtId="0" fontId="63" fillId="31" borderId="0" xfId="0" applyFont="1" applyFill="1" applyAlignment="1">
      <alignment horizontal="center"/>
    </xf>
    <xf numFmtId="2" fontId="63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center" vertical="center"/>
    </xf>
    <xf numFmtId="0" fontId="18" fillId="31" borderId="0" xfId="0" applyFont="1" applyFill="1" applyAlignment="1">
      <alignment horizontal="center" vertical="center"/>
    </xf>
    <xf numFmtId="0" fontId="25" fillId="31" borderId="0" xfId="0" applyFont="1" applyFill="1" applyAlignment="1">
      <alignment horizontal="left" vertical="center"/>
    </xf>
    <xf numFmtId="2" fontId="18" fillId="31" borderId="0" xfId="0" applyNumberFormat="1" applyFont="1" applyFill="1"/>
    <xf numFmtId="0" fontId="18" fillId="31" borderId="0" xfId="0" applyFont="1" applyFill="1"/>
    <xf numFmtId="0" fontId="2" fillId="32" borderId="3" xfId="0" applyFont="1" applyFill="1" applyBorder="1" applyAlignment="1">
      <alignment horizontal="center"/>
    </xf>
    <xf numFmtId="0" fontId="2" fillId="32" borderId="32" xfId="0" applyFont="1" applyFill="1" applyBorder="1" applyAlignment="1">
      <alignment horizontal="center"/>
    </xf>
    <xf numFmtId="0" fontId="64" fillId="0" borderId="195" xfId="0" applyFont="1" applyBorder="1" applyAlignment="1">
      <alignment horizontal="center" vertical="center" wrapText="1"/>
    </xf>
    <xf numFmtId="0" fontId="64" fillId="31" borderId="195" xfId="0" applyFont="1" applyFill="1" applyBorder="1" applyAlignment="1">
      <alignment horizontal="center" vertical="center" wrapText="1"/>
    </xf>
    <xf numFmtId="0" fontId="64" fillId="31" borderId="197" xfId="0" applyFont="1" applyFill="1" applyBorder="1" applyAlignment="1">
      <alignment horizontal="center" vertical="center" wrapText="1"/>
    </xf>
    <xf numFmtId="2" fontId="64" fillId="31" borderId="197" xfId="0" applyNumberFormat="1" applyFont="1" applyFill="1" applyBorder="1" applyAlignment="1">
      <alignment horizontal="center" vertical="center" wrapText="1"/>
    </xf>
    <xf numFmtId="0" fontId="64" fillId="31" borderId="170" xfId="0" applyFont="1" applyFill="1" applyBorder="1" applyAlignment="1">
      <alignment horizontal="center" vertical="center" wrapText="1"/>
    </xf>
    <xf numFmtId="0" fontId="65" fillId="30" borderId="112" xfId="0" applyFont="1" applyFill="1" applyBorder="1" applyAlignment="1">
      <alignment horizontal="center" vertical="center" wrapText="1"/>
    </xf>
    <xf numFmtId="0" fontId="65" fillId="2" borderId="109" xfId="0" applyFont="1" applyFill="1" applyBorder="1" applyAlignment="1">
      <alignment horizontal="center" vertical="center" wrapText="1"/>
    </xf>
    <xf numFmtId="0" fontId="65" fillId="23" borderId="24" xfId="0" applyFont="1" applyFill="1" applyBorder="1" applyAlignment="1">
      <alignment horizontal="center" vertical="center" wrapText="1"/>
    </xf>
    <xf numFmtId="0" fontId="64" fillId="32" borderId="23" xfId="0" applyFont="1" applyFill="1" applyBorder="1" applyAlignment="1">
      <alignment horizontal="center" vertical="center" wrapText="1"/>
    </xf>
    <xf numFmtId="0" fontId="64" fillId="25" borderId="23" xfId="0" applyFont="1" applyFill="1" applyBorder="1" applyAlignment="1">
      <alignment horizontal="center" vertical="center" wrapText="1"/>
    </xf>
    <xf numFmtId="0" fontId="64" fillId="25" borderId="185" xfId="0" applyFont="1" applyFill="1" applyBorder="1" applyAlignment="1">
      <alignment horizontal="center" vertical="center" wrapText="1"/>
    </xf>
    <xf numFmtId="2" fontId="64" fillId="31" borderId="170" xfId="0" applyNumberFormat="1" applyFont="1" applyFill="1" applyBorder="1" applyAlignment="1">
      <alignment horizontal="center" vertical="center" wrapText="1"/>
    </xf>
    <xf numFmtId="0" fontId="65" fillId="0" borderId="171" xfId="0" applyFont="1" applyBorder="1" applyAlignment="1">
      <alignment horizontal="center" vertical="center" wrapText="1"/>
    </xf>
    <xf numFmtId="0" fontId="65" fillId="0" borderId="23" xfId="0" applyFont="1" applyBorder="1" applyAlignment="1">
      <alignment horizontal="center" vertical="center" wrapText="1"/>
    </xf>
    <xf numFmtId="0" fontId="64" fillId="0" borderId="170" xfId="0" applyFont="1" applyBorder="1" applyAlignment="1">
      <alignment horizontal="center" vertical="center" wrapText="1"/>
    </xf>
    <xf numFmtId="2" fontId="64" fillId="0" borderId="170" xfId="0" applyNumberFormat="1" applyFont="1" applyBorder="1" applyAlignment="1">
      <alignment horizontal="center" vertical="center" wrapText="1"/>
    </xf>
    <xf numFmtId="0" fontId="65" fillId="0" borderId="112" xfId="0" applyFont="1" applyBorder="1" applyAlignment="1">
      <alignment horizontal="center" vertical="center" wrapText="1"/>
    </xf>
    <xf numFmtId="0" fontId="65" fillId="0" borderId="28" xfId="0" applyFont="1" applyBorder="1" applyAlignment="1">
      <alignment horizontal="center" vertical="center" wrapText="1"/>
    </xf>
    <xf numFmtId="0" fontId="64" fillId="0" borderId="0" xfId="0" applyFont="1" applyAlignment="1">
      <alignment horizontal="center" vertical="center" wrapText="1"/>
    </xf>
    <xf numFmtId="0" fontId="61" fillId="0" borderId="7" xfId="0" applyFont="1" applyBorder="1" applyAlignment="1">
      <alignment horizontal="center" vertical="center"/>
    </xf>
    <xf numFmtId="169" fontId="61" fillId="0" borderId="6" xfId="0" applyNumberFormat="1" applyFont="1" applyBorder="1" applyAlignment="1">
      <alignment horizontal="center" vertical="center"/>
    </xf>
    <xf numFmtId="172" fontId="61" fillId="31" borderId="4" xfId="0" applyNumberFormat="1" applyFont="1" applyFill="1" applyBorder="1" applyAlignment="1">
      <alignment horizontal="center" vertical="center"/>
    </xf>
    <xf numFmtId="2" fontId="2" fillId="31" borderId="4" xfId="0" applyNumberFormat="1" applyFont="1" applyFill="1" applyBorder="1" applyAlignment="1">
      <alignment horizontal="center" vertical="center"/>
    </xf>
    <xf numFmtId="2" fontId="61" fillId="31" borderId="4" xfId="0" applyNumberFormat="1" applyFont="1" applyFill="1" applyBorder="1" applyAlignment="1">
      <alignment horizontal="center" vertical="center"/>
    </xf>
    <xf numFmtId="2" fontId="2" fillId="31" borderId="197" xfId="0" applyNumberFormat="1" applyFont="1" applyFill="1" applyBorder="1" applyAlignment="1">
      <alignment horizontal="center" vertical="center"/>
    </xf>
    <xf numFmtId="172" fontId="61" fillId="0" borderId="4" xfId="0" applyNumberFormat="1" applyFont="1" applyBorder="1" applyAlignment="1">
      <alignment horizontal="center" vertical="center"/>
    </xf>
    <xf numFmtId="10" fontId="2" fillId="2" borderId="4" xfId="0" applyNumberFormat="1" applyFont="1" applyFill="1" applyBorder="1" applyAlignment="1">
      <alignment horizontal="center" vertical="center"/>
    </xf>
    <xf numFmtId="172" fontId="2" fillId="24" borderId="97" xfId="0" applyNumberFormat="1" applyFont="1" applyFill="1" applyBorder="1" applyAlignment="1">
      <alignment horizontal="center" vertical="center"/>
    </xf>
    <xf numFmtId="172" fontId="2" fillId="32" borderId="0" xfId="0" applyNumberFormat="1" applyFont="1" applyFill="1" applyAlignment="1">
      <alignment horizontal="center" vertical="center"/>
    </xf>
    <xf numFmtId="172" fontId="2" fillId="0" borderId="0" xfId="0" applyNumberFormat="1" applyFont="1" applyAlignment="1">
      <alignment horizontal="center" vertical="center"/>
    </xf>
    <xf numFmtId="172" fontId="2" fillId="0" borderId="60" xfId="0" applyNumberFormat="1" applyFont="1" applyBorder="1" applyAlignment="1">
      <alignment horizontal="center" vertical="center"/>
    </xf>
    <xf numFmtId="2" fontId="2" fillId="31" borderId="54" xfId="0" applyNumberFormat="1" applyFont="1" applyFill="1" applyBorder="1" applyAlignment="1">
      <alignment horizontal="center" vertical="center"/>
    </xf>
    <xf numFmtId="2" fontId="61" fillId="31" borderId="0" xfId="0" applyNumberFormat="1" applyFont="1" applyFill="1" applyAlignment="1">
      <alignment horizontal="center" vertical="center"/>
    </xf>
    <xf numFmtId="172" fontId="2" fillId="0" borderId="51" xfId="0" applyNumberFormat="1" applyFont="1" applyBorder="1" applyAlignment="1">
      <alignment horizontal="center" vertical="center"/>
    </xf>
    <xf numFmtId="9" fontId="2" fillId="0" borderId="6" xfId="0" applyNumberFormat="1" applyFont="1" applyBorder="1" applyAlignment="1">
      <alignment horizontal="center" vertical="center"/>
    </xf>
    <xf numFmtId="172" fontId="2" fillId="32" borderId="6" xfId="0" applyNumberFormat="1" applyFont="1" applyFill="1" applyBorder="1" applyAlignment="1">
      <alignment horizontal="center" vertical="center"/>
    </xf>
    <xf numFmtId="172" fontId="2" fillId="0" borderId="6" xfId="0" applyNumberFormat="1" applyFont="1" applyBorder="1" applyAlignment="1">
      <alignment horizontal="center" vertical="center"/>
    </xf>
    <xf numFmtId="172" fontId="2" fillId="0" borderId="46" xfId="0" applyNumberFormat="1" applyFont="1" applyBorder="1" applyAlignment="1">
      <alignment horizontal="center" vertical="center"/>
    </xf>
    <xf numFmtId="2" fontId="2" fillId="31" borderId="55" xfId="0" applyNumberFormat="1" applyFont="1" applyFill="1" applyBorder="1" applyAlignment="1">
      <alignment horizontal="center" vertical="center"/>
    </xf>
    <xf numFmtId="172" fontId="2" fillId="0" borderId="53" xfId="0" applyNumberFormat="1" applyFont="1" applyBorder="1" applyAlignment="1">
      <alignment horizontal="center" vertical="center"/>
    </xf>
    <xf numFmtId="9" fontId="2" fillId="0" borderId="113" xfId="0" applyNumberFormat="1" applyFont="1" applyBorder="1" applyAlignment="1">
      <alignment horizontal="center" vertical="center"/>
    </xf>
    <xf numFmtId="172" fontId="2" fillId="32" borderId="113" xfId="0" applyNumberFormat="1" applyFont="1" applyFill="1" applyBorder="1" applyAlignment="1">
      <alignment horizontal="center" vertical="center"/>
    </xf>
    <xf numFmtId="172" fontId="2" fillId="21" borderId="46" xfId="0" applyNumberFormat="1" applyFont="1" applyFill="1" applyBorder="1" applyAlignment="1">
      <alignment horizontal="center" vertical="center"/>
    </xf>
    <xf numFmtId="2" fontId="2" fillId="21" borderId="55" xfId="0" applyNumberFormat="1" applyFont="1" applyFill="1" applyBorder="1" applyAlignment="1">
      <alignment horizontal="center" vertical="center"/>
    </xf>
    <xf numFmtId="172" fontId="2" fillId="21" borderId="113" xfId="0" applyNumberFormat="1" applyFont="1" applyFill="1" applyBorder="1" applyAlignment="1">
      <alignment horizontal="center" vertical="center"/>
    </xf>
    <xf numFmtId="2" fontId="2" fillId="21" borderId="177" xfId="0" applyNumberFormat="1" applyFont="1" applyFill="1" applyBorder="1" applyAlignment="1">
      <alignment horizontal="center" vertical="center"/>
    </xf>
    <xf numFmtId="172" fontId="2" fillId="21" borderId="52" xfId="0" applyNumberFormat="1" applyFont="1" applyFill="1" applyBorder="1" applyAlignment="1">
      <alignment horizontal="center" vertical="center"/>
    </xf>
    <xf numFmtId="172" fontId="2" fillId="21" borderId="28" xfId="0" applyNumberFormat="1" applyFont="1" applyFill="1" applyBorder="1" applyAlignment="1">
      <alignment horizontal="center" vertical="center"/>
    </xf>
    <xf numFmtId="172" fontId="2" fillId="0" borderId="0" xfId="0" applyNumberFormat="1" applyFont="1"/>
    <xf numFmtId="167" fontId="18" fillId="13" borderId="20" xfId="0" applyNumberFormat="1" applyFont="1" applyFill="1" applyBorder="1" applyAlignment="1">
      <alignment vertical="center"/>
    </xf>
    <xf numFmtId="0" fontId="61" fillId="0" borderId="49" xfId="0" applyFont="1" applyBorder="1" applyAlignment="1">
      <alignment horizontal="center" vertical="center"/>
    </xf>
    <xf numFmtId="166" fontId="2" fillId="31" borderId="4" xfId="0" applyNumberFormat="1" applyFont="1" applyFill="1" applyBorder="1" applyAlignment="1">
      <alignment horizontal="center" vertical="center"/>
    </xf>
    <xf numFmtId="172" fontId="2" fillId="24" borderId="57" xfId="0" applyNumberFormat="1" applyFont="1" applyFill="1" applyBorder="1" applyAlignment="1">
      <alignment horizontal="center" vertical="center"/>
    </xf>
    <xf numFmtId="2" fontId="2" fillId="8" borderId="54" xfId="0" applyNumberFormat="1" applyFont="1" applyFill="1" applyBorder="1" applyAlignment="1">
      <alignment horizontal="center" vertical="center"/>
    </xf>
    <xf numFmtId="172" fontId="2" fillId="8" borderId="51" xfId="0" applyNumberFormat="1" applyFont="1" applyFill="1" applyBorder="1" applyAlignment="1">
      <alignment horizontal="center" vertical="center"/>
    </xf>
    <xf numFmtId="2" fontId="2" fillId="22" borderId="4" xfId="0" applyNumberFormat="1" applyFont="1" applyFill="1" applyBorder="1" applyAlignment="1">
      <alignment horizontal="center" vertical="center"/>
    </xf>
    <xf numFmtId="172" fontId="2" fillId="22" borderId="4" xfId="0" applyNumberFormat="1" applyFont="1" applyFill="1" applyBorder="1" applyAlignment="1">
      <alignment horizontal="center" vertical="center"/>
    </xf>
    <xf numFmtId="9" fontId="2" fillId="22" borderId="4" xfId="0" applyNumberFormat="1" applyFont="1" applyFill="1" applyBorder="1" applyAlignment="1">
      <alignment horizontal="center" vertical="center"/>
    </xf>
    <xf numFmtId="172" fontId="2" fillId="21" borderId="67" xfId="0" applyNumberFormat="1" applyFont="1" applyFill="1" applyBorder="1" applyAlignment="1">
      <alignment horizontal="center" vertical="center"/>
    </xf>
    <xf numFmtId="2" fontId="2" fillId="21" borderId="4" xfId="0" applyNumberFormat="1" applyFont="1" applyFill="1" applyBorder="1" applyAlignment="1">
      <alignment horizontal="center" vertical="center"/>
    </xf>
    <xf numFmtId="172" fontId="2" fillId="32" borderId="115" xfId="0" applyNumberFormat="1" applyFont="1" applyFill="1" applyBorder="1" applyAlignment="1">
      <alignment horizontal="center" vertical="center"/>
    </xf>
    <xf numFmtId="172" fontId="2" fillId="21" borderId="159" xfId="0" applyNumberFormat="1" applyFont="1" applyFill="1" applyBorder="1" applyAlignment="1">
      <alignment horizontal="center" vertical="center"/>
    </xf>
    <xf numFmtId="2" fontId="2" fillId="21" borderId="71" xfId="0" applyNumberFormat="1" applyFont="1" applyFill="1" applyBorder="1" applyAlignment="1">
      <alignment horizontal="center" vertical="center"/>
    </xf>
    <xf numFmtId="172" fontId="2" fillId="21" borderId="115" xfId="0" applyNumberFormat="1" applyFont="1" applyFill="1" applyBorder="1" applyAlignment="1">
      <alignment horizontal="center" vertical="center"/>
    </xf>
    <xf numFmtId="2" fontId="2" fillId="21" borderId="122" xfId="0" applyNumberFormat="1" applyFont="1" applyFill="1" applyBorder="1" applyAlignment="1">
      <alignment horizontal="center" vertical="center"/>
    </xf>
    <xf numFmtId="172" fontId="2" fillId="21" borderId="75" xfId="0" applyNumberFormat="1" applyFont="1" applyFill="1" applyBorder="1" applyAlignment="1">
      <alignment horizontal="center" vertical="center"/>
    </xf>
    <xf numFmtId="166" fontId="61" fillId="31" borderId="4" xfId="0" applyNumberFormat="1" applyFont="1" applyFill="1" applyBorder="1" applyAlignment="1">
      <alignment horizontal="center" vertical="center"/>
    </xf>
    <xf numFmtId="3" fontId="61" fillId="0" borderId="4" xfId="0" applyNumberFormat="1" applyFont="1" applyBorder="1" applyAlignment="1">
      <alignment horizontal="center" vertical="center"/>
    </xf>
    <xf numFmtId="172" fontId="2" fillId="24" borderId="61" xfId="0" applyNumberFormat="1" applyFont="1" applyFill="1" applyBorder="1" applyAlignment="1">
      <alignment horizontal="center" vertical="center"/>
    </xf>
    <xf numFmtId="172" fontId="2" fillId="21" borderId="141" xfId="0" applyNumberFormat="1" applyFont="1" applyFill="1" applyBorder="1" applyAlignment="1">
      <alignment horizontal="center" vertical="center"/>
    </xf>
    <xf numFmtId="2" fontId="2" fillId="21" borderId="143" xfId="0" applyNumberFormat="1" applyFont="1" applyFill="1" applyBorder="1" applyAlignment="1">
      <alignment horizontal="center" vertical="center"/>
    </xf>
    <xf numFmtId="172" fontId="2" fillId="21" borderId="6" xfId="0" applyNumberFormat="1" applyFont="1" applyFill="1" applyBorder="1" applyAlignment="1">
      <alignment horizontal="center" vertical="center"/>
    </xf>
    <xf numFmtId="2" fontId="2" fillId="21" borderId="73" xfId="0" applyNumberFormat="1" applyFont="1" applyFill="1" applyBorder="1" applyAlignment="1">
      <alignment horizontal="center" vertical="center"/>
    </xf>
    <xf numFmtId="172" fontId="2" fillId="21" borderId="56" xfId="0" applyNumberFormat="1" applyFont="1" applyFill="1" applyBorder="1" applyAlignment="1">
      <alignment horizontal="center" vertical="center"/>
    </xf>
    <xf numFmtId="0" fontId="61" fillId="0" borderId="9" xfId="0" applyFont="1" applyBorder="1" applyAlignment="1">
      <alignment horizontal="center" vertical="center"/>
    </xf>
    <xf numFmtId="169" fontId="61" fillId="0" borderId="29" xfId="0" applyNumberFormat="1" applyFont="1" applyBorder="1" applyAlignment="1">
      <alignment horizontal="center" vertical="center"/>
    </xf>
    <xf numFmtId="172" fontId="2" fillId="32" borderId="72" xfId="0" applyNumberFormat="1" applyFont="1" applyFill="1" applyBorder="1" applyAlignment="1">
      <alignment horizontal="center" vertical="center"/>
    </xf>
    <xf numFmtId="172" fontId="2" fillId="21" borderId="72" xfId="0" applyNumberFormat="1" applyFont="1" applyFill="1" applyBorder="1" applyAlignment="1">
      <alignment horizontal="center" vertical="center"/>
    </xf>
    <xf numFmtId="172" fontId="2" fillId="21" borderId="80" xfId="0" applyNumberFormat="1" applyFont="1" applyFill="1" applyBorder="1" applyAlignment="1">
      <alignment horizontal="center" vertical="center"/>
    </xf>
    <xf numFmtId="2" fontId="2" fillId="21" borderId="77" xfId="0" applyNumberFormat="1" applyFont="1" applyFill="1" applyBorder="1" applyAlignment="1">
      <alignment horizontal="center" vertical="center"/>
    </xf>
    <xf numFmtId="2" fontId="2" fillId="21" borderId="78" xfId="0" applyNumberFormat="1" applyFont="1" applyFill="1" applyBorder="1" applyAlignment="1">
      <alignment horizontal="center" vertical="center"/>
    </xf>
    <xf numFmtId="172" fontId="2" fillId="21" borderId="78" xfId="0" applyNumberFormat="1" applyFont="1" applyFill="1" applyBorder="1" applyAlignment="1">
      <alignment horizontal="center" vertical="center"/>
    </xf>
    <xf numFmtId="2" fontId="2" fillId="13" borderId="4" xfId="0" applyNumberFormat="1" applyFont="1" applyFill="1" applyBorder="1" applyAlignment="1">
      <alignment horizontal="center" vertical="center"/>
    </xf>
    <xf numFmtId="172" fontId="2" fillId="13" borderId="4" xfId="0" applyNumberFormat="1" applyFont="1" applyFill="1" applyBorder="1" applyAlignment="1">
      <alignment horizontal="center" vertical="center"/>
    </xf>
    <xf numFmtId="9" fontId="2" fillId="13" borderId="4" xfId="0" applyNumberFormat="1" applyFont="1" applyFill="1" applyBorder="1" applyAlignment="1">
      <alignment horizontal="center" vertical="center"/>
    </xf>
    <xf numFmtId="172" fontId="2" fillId="32" borderId="29" xfId="0" applyNumberFormat="1" applyFont="1" applyFill="1" applyBorder="1" applyAlignment="1">
      <alignment horizontal="center" vertical="center"/>
    </xf>
    <xf numFmtId="2" fontId="2" fillId="32" borderId="29" xfId="0" applyNumberFormat="1" applyFont="1" applyFill="1" applyBorder="1" applyAlignment="1">
      <alignment horizontal="center" vertical="center"/>
    </xf>
    <xf numFmtId="2" fontId="2" fillId="21" borderId="29" xfId="0" applyNumberFormat="1" applyFont="1" applyFill="1" applyBorder="1" applyAlignment="1">
      <alignment horizontal="center" vertical="center"/>
    </xf>
    <xf numFmtId="2" fontId="2" fillId="21" borderId="67" xfId="0" applyNumberFormat="1" applyFont="1" applyFill="1" applyBorder="1" applyAlignment="1">
      <alignment horizontal="center" vertical="center"/>
    </xf>
    <xf numFmtId="172" fontId="2" fillId="21" borderId="60" xfId="0" applyNumberFormat="1" applyFont="1" applyFill="1" applyBorder="1" applyAlignment="1">
      <alignment horizontal="center" vertical="center"/>
    </xf>
    <xf numFmtId="2" fontId="2" fillId="21" borderId="54" xfId="0" applyNumberFormat="1" applyFont="1" applyFill="1" applyBorder="1" applyAlignment="1">
      <alignment horizontal="center" vertical="center"/>
    </xf>
    <xf numFmtId="2" fontId="2" fillId="21" borderId="56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72" fontId="61" fillId="0" borderId="51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72" fontId="2" fillId="0" borderId="4" xfId="0" applyNumberFormat="1" applyFont="1" applyBorder="1" applyAlignment="1">
      <alignment horizontal="center" vertical="center"/>
    </xf>
    <xf numFmtId="172" fontId="2" fillId="13" borderId="100" xfId="0" applyNumberFormat="1" applyFont="1" applyFill="1" applyBorder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172" fontId="2" fillId="0" borderId="100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61" fillId="27" borderId="0" xfId="0" applyFont="1" applyFill="1" applyAlignment="1"/>
    <xf numFmtId="172" fontId="2" fillId="21" borderId="29" xfId="0" applyNumberFormat="1" applyFont="1" applyFill="1" applyBorder="1" applyAlignment="1">
      <alignment horizontal="center" vertical="center"/>
    </xf>
    <xf numFmtId="0" fontId="67" fillId="0" borderId="0" xfId="0" applyFont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 wrapText="1"/>
    </xf>
    <xf numFmtId="0" fontId="25" fillId="0" borderId="32" xfId="0" applyFont="1" applyBorder="1" applyAlignment="1">
      <alignment horizontal="center" vertical="center" wrapText="1"/>
    </xf>
    <xf numFmtId="0" fontId="25" fillId="0" borderId="90" xfId="0" applyFont="1" applyBorder="1" applyAlignment="1">
      <alignment horizontal="center" vertical="center" wrapText="1"/>
    </xf>
    <xf numFmtId="0" fontId="25" fillId="0" borderId="63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/>
    </xf>
    <xf numFmtId="0" fontId="25" fillId="0" borderId="110" xfId="0" applyFont="1" applyBorder="1" applyAlignment="1">
      <alignment horizontal="center" vertical="center" wrapText="1"/>
    </xf>
    <xf numFmtId="0" fontId="25" fillId="0" borderId="3" xfId="0" applyFont="1" applyBorder="1" applyAlignment="1">
      <alignment horizontal="center" vertical="center" wrapText="1"/>
    </xf>
    <xf numFmtId="0" fontId="25" fillId="0" borderId="77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8" fillId="0" borderId="171" xfId="0" applyFont="1" applyBorder="1" applyAlignment="1">
      <alignment horizontal="center" vertical="center" wrapText="1"/>
    </xf>
    <xf numFmtId="0" fontId="18" fillId="0" borderId="202" xfId="0" applyFont="1" applyBorder="1" applyAlignment="1">
      <alignment horizontal="center" vertical="center"/>
    </xf>
    <xf numFmtId="0" fontId="18" fillId="0" borderId="95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 wrapText="1"/>
    </xf>
    <xf numFmtId="0" fontId="56" fillId="2" borderId="77" xfId="0" applyFont="1" applyFill="1" applyBorder="1" applyAlignment="1">
      <alignment horizontal="center" vertical="center"/>
    </xf>
    <xf numFmtId="0" fontId="56" fillId="2" borderId="65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69" fillId="2" borderId="8" xfId="0" applyFont="1" applyFill="1" applyBorder="1" applyAlignment="1">
      <alignment horizontal="center" vertical="center"/>
    </xf>
    <xf numFmtId="0" fontId="69" fillId="2" borderId="113" xfId="0" applyFont="1" applyFill="1" applyBorder="1" applyAlignment="1">
      <alignment horizontal="center" vertical="center"/>
    </xf>
    <xf numFmtId="0" fontId="0" fillId="2" borderId="113" xfId="0" applyFont="1" applyFill="1" applyBorder="1" applyAlignment="1">
      <alignment horizontal="center" vertical="center"/>
    </xf>
    <xf numFmtId="0" fontId="0" fillId="2" borderId="48" xfId="0" applyFont="1" applyFill="1" applyBorder="1" applyAlignment="1">
      <alignment horizontal="center" vertical="center"/>
    </xf>
    <xf numFmtId="2" fontId="2" fillId="13" borderId="143" xfId="0" applyNumberFormat="1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2" fontId="2" fillId="31" borderId="143" xfId="0" applyNumberFormat="1" applyFont="1" applyFill="1" applyBorder="1" applyAlignment="1">
      <alignment horizontal="center" vertical="center"/>
    </xf>
    <xf numFmtId="0" fontId="69" fillId="0" borderId="8" xfId="0" applyFont="1" applyBorder="1" applyAlignment="1">
      <alignment horizontal="center" vertical="center"/>
    </xf>
    <xf numFmtId="172" fontId="2" fillId="13" borderId="144" xfId="0" applyNumberFormat="1" applyFont="1" applyFill="1" applyBorder="1" applyAlignment="1">
      <alignment horizontal="center" vertical="center"/>
    </xf>
    <xf numFmtId="0" fontId="69" fillId="21" borderId="113" xfId="0" applyFont="1" applyFill="1" applyBorder="1" applyAlignment="1">
      <alignment horizontal="center" vertical="center"/>
    </xf>
    <xf numFmtId="172" fontId="2" fillId="32" borderId="203" xfId="0" applyNumberFormat="1" applyFont="1" applyFill="1" applyBorder="1" applyAlignment="1">
      <alignment horizontal="center" vertical="center"/>
    </xf>
    <xf numFmtId="0" fontId="69" fillId="21" borderId="8" xfId="0" applyFont="1" applyFill="1" applyBorder="1" applyAlignment="1">
      <alignment horizontal="center" vertical="center"/>
    </xf>
    <xf numFmtId="0" fontId="69" fillId="0" borderId="4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4" fillId="0" borderId="9" xfId="0" applyFont="1" applyBorder="1" applyAlignment="1">
      <alignment horizontal="center" vertical="center"/>
    </xf>
    <xf numFmtId="0" fontId="61" fillId="0" borderId="8" xfId="0" applyFont="1" applyBorder="1" applyAlignment="1">
      <alignment horizontal="center" vertical="center"/>
    </xf>
    <xf numFmtId="0" fontId="61" fillId="0" borderId="113" xfId="0" applyFont="1" applyBorder="1" applyAlignment="1">
      <alignment horizontal="center" vertical="center"/>
    </xf>
    <xf numFmtId="0" fontId="2" fillId="21" borderId="8" xfId="0" applyFont="1" applyFill="1" applyBorder="1" applyAlignment="1">
      <alignment horizontal="center" vertical="center"/>
    </xf>
    <xf numFmtId="0" fontId="2" fillId="21" borderId="48" xfId="0" applyFont="1" applyFill="1" applyBorder="1" applyAlignment="1">
      <alignment horizontal="center" vertical="center"/>
    </xf>
    <xf numFmtId="0" fontId="2" fillId="21" borderId="7" xfId="0" applyFont="1" applyFill="1" applyBorder="1" applyAlignment="1">
      <alignment horizontal="center" vertical="center"/>
    </xf>
    <xf numFmtId="0" fontId="2" fillId="21" borderId="113" xfId="0" applyFont="1" applyFill="1" applyBorder="1" applyAlignment="1">
      <alignment horizontal="center" vertical="center"/>
    </xf>
    <xf numFmtId="0" fontId="61" fillId="0" borderId="19" xfId="0" applyFont="1" applyBorder="1" applyAlignment="1">
      <alignment horizontal="center" vertical="center"/>
    </xf>
    <xf numFmtId="0" fontId="61" fillId="2" borderId="69" xfId="0" applyFont="1" applyFill="1" applyBorder="1" applyAlignment="1">
      <alignment horizontal="center" vertical="center"/>
    </xf>
    <xf numFmtId="0" fontId="61" fillId="2" borderId="17" xfId="0" applyFont="1" applyFill="1" applyBorder="1" applyAlignment="1">
      <alignment horizontal="center" vertical="center"/>
    </xf>
    <xf numFmtId="0" fontId="61" fillId="2" borderId="38" xfId="0" applyFont="1" applyFill="1" applyBorder="1" applyAlignment="1">
      <alignment horizontal="center" vertical="center"/>
    </xf>
    <xf numFmtId="0" fontId="69" fillId="0" borderId="10" xfId="0" applyFont="1" applyBorder="1" applyAlignment="1">
      <alignment horizontal="center" vertical="center"/>
    </xf>
    <xf numFmtId="0" fontId="69" fillId="0" borderId="29" xfId="0" applyFont="1" applyBorder="1" applyAlignment="1">
      <alignment horizontal="center" vertical="center"/>
    </xf>
    <xf numFmtId="0" fontId="69" fillId="2" borderId="10" xfId="0" applyFont="1" applyFill="1" applyBorder="1" applyAlignment="1">
      <alignment horizontal="center" vertical="center"/>
    </xf>
    <xf numFmtId="0" fontId="69" fillId="2" borderId="57" xfId="0" applyFont="1" applyFill="1" applyBorder="1" applyAlignment="1">
      <alignment horizontal="center" vertical="center"/>
    </xf>
    <xf numFmtId="0" fontId="69" fillId="21" borderId="49" xfId="0" applyFont="1" applyFill="1" applyBorder="1" applyAlignment="1">
      <alignment horizontal="center" vertical="center"/>
    </xf>
    <xf numFmtId="0" fontId="0" fillId="21" borderId="59" xfId="0" applyFont="1" applyFill="1" applyBorder="1" applyAlignment="1">
      <alignment horizontal="center" vertical="center"/>
    </xf>
    <xf numFmtId="0" fontId="69" fillId="21" borderId="10" xfId="0" applyFont="1" applyFill="1" applyBorder="1" applyAlignment="1">
      <alignment horizontal="center" vertical="center"/>
    </xf>
    <xf numFmtId="0" fontId="69" fillId="21" borderId="57" xfId="0" applyFont="1" applyFill="1" applyBorder="1" applyAlignment="1">
      <alignment horizontal="center" vertical="center"/>
    </xf>
    <xf numFmtId="0" fontId="61" fillId="21" borderId="49" xfId="0" applyFont="1" applyFill="1" applyBorder="1" applyAlignment="1">
      <alignment horizontal="center" vertical="center"/>
    </xf>
    <xf numFmtId="0" fontId="2" fillId="21" borderId="59" xfId="0" applyFont="1" applyFill="1" applyBorder="1" applyAlignment="1">
      <alignment horizontal="center" vertical="center"/>
    </xf>
    <xf numFmtId="0" fontId="2" fillId="21" borderId="10" xfId="0" applyFont="1" applyFill="1" applyBorder="1" applyAlignment="1">
      <alignment horizontal="center" vertical="center"/>
    </xf>
    <xf numFmtId="0" fontId="2" fillId="21" borderId="29" xfId="0" applyFont="1" applyFill="1" applyBorder="1" applyAlignment="1">
      <alignment horizontal="center" vertical="center"/>
    </xf>
    <xf numFmtId="172" fontId="61" fillId="0" borderId="67" xfId="0" applyNumberFormat="1" applyFont="1" applyBorder="1" applyAlignment="1">
      <alignment horizontal="center" vertical="center"/>
    </xf>
    <xf numFmtId="0" fontId="61" fillId="21" borderId="59" xfId="0" applyFont="1" applyFill="1" applyBorder="1" applyAlignment="1">
      <alignment horizontal="center" vertical="center"/>
    </xf>
    <xf numFmtId="0" fontId="2" fillId="21" borderId="59" xfId="0" applyFont="1" applyFill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0" fontId="2" fillId="21" borderId="57" xfId="0" applyFont="1" applyFill="1" applyBorder="1" applyAlignment="1">
      <alignment horizontal="center" vertical="center"/>
    </xf>
    <xf numFmtId="0" fontId="2" fillId="21" borderId="6" xfId="0" applyFont="1" applyFill="1" applyBorder="1" applyAlignment="1">
      <alignment horizontal="center" vertical="center"/>
    </xf>
    <xf numFmtId="2" fontId="61" fillId="2" borderId="0" xfId="0" applyNumberFormat="1" applyFont="1" applyFill="1" applyAlignment="1">
      <alignment horizontal="center" vertical="center"/>
    </xf>
    <xf numFmtId="0" fontId="61" fillId="0" borderId="165" xfId="0" applyFont="1" applyBorder="1" applyAlignment="1">
      <alignment horizontal="center" vertical="center"/>
    </xf>
    <xf numFmtId="0" fontId="61" fillId="2" borderId="4" xfId="0" applyFont="1" applyFill="1" applyBorder="1" applyAlignment="1">
      <alignment horizontal="center" vertical="center"/>
    </xf>
    <xf numFmtId="0" fontId="61" fillId="0" borderId="29" xfId="0" applyFont="1" applyBorder="1" applyAlignment="1">
      <alignment horizontal="center" vertical="center"/>
    </xf>
    <xf numFmtId="0" fontId="39" fillId="0" borderId="41" xfId="0" applyFont="1" applyBorder="1" applyAlignment="1">
      <alignment horizontal="center"/>
    </xf>
    <xf numFmtId="4" fontId="69" fillId="2" borderId="29" xfId="0" applyNumberFormat="1" applyFont="1" applyFill="1" applyBorder="1" applyAlignment="1">
      <alignment horizontal="center" vertical="center"/>
    </xf>
    <xf numFmtId="4" fontId="69" fillId="2" borderId="10" xfId="0" applyNumberFormat="1" applyFont="1" applyFill="1" applyBorder="1" applyAlignment="1">
      <alignment horizontal="center" vertical="center"/>
    </xf>
    <xf numFmtId="164" fontId="2" fillId="0" borderId="73" xfId="0" applyNumberFormat="1" applyFont="1" applyBorder="1" applyAlignment="1">
      <alignment horizontal="center" vertical="center"/>
    </xf>
    <xf numFmtId="4" fontId="69" fillId="2" borderId="57" xfId="0" applyNumberFormat="1" applyFont="1" applyFill="1" applyBorder="1" applyAlignment="1">
      <alignment horizontal="center" vertical="center"/>
    </xf>
    <xf numFmtId="172" fontId="61" fillId="0" borderId="29" xfId="0" applyNumberFormat="1" applyFont="1" applyBorder="1" applyAlignment="1">
      <alignment horizontal="center" vertical="center"/>
    </xf>
    <xf numFmtId="0" fontId="69" fillId="2" borderId="29" xfId="0" applyFont="1" applyFill="1" applyBorder="1" applyAlignment="1">
      <alignment horizontal="center" vertical="center"/>
    </xf>
    <xf numFmtId="2" fontId="2" fillId="0" borderId="73" xfId="0" applyNumberFormat="1" applyFont="1" applyBorder="1" applyAlignment="1">
      <alignment horizontal="center" vertical="center"/>
    </xf>
    <xf numFmtId="172" fontId="2" fillId="0" borderId="56" xfId="0" applyNumberFormat="1" applyFont="1" applyBorder="1" applyAlignment="1">
      <alignment horizontal="center" vertical="center"/>
    </xf>
    <xf numFmtId="9" fontId="2" fillId="0" borderId="28" xfId="0" applyNumberFormat="1" applyFont="1" applyBorder="1" applyAlignment="1">
      <alignment horizontal="center" vertical="center"/>
    </xf>
    <xf numFmtId="0" fontId="39" fillId="0" borderId="41" xfId="0" applyFont="1" applyBorder="1" applyAlignment="1">
      <alignment horizontal="center"/>
    </xf>
    <xf numFmtId="0" fontId="70" fillId="2" borderId="57" xfId="0" applyFont="1" applyFill="1" applyBorder="1" applyAlignment="1">
      <alignment horizontal="center"/>
    </xf>
    <xf numFmtId="2" fontId="61" fillId="31" borderId="6" xfId="0" applyNumberFormat="1" applyFont="1" applyFill="1" applyBorder="1" applyAlignment="1">
      <alignment horizontal="center" vertical="center"/>
    </xf>
    <xf numFmtId="172" fontId="61" fillId="0" borderId="144" xfId="0" applyNumberFormat="1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69" fillId="21" borderId="29" xfId="0" applyFont="1" applyFill="1" applyBorder="1" applyAlignment="1">
      <alignment horizontal="center" vertical="center"/>
    </xf>
    <xf numFmtId="0" fontId="69" fillId="0" borderId="5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72" fontId="2" fillId="0" borderId="144" xfId="0" applyNumberFormat="1" applyFont="1" applyBorder="1" applyAlignment="1">
      <alignment horizontal="center" vertical="center"/>
    </xf>
    <xf numFmtId="0" fontId="61" fillId="0" borderId="10" xfId="0" applyFont="1" applyBorder="1" applyAlignment="1">
      <alignment horizontal="center" vertical="center"/>
    </xf>
    <xf numFmtId="0" fontId="2" fillId="21" borderId="9" xfId="0" applyFont="1" applyFill="1" applyBorder="1" applyAlignment="1">
      <alignment horizontal="center" vertical="center"/>
    </xf>
    <xf numFmtId="4" fontId="69" fillId="0" borderId="10" xfId="0" applyNumberFormat="1" applyFont="1" applyBorder="1" applyAlignment="1">
      <alignment horizontal="center" vertical="center"/>
    </xf>
    <xf numFmtId="4" fontId="69" fillId="0" borderId="29" xfId="0" applyNumberFormat="1" applyFont="1" applyBorder="1" applyAlignment="1">
      <alignment horizontal="center" vertical="center"/>
    </xf>
    <xf numFmtId="4" fontId="2" fillId="0" borderId="59" xfId="0" applyNumberFormat="1" applyFont="1" applyBorder="1" applyAlignment="1">
      <alignment horizontal="center" vertical="center"/>
    </xf>
    <xf numFmtId="4" fontId="2" fillId="21" borderId="59" xfId="0" applyNumberFormat="1" applyFont="1" applyFill="1" applyBorder="1" applyAlignment="1">
      <alignment horizontal="center" vertical="center"/>
    </xf>
    <xf numFmtId="172" fontId="61" fillId="0" borderId="56" xfId="0" applyNumberFormat="1" applyFont="1" applyBorder="1" applyAlignment="1">
      <alignment horizontal="center" vertical="center"/>
    </xf>
    <xf numFmtId="0" fontId="69" fillId="21" borderId="9" xfId="0" applyFont="1" applyFill="1" applyBorder="1" applyAlignment="1">
      <alignment horizontal="center" vertical="center"/>
    </xf>
    <xf numFmtId="0" fontId="0" fillId="21" borderId="10" xfId="0" applyFont="1" applyFill="1" applyBorder="1" applyAlignment="1">
      <alignment horizontal="center" vertical="center"/>
    </xf>
    <xf numFmtId="0" fontId="61" fillId="21" borderId="9" xfId="0" applyFont="1" applyFill="1" applyBorder="1" applyAlignment="1">
      <alignment horizontal="center" vertical="center"/>
    </xf>
    <xf numFmtId="0" fontId="61" fillId="21" borderId="10" xfId="0" applyFont="1" applyFill="1" applyBorder="1" applyAlignment="1">
      <alignment horizontal="center" vertical="center"/>
    </xf>
    <xf numFmtId="172" fontId="2" fillId="21" borderId="4" xfId="0" applyNumberFormat="1" applyFont="1" applyFill="1" applyBorder="1" applyAlignment="1">
      <alignment horizontal="center" vertical="center"/>
    </xf>
    <xf numFmtId="9" fontId="2" fillId="21" borderId="4" xfId="0" applyNumberFormat="1" applyFont="1" applyFill="1" applyBorder="1" applyAlignment="1">
      <alignment horizontal="center" vertical="center"/>
    </xf>
    <xf numFmtId="0" fontId="61" fillId="0" borderId="14" xfId="0" applyFont="1" applyBorder="1" applyAlignment="1">
      <alignment horizontal="center" vertical="center"/>
    </xf>
    <xf numFmtId="0" fontId="61" fillId="2" borderId="120" xfId="0" applyFont="1" applyFill="1" applyBorder="1" applyAlignment="1">
      <alignment horizontal="center" vertical="center"/>
    </xf>
    <xf numFmtId="0" fontId="61" fillId="0" borderId="34" xfId="0" applyFont="1" applyBorder="1" applyAlignment="1">
      <alignment horizontal="center" vertical="center"/>
    </xf>
    <xf numFmtId="0" fontId="39" fillId="0" borderId="66" xfId="0" applyFont="1" applyBorder="1" applyAlignment="1">
      <alignment horizontal="center"/>
    </xf>
    <xf numFmtId="0" fontId="61" fillId="0" borderId="0" xfId="0" applyFont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2" borderId="5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61" fillId="2" borderId="9" xfId="0" applyFont="1" applyFill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2" fontId="2" fillId="22" borderId="54" xfId="0" applyNumberFormat="1" applyFont="1" applyFill="1" applyBorder="1" applyAlignment="1">
      <alignment horizontal="center" vertical="center"/>
    </xf>
    <xf numFmtId="172" fontId="2" fillId="22" borderId="51" xfId="0" applyNumberFormat="1" applyFont="1" applyFill="1" applyBorder="1" applyAlignment="1">
      <alignment horizontal="center" vertical="center"/>
    </xf>
    <xf numFmtId="2" fontId="2" fillId="22" borderId="65" xfId="0" applyNumberFormat="1" applyFont="1" applyFill="1" applyBorder="1" applyAlignment="1">
      <alignment horizontal="center" vertical="center"/>
    </xf>
    <xf numFmtId="2" fontId="2" fillId="31" borderId="65" xfId="0" applyNumberFormat="1" applyFont="1" applyFill="1" applyBorder="1" applyAlignment="1">
      <alignment horizontal="center" vertical="center"/>
    </xf>
    <xf numFmtId="172" fontId="2" fillId="22" borderId="64" xfId="0" applyNumberFormat="1" applyFont="1" applyFill="1" applyBorder="1" applyAlignment="1">
      <alignment horizontal="center" vertical="center"/>
    </xf>
    <xf numFmtId="0" fontId="0" fillId="2" borderId="29" xfId="0" applyFont="1" applyFill="1" applyBorder="1" applyAlignment="1">
      <alignment horizontal="center" vertical="center"/>
    </xf>
    <xf numFmtId="2" fontId="2" fillId="0" borderId="54" xfId="0" applyNumberFormat="1" applyFont="1" applyBorder="1" applyAlignment="1">
      <alignment horizontal="center" vertical="center"/>
    </xf>
    <xf numFmtId="172" fontId="2" fillId="22" borderId="100" xfId="0" applyNumberFormat="1" applyFont="1" applyFill="1" applyBorder="1" applyAlignment="1">
      <alignment horizontal="center" vertical="center"/>
    </xf>
    <xf numFmtId="0" fontId="69" fillId="0" borderId="9" xfId="0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172" fontId="2" fillId="24" borderId="90" xfId="0" applyNumberFormat="1" applyFont="1" applyFill="1" applyBorder="1" applyAlignment="1">
      <alignment horizontal="center" vertical="center"/>
    </xf>
    <xf numFmtId="172" fontId="2" fillId="32" borderId="87" xfId="0" applyNumberFormat="1" applyFont="1" applyFill="1" applyBorder="1" applyAlignment="1">
      <alignment horizontal="center" vertical="center"/>
    </xf>
    <xf numFmtId="0" fontId="0" fillId="2" borderId="57" xfId="0" applyFont="1" applyFill="1" applyBorder="1" applyAlignment="1">
      <alignment horizontal="center" vertical="center"/>
    </xf>
    <xf numFmtId="172" fontId="2" fillId="0" borderId="64" xfId="0" applyNumberFormat="1" applyFont="1" applyBorder="1" applyAlignment="1">
      <alignment horizontal="center" vertical="center"/>
    </xf>
    <xf numFmtId="2" fontId="61" fillId="31" borderId="4" xfId="0" applyNumberFormat="1" applyFont="1" applyFill="1" applyBorder="1" applyAlignment="1">
      <alignment horizontal="center" vertical="center"/>
    </xf>
    <xf numFmtId="2" fontId="2" fillId="21" borderId="204" xfId="0" applyNumberFormat="1" applyFont="1" applyFill="1" applyBorder="1" applyAlignment="1">
      <alignment horizontal="center" vertical="center"/>
    </xf>
    <xf numFmtId="172" fontId="2" fillId="32" borderId="205" xfId="0" applyNumberFormat="1" applyFont="1" applyFill="1" applyBorder="1" applyAlignment="1">
      <alignment horizontal="center" vertical="center"/>
    </xf>
    <xf numFmtId="172" fontId="2" fillId="21" borderId="206" xfId="0" applyNumberFormat="1" applyFont="1" applyFill="1" applyBorder="1" applyAlignment="1">
      <alignment horizontal="center" vertical="center"/>
    </xf>
    <xf numFmtId="172" fontId="2" fillId="24" borderId="4" xfId="0" applyNumberFormat="1" applyFont="1" applyFill="1" applyBorder="1" applyAlignment="1">
      <alignment horizontal="center" vertical="center"/>
    </xf>
    <xf numFmtId="0" fontId="2" fillId="32" borderId="87" xfId="0" applyFont="1" applyFill="1" applyBorder="1" applyAlignment="1">
      <alignment horizontal="center" vertical="center"/>
    </xf>
    <xf numFmtId="2" fontId="2" fillId="31" borderId="77" xfId="0" applyNumberFormat="1" applyFont="1" applyFill="1" applyBorder="1" applyAlignment="1">
      <alignment horizontal="center" vertical="center"/>
    </xf>
    <xf numFmtId="0" fontId="61" fillId="31" borderId="0" xfId="0" applyFont="1" applyFill="1" applyAlignment="1">
      <alignment horizontal="center" vertical="center"/>
    </xf>
    <xf numFmtId="0" fontId="2" fillId="32" borderId="4" xfId="0" applyFont="1" applyFill="1" applyBorder="1" applyAlignment="1">
      <alignment horizontal="center" vertical="center"/>
    </xf>
    <xf numFmtId="0" fontId="2" fillId="31" borderId="4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2" fillId="0" borderId="56" xfId="0" applyFont="1" applyBorder="1" applyAlignment="1">
      <alignment horizontal="center" vertical="center"/>
    </xf>
    <xf numFmtId="0" fontId="2" fillId="32" borderId="0" xfId="0" applyFont="1" applyFill="1" applyAlignment="1">
      <alignment horizontal="center" vertical="center"/>
    </xf>
    <xf numFmtId="0" fontId="2" fillId="22" borderId="4" xfId="0" applyFont="1" applyFill="1" applyBorder="1" applyAlignment="1">
      <alignment horizontal="center" vertical="center"/>
    </xf>
    <xf numFmtId="0" fontId="61" fillId="0" borderId="4" xfId="0" applyFont="1" applyBorder="1" applyAlignment="1">
      <alignment horizontal="center" vertical="center"/>
    </xf>
    <xf numFmtId="9" fontId="61" fillId="0" borderId="4" xfId="0" applyNumberFormat="1" applyFont="1" applyBorder="1" applyAlignment="1">
      <alignment horizontal="center" vertical="center"/>
    </xf>
    <xf numFmtId="0" fontId="2" fillId="21" borderId="4" xfId="0" applyFont="1" applyFill="1" applyBorder="1" applyAlignment="1">
      <alignment horizontal="center" vertical="center"/>
    </xf>
    <xf numFmtId="0" fontId="2" fillId="21" borderId="56" xfId="0" applyFont="1" applyFill="1" applyBorder="1" applyAlignment="1">
      <alignment horizontal="center" vertical="center"/>
    </xf>
    <xf numFmtId="0" fontId="2" fillId="21" borderId="28" xfId="0" applyFont="1" applyFill="1" applyBorder="1" applyAlignment="1">
      <alignment horizontal="center" vertical="center"/>
    </xf>
    <xf numFmtId="0" fontId="2" fillId="22" borderId="9" xfId="0" applyFont="1" applyFill="1" applyBorder="1" applyAlignment="1">
      <alignment horizontal="center" vertical="center"/>
    </xf>
    <xf numFmtId="0" fontId="0" fillId="21" borderId="29" xfId="0" applyFont="1" applyFill="1" applyBorder="1" applyAlignment="1">
      <alignment horizontal="center" vertical="center"/>
    </xf>
    <xf numFmtId="0" fontId="0" fillId="21" borderId="57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2" borderId="29" xfId="0" applyFont="1" applyFill="1" applyBorder="1" applyAlignment="1">
      <alignment horizontal="center" vertical="center"/>
    </xf>
    <xf numFmtId="0" fontId="61" fillId="0" borderId="9" xfId="0" applyFont="1" applyBorder="1" applyAlignment="1">
      <alignment horizontal="center"/>
    </xf>
    <xf numFmtId="0" fontId="2" fillId="21" borderId="202" xfId="0" applyFont="1" applyFill="1" applyBorder="1" applyAlignment="1">
      <alignment horizontal="center" vertical="center"/>
    </xf>
    <xf numFmtId="0" fontId="61" fillId="21" borderId="67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69" fillId="0" borderId="13" xfId="0" applyFont="1" applyBorder="1" applyAlignment="1">
      <alignment horizontal="center" vertical="center"/>
    </xf>
    <xf numFmtId="0" fontId="69" fillId="0" borderId="108" xfId="0" applyFont="1" applyBorder="1" applyAlignment="1">
      <alignment horizontal="center" vertical="center"/>
    </xf>
    <xf numFmtId="0" fontId="69" fillId="2" borderId="108" xfId="0" applyFont="1" applyFill="1" applyBorder="1" applyAlignment="1">
      <alignment horizontal="center" vertical="center"/>
    </xf>
    <xf numFmtId="0" fontId="69" fillId="2" borderId="13" xfId="0" applyFont="1" applyFill="1" applyBorder="1" applyAlignment="1">
      <alignment horizontal="center" vertical="center"/>
    </xf>
    <xf numFmtId="0" fontId="70" fillId="2" borderId="107" xfId="0" applyFont="1" applyFill="1" applyBorder="1" applyAlignment="1">
      <alignment horizontal="center"/>
    </xf>
    <xf numFmtId="0" fontId="0" fillId="0" borderId="12" xfId="0" applyFont="1" applyBorder="1" applyAlignment="1">
      <alignment horizontal="center" vertical="center"/>
    </xf>
    <xf numFmtId="0" fontId="69" fillId="0" borderId="42" xfId="0" applyFont="1" applyBorder="1" applyAlignment="1">
      <alignment horizontal="center" vertical="center"/>
    </xf>
    <xf numFmtId="0" fontId="2" fillId="22" borderId="21" xfId="0" applyFont="1" applyFill="1" applyBorder="1" applyAlignment="1">
      <alignment horizontal="center" vertical="center"/>
    </xf>
    <xf numFmtId="0" fontId="0" fillId="21" borderId="108" xfId="0" applyFont="1" applyFill="1" applyBorder="1" applyAlignment="1">
      <alignment horizontal="center" vertical="center"/>
    </xf>
    <xf numFmtId="0" fontId="2" fillId="31" borderId="54" xfId="0" applyFont="1" applyFill="1" applyBorder="1" applyAlignment="1">
      <alignment horizontal="center" vertical="center"/>
    </xf>
    <xf numFmtId="0" fontId="0" fillId="21" borderId="13" xfId="0" applyFont="1" applyFill="1" applyBorder="1" applyAlignment="1">
      <alignment horizontal="center" vertical="center"/>
    </xf>
    <xf numFmtId="0" fontId="2" fillId="31" borderId="77" xfId="0" applyFont="1" applyFill="1" applyBorder="1" applyAlignment="1">
      <alignment horizontal="center" vertical="center"/>
    </xf>
    <xf numFmtId="0" fontId="61" fillId="0" borderId="102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61" fillId="0" borderId="13" xfId="0" applyFont="1" applyBorder="1" applyAlignment="1">
      <alignment horizontal="center" vertical="center"/>
    </xf>
    <xf numFmtId="0" fontId="2" fillId="21" borderId="27" xfId="0" applyFont="1" applyFill="1" applyBorder="1" applyAlignment="1">
      <alignment horizontal="center" vertical="center"/>
    </xf>
    <xf numFmtId="0" fontId="61" fillId="0" borderId="108" xfId="0" applyFont="1" applyBorder="1" applyAlignment="1">
      <alignment horizontal="center" vertical="center"/>
    </xf>
    <xf numFmtId="0" fontId="61" fillId="21" borderId="12" xfId="0" applyFont="1" applyFill="1" applyBorder="1" applyAlignment="1">
      <alignment horizontal="center" vertical="center"/>
    </xf>
    <xf numFmtId="0" fontId="2" fillId="21" borderId="42" xfId="0" applyFont="1" applyFill="1" applyBorder="1" applyAlignment="1">
      <alignment horizontal="center" vertical="center"/>
    </xf>
    <xf numFmtId="0" fontId="2" fillId="21" borderId="13" xfId="0" applyFont="1" applyFill="1" applyBorder="1" applyAlignment="1">
      <alignment horizontal="center" vertical="center"/>
    </xf>
    <xf numFmtId="0" fontId="61" fillId="21" borderId="102" xfId="0" applyFont="1" applyFill="1" applyBorder="1" applyAlignment="1">
      <alignment horizontal="center" vertical="center"/>
    </xf>
    <xf numFmtId="0" fontId="2" fillId="21" borderId="108" xfId="0" applyFont="1" applyFill="1" applyBorder="1" applyAlignment="1">
      <alignment horizontal="center" vertical="center"/>
    </xf>
    <xf numFmtId="169" fontId="61" fillId="0" borderId="0" xfId="0" applyNumberFormat="1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9" fontId="61" fillId="2" borderId="4" xfId="0" applyNumberFormat="1" applyFont="1" applyFill="1" applyBorder="1" applyAlignment="1">
      <alignment horizontal="center" vertical="center"/>
    </xf>
    <xf numFmtId="0" fontId="62" fillId="2" borderId="0" xfId="0" applyFont="1" applyFill="1" applyAlignment="1">
      <alignment horizontal="center"/>
    </xf>
    <xf numFmtId="167" fontId="18" fillId="13" borderId="119" xfId="0" applyNumberFormat="1" applyFont="1" applyFill="1" applyBorder="1" applyAlignment="1">
      <alignment vertical="center"/>
    </xf>
    <xf numFmtId="0" fontId="18" fillId="0" borderId="3" xfId="0" applyFont="1" applyBorder="1" applyAlignment="1">
      <alignment horizontal="center"/>
    </xf>
    <xf numFmtId="0" fontId="18" fillId="0" borderId="32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64" fillId="25" borderId="0" xfId="0" applyFont="1" applyFill="1" applyAlignment="1">
      <alignment horizontal="center" vertical="center" wrapText="1"/>
    </xf>
    <xf numFmtId="0" fontId="65" fillId="0" borderId="112" xfId="0" applyFont="1" applyBorder="1" applyAlignment="1">
      <alignment horizontal="center" vertical="center" wrapText="1"/>
    </xf>
    <xf numFmtId="0" fontId="65" fillId="0" borderId="24" xfId="0" applyFont="1" applyBorder="1" applyAlignment="1">
      <alignment horizontal="center" vertical="center" wrapText="1"/>
    </xf>
    <xf numFmtId="0" fontId="65" fillId="0" borderId="23" xfId="0" applyFont="1" applyBorder="1" applyAlignment="1">
      <alignment horizontal="center" vertical="center" wrapText="1"/>
    </xf>
    <xf numFmtId="0" fontId="65" fillId="0" borderId="0" xfId="0" applyFont="1" applyAlignment="1">
      <alignment horizontal="center" vertical="center" wrapText="1"/>
    </xf>
    <xf numFmtId="9" fontId="2" fillId="2" borderId="4" xfId="0" applyNumberFormat="1" applyFont="1" applyFill="1" applyBorder="1" applyAlignment="1">
      <alignment horizontal="center" vertical="center"/>
    </xf>
    <xf numFmtId="10" fontId="2" fillId="0" borderId="28" xfId="0" applyNumberFormat="1" applyFont="1" applyBorder="1" applyAlignment="1">
      <alignment horizontal="center" vertical="center"/>
    </xf>
    <xf numFmtId="0" fontId="64" fillId="25" borderId="0" xfId="0" applyFont="1" applyFill="1" applyAlignment="1">
      <alignment horizontal="center" vertical="center" wrapText="1"/>
    </xf>
    <xf numFmtId="0" fontId="65" fillId="0" borderId="0" xfId="0" applyFont="1" applyAlignment="1">
      <alignment horizontal="center" vertical="center" wrapText="1"/>
    </xf>
    <xf numFmtId="169" fontId="61" fillId="0" borderId="115" xfId="0" applyNumberFormat="1" applyFont="1" applyBorder="1" applyAlignment="1">
      <alignment horizontal="center" vertical="center"/>
    </xf>
    <xf numFmtId="172" fontId="61" fillId="31" borderId="77" xfId="0" applyNumberFormat="1" applyFont="1" applyFill="1" applyBorder="1" applyAlignment="1">
      <alignment horizontal="center" vertical="center"/>
    </xf>
    <xf numFmtId="3" fontId="61" fillId="0" borderId="77" xfId="0" applyNumberFormat="1" applyFont="1" applyBorder="1" applyAlignment="1">
      <alignment horizontal="center" vertical="center"/>
    </xf>
    <xf numFmtId="9" fontId="2" fillId="2" borderId="77" xfId="0" applyNumberFormat="1" applyFont="1" applyFill="1" applyBorder="1" applyAlignment="1">
      <alignment horizontal="center" vertical="center"/>
    </xf>
    <xf numFmtId="172" fontId="2" fillId="24" borderId="77" xfId="0" applyNumberFormat="1" applyFont="1" applyFill="1" applyBorder="1" applyAlignment="1">
      <alignment horizontal="center" vertical="center"/>
    </xf>
    <xf numFmtId="0" fontId="2" fillId="22" borderId="77" xfId="0" applyFont="1" applyFill="1" applyBorder="1" applyAlignment="1">
      <alignment horizontal="center" vertical="center"/>
    </xf>
    <xf numFmtId="0" fontId="2" fillId="32" borderId="77" xfId="0" applyFont="1" applyFill="1" applyBorder="1" applyAlignment="1">
      <alignment horizontal="center" vertical="center"/>
    </xf>
    <xf numFmtId="0" fontId="2" fillId="21" borderId="77" xfId="0" applyFont="1" applyFill="1" applyBorder="1" applyAlignment="1">
      <alignment horizontal="center" vertical="center"/>
    </xf>
    <xf numFmtId="9" fontId="2" fillId="21" borderId="77" xfId="0" applyNumberFormat="1" applyFont="1" applyFill="1" applyBorder="1" applyAlignment="1">
      <alignment horizontal="center" vertical="center"/>
    </xf>
    <xf numFmtId="0" fontId="2" fillId="21" borderId="78" xfId="0" applyFont="1" applyFill="1" applyBorder="1" applyAlignment="1">
      <alignment horizontal="center" vertical="center"/>
    </xf>
    <xf numFmtId="0" fontId="2" fillId="21" borderId="198" xfId="0" applyFont="1" applyFill="1" applyBorder="1" applyAlignment="1">
      <alignment horizontal="center" vertical="center"/>
    </xf>
    <xf numFmtId="169" fontId="61" fillId="2" borderId="0" xfId="0" applyNumberFormat="1" applyFont="1" applyFill="1" applyAlignment="1">
      <alignment horizontal="center" vertical="center"/>
    </xf>
    <xf numFmtId="172" fontId="61" fillId="31" borderId="0" xfId="0" applyNumberFormat="1" applyFont="1" applyFill="1" applyAlignment="1">
      <alignment horizontal="center" vertical="center"/>
    </xf>
    <xf numFmtId="2" fontId="2" fillId="31" borderId="0" xfId="0" applyNumberFormat="1" applyFont="1" applyFill="1" applyAlignment="1">
      <alignment horizontal="center" vertical="center"/>
    </xf>
    <xf numFmtId="172" fontId="61" fillId="2" borderId="0" xfId="0" applyNumberFormat="1" applyFont="1" applyFill="1" applyAlignment="1">
      <alignment horizontal="center" vertical="center"/>
    </xf>
    <xf numFmtId="9" fontId="2" fillId="2" borderId="0" xfId="0" applyNumberFormat="1" applyFont="1" applyFill="1" applyAlignment="1">
      <alignment horizontal="center" vertical="center"/>
    </xf>
    <xf numFmtId="172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9" fontId="2" fillId="2" borderId="0" xfId="0" applyNumberFormat="1" applyFont="1" applyFill="1" applyAlignment="1">
      <alignment horizontal="center" vertical="center"/>
    </xf>
    <xf numFmtId="0" fontId="2" fillId="31" borderId="0" xfId="0" applyFont="1" applyFill="1" applyAlignment="1">
      <alignment horizontal="center" vertical="center"/>
    </xf>
    <xf numFmtId="0" fontId="2" fillId="32" borderId="42" xfId="0" applyFont="1" applyFill="1" applyBorder="1" applyAlignment="1">
      <alignment horizontal="center"/>
    </xf>
    <xf numFmtId="0" fontId="18" fillId="0" borderId="42" xfId="0" applyFont="1" applyBorder="1" applyAlignment="1">
      <alignment horizontal="center"/>
    </xf>
    <xf numFmtId="0" fontId="18" fillId="0" borderId="40" xfId="0" applyFont="1" applyBorder="1" applyAlignment="1">
      <alignment horizontal="center"/>
    </xf>
    <xf numFmtId="0" fontId="2" fillId="32" borderId="40" xfId="0" applyFont="1" applyFill="1" applyBorder="1" applyAlignment="1">
      <alignment horizontal="center"/>
    </xf>
    <xf numFmtId="0" fontId="2" fillId="0" borderId="40" xfId="0" applyFont="1" applyBorder="1" applyAlignment="1">
      <alignment horizontal="center"/>
    </xf>
    <xf numFmtId="167" fontId="18" fillId="13" borderId="0" xfId="0" applyNumberFormat="1" applyFont="1" applyFill="1" applyAlignment="1">
      <alignment vertical="center"/>
    </xf>
    <xf numFmtId="172" fontId="61" fillId="0" borderId="0" xfId="0" applyNumberFormat="1" applyFont="1" applyAlignment="1">
      <alignment horizontal="center" vertical="center"/>
    </xf>
    <xf numFmtId="0" fontId="2" fillId="21" borderId="0" xfId="0" applyFont="1" applyFill="1" applyAlignment="1">
      <alignment horizontal="center" vertical="center"/>
    </xf>
    <xf numFmtId="167" fontId="2" fillId="0" borderId="0" xfId="0" applyNumberFormat="1" applyFont="1" applyAlignment="1"/>
    <xf numFmtId="0" fontId="2" fillId="0" borderId="90" xfId="0" applyFont="1" applyBorder="1" applyAlignment="1"/>
    <xf numFmtId="172" fontId="18" fillId="0" borderId="90" xfId="0" applyNumberFormat="1" applyFont="1" applyBorder="1" applyAlignment="1">
      <alignment horizontal="center"/>
    </xf>
    <xf numFmtId="0" fontId="2" fillId="32" borderId="24" xfId="0" applyFont="1" applyFill="1" applyBorder="1" applyAlignment="1"/>
    <xf numFmtId="0" fontId="18" fillId="0" borderId="24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0" xfId="0" applyFont="1" applyAlignment="1">
      <alignment horizontal="center"/>
    </xf>
    <xf numFmtId="172" fontId="2" fillId="0" borderId="0" xfId="0" applyNumberFormat="1" applyFont="1" applyAlignment="1"/>
    <xf numFmtId="167" fontId="2" fillId="0" borderId="87" xfId="0" applyNumberFormat="1" applyFont="1" applyBorder="1" applyAlignment="1"/>
    <xf numFmtId="172" fontId="64" fillId="2" borderId="0" xfId="0" applyNumberFormat="1" applyFont="1" applyFill="1" applyAlignment="1">
      <alignment horizontal="center" wrapText="1"/>
    </xf>
    <xf numFmtId="172" fontId="64" fillId="31" borderId="21" xfId="0" applyNumberFormat="1" applyFont="1" applyFill="1" applyBorder="1" applyAlignment="1">
      <alignment horizontal="center" wrapText="1"/>
    </xf>
    <xf numFmtId="2" fontId="64" fillId="31" borderId="21" xfId="0" applyNumberFormat="1" applyFont="1" applyFill="1" applyBorder="1" applyAlignment="1">
      <alignment horizontal="center" wrapText="1"/>
    </xf>
    <xf numFmtId="2" fontId="64" fillId="31" borderId="92" xfId="0" applyNumberFormat="1" applyFont="1" applyFill="1" applyBorder="1" applyAlignment="1">
      <alignment horizontal="center" wrapText="1"/>
    </xf>
    <xf numFmtId="172" fontId="65" fillId="0" borderId="92" xfId="0" applyNumberFormat="1" applyFont="1" applyBorder="1" applyAlignment="1">
      <alignment horizontal="center" wrapText="1"/>
    </xf>
    <xf numFmtId="172" fontId="65" fillId="0" borderId="92" xfId="0" applyNumberFormat="1" applyFont="1" applyBorder="1" applyAlignment="1">
      <alignment horizontal="center" wrapText="1"/>
    </xf>
    <xf numFmtId="172" fontId="65" fillId="0" borderId="86" xfId="0" applyNumberFormat="1" applyFont="1" applyBorder="1" applyAlignment="1">
      <alignment horizontal="center" wrapText="1"/>
    </xf>
    <xf numFmtId="0" fontId="2" fillId="32" borderId="86" xfId="0" applyFont="1" applyFill="1" applyBorder="1"/>
    <xf numFmtId="172" fontId="64" fillId="2" borderId="87" xfId="0" applyNumberFormat="1" applyFont="1" applyFill="1" applyBorder="1" applyAlignment="1">
      <alignment horizontal="center" wrapText="1"/>
    </xf>
    <xf numFmtId="172" fontId="64" fillId="2" borderId="92" xfId="0" applyNumberFormat="1" applyFont="1" applyFill="1" applyBorder="1" applyAlignment="1">
      <alignment horizontal="center" wrapText="1"/>
    </xf>
    <xf numFmtId="0" fontId="64" fillId="31" borderId="92" xfId="0" applyFont="1" applyFill="1" applyBorder="1" applyAlignment="1">
      <alignment horizontal="center" wrapText="1"/>
    </xf>
    <xf numFmtId="0" fontId="65" fillId="0" borderId="86" xfId="0" applyFont="1" applyBorder="1" applyAlignment="1">
      <alignment horizontal="center" wrapText="1"/>
    </xf>
    <xf numFmtId="0" fontId="65" fillId="0" borderId="86" xfId="0" applyFont="1" applyBorder="1" applyAlignment="1">
      <alignment horizontal="center" wrapText="1"/>
    </xf>
    <xf numFmtId="0" fontId="64" fillId="2" borderId="92" xfId="0" applyFont="1" applyFill="1" applyBorder="1" applyAlignment="1">
      <alignment horizontal="center" wrapText="1"/>
    </xf>
    <xf numFmtId="0" fontId="64" fillId="0" borderId="92" xfId="0" applyFont="1" applyBorder="1" applyAlignment="1">
      <alignment horizontal="center" wrapText="1"/>
    </xf>
    <xf numFmtId="2" fontId="64" fillId="0" borderId="92" xfId="0" applyNumberFormat="1" applyFont="1" applyBorder="1" applyAlignment="1">
      <alignment horizontal="center" wrapText="1"/>
    </xf>
    <xf numFmtId="0" fontId="64" fillId="2" borderId="87" xfId="0" applyFont="1" applyFill="1" applyBorder="1" applyAlignment="1">
      <alignment horizontal="center" wrapText="1"/>
    </xf>
    <xf numFmtId="0" fontId="65" fillId="0" borderId="0" xfId="0" applyFont="1" applyAlignment="1">
      <alignment horizontal="center" wrapText="1"/>
    </xf>
    <xf numFmtId="172" fontId="64" fillId="0" borderId="0" xfId="0" applyNumberFormat="1" applyFont="1" applyAlignment="1">
      <alignment horizontal="center" wrapText="1"/>
    </xf>
    <xf numFmtId="167" fontId="25" fillId="13" borderId="196" xfId="0" applyNumberFormat="1" applyFont="1" applyFill="1" applyBorder="1" applyAlignment="1">
      <alignment horizontal="center"/>
    </xf>
    <xf numFmtId="0" fontId="61" fillId="0" borderId="21" xfId="0" applyFont="1" applyBorder="1" applyAlignment="1">
      <alignment horizontal="center"/>
    </xf>
    <xf numFmtId="172" fontId="2" fillId="0" borderId="0" xfId="0" applyNumberFormat="1" applyFont="1" applyAlignment="1">
      <alignment horizontal="right"/>
    </xf>
    <xf numFmtId="167" fontId="2" fillId="13" borderId="196" xfId="0" applyNumberFormat="1" applyFont="1" applyFill="1" applyBorder="1"/>
    <xf numFmtId="0" fontId="54" fillId="0" borderId="21" xfId="0" applyFont="1" applyBorder="1" applyAlignment="1">
      <alignment horizontal="center"/>
    </xf>
    <xf numFmtId="167" fontId="2" fillId="13" borderId="42" xfId="0" applyNumberFormat="1" applyFont="1" applyFill="1" applyBorder="1"/>
    <xf numFmtId="172" fontId="64" fillId="2" borderId="0" xfId="0" applyNumberFormat="1" applyFont="1" applyFill="1" applyAlignment="1">
      <alignment horizontal="center" wrapText="1"/>
    </xf>
    <xf numFmtId="172" fontId="64" fillId="2" borderId="87" xfId="0" applyNumberFormat="1" applyFont="1" applyFill="1" applyBorder="1" applyAlignment="1">
      <alignment horizontal="center" wrapText="1"/>
    </xf>
    <xf numFmtId="0" fontId="65" fillId="0" borderId="0" xfId="0" applyFont="1" applyAlignment="1">
      <alignment horizontal="center" wrapText="1"/>
    </xf>
    <xf numFmtId="0" fontId="0" fillId="0" borderId="0" xfId="0" applyFont="1" applyAlignment="1"/>
    <xf numFmtId="0" fontId="10" fillId="2" borderId="6" xfId="0" applyFont="1" applyFill="1" applyBorder="1"/>
    <xf numFmtId="0" fontId="10" fillId="2" borderId="22" xfId="0" applyFont="1" applyFill="1" applyBorder="1"/>
    <xf numFmtId="0" fontId="10" fillId="2" borderId="15" xfId="0" applyFont="1" applyFill="1" applyBorder="1"/>
    <xf numFmtId="0" fontId="10" fillId="2" borderId="16" xfId="0" applyFont="1" applyFill="1" applyBorder="1"/>
    <xf numFmtId="0" fontId="11" fillId="2" borderId="0" xfId="0" applyFont="1" applyFill="1" applyAlignment="1">
      <alignment horizontal="left"/>
    </xf>
    <xf numFmtId="0" fontId="11" fillId="6" borderId="0" xfId="0" applyFont="1" applyFill="1" applyAlignment="1">
      <alignment horizontal="center"/>
    </xf>
    <xf numFmtId="0" fontId="11" fillId="0" borderId="0" xfId="0" applyFont="1" applyAlignment="1">
      <alignment horizontal="left"/>
    </xf>
    <xf numFmtId="2" fontId="15" fillId="2" borderId="0" xfId="0" applyNumberFormat="1" applyFont="1" applyFill="1" applyAlignment="1">
      <alignment horizontal="center"/>
    </xf>
    <xf numFmtId="0" fontId="13" fillId="4" borderId="2" xfId="0" applyFont="1" applyFill="1" applyBorder="1" applyAlignment="1">
      <alignment horizontal="center" vertical="center"/>
    </xf>
    <xf numFmtId="0" fontId="10" fillId="0" borderId="23" xfId="0" applyFont="1" applyBorder="1"/>
    <xf numFmtId="0" fontId="10" fillId="0" borderId="24" xfId="0" applyFont="1" applyBorder="1"/>
    <xf numFmtId="1" fontId="13" fillId="4" borderId="2" xfId="0" applyNumberFormat="1" applyFont="1" applyFill="1" applyBorder="1" applyAlignment="1">
      <alignment horizontal="center" vertical="center"/>
    </xf>
    <xf numFmtId="2" fontId="13" fillId="4" borderId="2" xfId="0" applyNumberFormat="1" applyFont="1" applyFill="1" applyBorder="1" applyAlignment="1">
      <alignment horizontal="center" vertical="center"/>
    </xf>
    <xf numFmtId="0" fontId="20" fillId="4" borderId="2" xfId="0" applyFont="1" applyFill="1" applyBorder="1"/>
    <xf numFmtId="0" fontId="20" fillId="2" borderId="2" xfId="0" applyFont="1" applyFill="1" applyBorder="1"/>
    <xf numFmtId="0" fontId="10" fillId="12" borderId="23" xfId="0" applyFont="1" applyFill="1" applyBorder="1"/>
    <xf numFmtId="0" fontId="10" fillId="12" borderId="24" xfId="0" applyFont="1" applyFill="1" applyBorder="1"/>
    <xf numFmtId="2" fontId="13" fillId="2" borderId="2" xfId="0" applyNumberFormat="1" applyFont="1" applyFill="1" applyBorder="1" applyAlignment="1">
      <alignment horizontal="center" vertical="center"/>
    </xf>
    <xf numFmtId="164" fontId="13" fillId="4" borderId="2" xfId="0" applyNumberFormat="1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/>
    </xf>
    <xf numFmtId="0" fontId="10" fillId="2" borderId="24" xfId="0" applyFont="1" applyFill="1" applyBorder="1"/>
    <xf numFmtId="0" fontId="10" fillId="2" borderId="23" xfId="0" applyFont="1" applyFill="1" applyBorder="1"/>
    <xf numFmtId="0" fontId="19" fillId="4" borderId="2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10" fillId="11" borderId="23" xfId="0" applyFont="1" applyFill="1" applyBorder="1"/>
    <xf numFmtId="0" fontId="10" fillId="11" borderId="24" xfId="0" applyFont="1" applyFill="1" applyBorder="1"/>
    <xf numFmtId="0" fontId="20" fillId="4" borderId="0" xfId="0" applyFont="1" applyFill="1" applyAlignment="1">
      <alignment horizontal="center" vertical="center"/>
    </xf>
    <xf numFmtId="0" fontId="10" fillId="2" borderId="43" xfId="0" applyFont="1" applyFill="1" applyBorder="1"/>
    <xf numFmtId="0" fontId="20" fillId="4" borderId="2" xfId="0" applyFont="1" applyFill="1" applyBorder="1" applyAlignment="1">
      <alignment horizontal="center" vertical="center"/>
    </xf>
    <xf numFmtId="2" fontId="13" fillId="2" borderId="26" xfId="0" applyNumberFormat="1" applyFont="1" applyFill="1" applyBorder="1" applyAlignment="1">
      <alignment horizontal="center" vertical="center"/>
    </xf>
    <xf numFmtId="0" fontId="10" fillId="12" borderId="31" xfId="0" applyFont="1" applyFill="1" applyBorder="1"/>
    <xf numFmtId="0" fontId="10" fillId="2" borderId="31" xfId="0" applyFont="1" applyFill="1" applyBorder="1"/>
    <xf numFmtId="0" fontId="10" fillId="11" borderId="31" xfId="0" applyFont="1" applyFill="1" applyBorder="1"/>
    <xf numFmtId="0" fontId="10" fillId="2" borderId="44" xfId="0" applyFont="1" applyFill="1" applyBorder="1"/>
    <xf numFmtId="2" fontId="22" fillId="4" borderId="32" xfId="0" applyNumberFormat="1" applyFont="1" applyFill="1" applyBorder="1" applyAlignment="1">
      <alignment horizontal="center" vertical="center"/>
    </xf>
    <xf numFmtId="0" fontId="10" fillId="11" borderId="40" xfId="0" applyFont="1" applyFill="1" applyBorder="1"/>
    <xf numFmtId="0" fontId="10" fillId="2" borderId="40" xfId="0" applyFont="1" applyFill="1" applyBorder="1"/>
    <xf numFmtId="0" fontId="10" fillId="11" borderId="42" xfId="0" applyFont="1" applyFill="1" applyBorder="1"/>
    <xf numFmtId="164" fontId="19" fillId="2" borderId="2" xfId="0" applyNumberFormat="1" applyFont="1" applyFill="1" applyBorder="1" applyAlignment="1">
      <alignment horizontal="center" vertical="center"/>
    </xf>
    <xf numFmtId="164" fontId="22" fillId="2" borderId="2" xfId="0" applyNumberFormat="1" applyFont="1" applyFill="1" applyBorder="1" applyAlignment="1">
      <alignment horizontal="center" vertical="center"/>
    </xf>
    <xf numFmtId="2" fontId="22" fillId="2" borderId="2" xfId="0" applyNumberFormat="1" applyFont="1" applyFill="1" applyBorder="1" applyAlignment="1">
      <alignment horizontal="center" vertical="center"/>
    </xf>
    <xf numFmtId="0" fontId="29" fillId="2" borderId="2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28" fillId="2" borderId="2" xfId="0" applyFont="1" applyFill="1" applyBorder="1" applyAlignment="1">
      <alignment horizontal="center" vertical="center"/>
    </xf>
    <xf numFmtId="0" fontId="30" fillId="2" borderId="2" xfId="0" applyFont="1" applyFill="1" applyBorder="1" applyAlignment="1">
      <alignment horizontal="center" vertical="center"/>
    </xf>
    <xf numFmtId="1" fontId="13" fillId="2" borderId="2" xfId="0" applyNumberFormat="1" applyFont="1" applyFill="1" applyBorder="1" applyAlignment="1">
      <alignment horizontal="center" vertical="center"/>
    </xf>
    <xf numFmtId="2" fontId="24" fillId="2" borderId="2" xfId="0" applyNumberFormat="1" applyFont="1" applyFill="1" applyBorder="1" applyAlignment="1">
      <alignment horizontal="center" vertical="center"/>
    </xf>
    <xf numFmtId="2" fontId="26" fillId="4" borderId="2" xfId="0" applyNumberFormat="1" applyFont="1" applyFill="1" applyBorder="1" applyAlignment="1">
      <alignment horizontal="center" vertical="center"/>
    </xf>
    <xf numFmtId="0" fontId="20" fillId="4" borderId="23" xfId="0" applyFont="1" applyFill="1" applyBorder="1" applyAlignment="1">
      <alignment horizontal="center" vertical="center"/>
    </xf>
    <xf numFmtId="2" fontId="38" fillId="2" borderId="15" xfId="0" applyNumberFormat="1" applyFont="1" applyFill="1" applyBorder="1" applyAlignment="1">
      <alignment horizontal="center" vertical="center"/>
    </xf>
    <xf numFmtId="2" fontId="37" fillId="2" borderId="15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5" fillId="9" borderId="84" xfId="0" applyFont="1" applyFill="1" applyBorder="1" applyAlignment="1">
      <alignment horizontal="center" vertical="center"/>
    </xf>
    <xf numFmtId="0" fontId="10" fillId="16" borderId="84" xfId="0" applyFont="1" applyFill="1" applyBorder="1"/>
    <xf numFmtId="2" fontId="15" fillId="17" borderId="84" xfId="0" applyNumberFormat="1" applyFont="1" applyFill="1" applyBorder="1" applyAlignment="1">
      <alignment horizontal="center" vertical="center"/>
    </xf>
    <xf numFmtId="0" fontId="37" fillId="2" borderId="87" xfId="0" applyFont="1" applyFill="1" applyBorder="1" applyAlignment="1">
      <alignment horizontal="center" vertical="center"/>
    </xf>
    <xf numFmtId="0" fontId="10" fillId="2" borderId="87" xfId="0" applyFont="1" applyFill="1" applyBorder="1"/>
    <xf numFmtId="0" fontId="10" fillId="2" borderId="86" xfId="0" applyFont="1" applyFill="1" applyBorder="1"/>
    <xf numFmtId="1" fontId="37" fillId="2" borderId="87" xfId="0" applyNumberFormat="1" applyFont="1" applyFill="1" applyBorder="1" applyAlignment="1">
      <alignment horizontal="center" vertical="center"/>
    </xf>
    <xf numFmtId="164" fontId="38" fillId="2" borderId="87" xfId="0" applyNumberFormat="1" applyFont="1" applyFill="1" applyBorder="1" applyAlignment="1">
      <alignment horizontal="center" vertical="center"/>
    </xf>
    <xf numFmtId="2" fontId="38" fillId="2" borderId="87" xfId="0" applyNumberFormat="1" applyFont="1" applyFill="1" applyBorder="1" applyAlignment="1">
      <alignment horizontal="center" vertical="center"/>
    </xf>
    <xf numFmtId="2" fontId="40" fillId="19" borderId="87" xfId="0" applyNumberFormat="1" applyFont="1" applyFill="1" applyBorder="1" applyAlignment="1">
      <alignment horizontal="center" vertical="center"/>
    </xf>
    <xf numFmtId="0" fontId="10" fillId="20" borderId="86" xfId="0" applyFont="1" applyFill="1" applyBorder="1"/>
    <xf numFmtId="2" fontId="40" fillId="2" borderId="87" xfId="0" applyNumberFormat="1" applyFont="1" applyFill="1" applyBorder="1" applyAlignment="1">
      <alignment horizontal="center" vertical="center"/>
    </xf>
    <xf numFmtId="2" fontId="41" fillId="19" borderId="2" xfId="0" applyNumberFormat="1" applyFont="1" applyFill="1" applyBorder="1" applyAlignment="1">
      <alignment horizontal="center" vertical="center"/>
    </xf>
    <xf numFmtId="0" fontId="10" fillId="20" borderId="24" xfId="0" applyFont="1" applyFill="1" applyBorder="1"/>
    <xf numFmtId="0" fontId="46" fillId="19" borderId="87" xfId="0" applyFont="1" applyFill="1" applyBorder="1" applyAlignment="1">
      <alignment horizontal="center" vertical="center"/>
    </xf>
    <xf numFmtId="1" fontId="37" fillId="19" borderId="87" xfId="0" applyNumberFormat="1" applyFont="1" applyFill="1" applyBorder="1" applyAlignment="1">
      <alignment horizontal="center" vertical="center"/>
    </xf>
    <xf numFmtId="0" fontId="10" fillId="20" borderId="87" xfId="0" applyFont="1" applyFill="1" applyBorder="1"/>
    <xf numFmtId="2" fontId="43" fillId="19" borderId="2" xfId="0" applyNumberFormat="1" applyFont="1" applyFill="1" applyBorder="1" applyAlignment="1">
      <alignment horizontal="center" vertical="center"/>
    </xf>
    <xf numFmtId="2" fontId="45" fillId="2" borderId="2" xfId="0" applyNumberFormat="1" applyFont="1" applyFill="1" applyBorder="1" applyAlignment="1">
      <alignment horizontal="center" vertical="center"/>
    </xf>
    <xf numFmtId="2" fontId="41" fillId="2" borderId="2" xfId="0" applyNumberFormat="1" applyFont="1" applyFill="1" applyBorder="1" applyAlignment="1">
      <alignment horizontal="center" vertical="center"/>
    </xf>
    <xf numFmtId="0" fontId="37" fillId="19" borderId="87" xfId="0" applyFont="1" applyFill="1" applyBorder="1" applyAlignment="1">
      <alignment horizontal="center" vertical="center"/>
    </xf>
    <xf numFmtId="0" fontId="37" fillId="19" borderId="15" xfId="0" applyFont="1" applyFill="1" applyBorder="1" applyAlignment="1">
      <alignment horizontal="center" vertical="center"/>
    </xf>
    <xf numFmtId="0" fontId="10" fillId="20" borderId="15" xfId="0" applyFont="1" applyFill="1" applyBorder="1"/>
    <xf numFmtId="0" fontId="10" fillId="20" borderId="88" xfId="0" applyFont="1" applyFill="1" applyBorder="1"/>
    <xf numFmtId="1" fontId="37" fillId="19" borderId="15" xfId="0" applyNumberFormat="1" applyFont="1" applyFill="1" applyBorder="1" applyAlignment="1">
      <alignment horizontal="center" vertical="center"/>
    </xf>
    <xf numFmtId="1" fontId="37" fillId="19" borderId="95" xfId="0" applyNumberFormat="1" applyFont="1" applyFill="1" applyBorder="1" applyAlignment="1">
      <alignment horizontal="center" vertical="center"/>
    </xf>
    <xf numFmtId="0" fontId="10" fillId="20" borderId="96" xfId="0" applyFont="1" applyFill="1" applyBorder="1"/>
    <xf numFmtId="0" fontId="10" fillId="20" borderId="97" xfId="0" applyFont="1" applyFill="1" applyBorder="1"/>
    <xf numFmtId="0" fontId="38" fillId="2" borderId="87" xfId="0" applyFont="1" applyFill="1" applyBorder="1" applyAlignment="1">
      <alignment horizontal="center" vertical="center"/>
    </xf>
    <xf numFmtId="2" fontId="40" fillId="19" borderId="15" xfId="0" applyNumberFormat="1" applyFont="1" applyFill="1" applyBorder="1" applyAlignment="1">
      <alignment horizontal="center" vertical="center"/>
    </xf>
    <xf numFmtId="0" fontId="10" fillId="20" borderId="16" xfId="0" applyFont="1" applyFill="1" applyBorder="1"/>
    <xf numFmtId="2" fontId="40" fillId="2" borderId="15" xfId="0" applyNumberFormat="1" applyFont="1" applyFill="1" applyBorder="1" applyAlignment="1">
      <alignment horizontal="center" vertical="center"/>
    </xf>
    <xf numFmtId="164" fontId="46" fillId="2" borderId="87" xfId="0" applyNumberFormat="1" applyFont="1" applyFill="1" applyBorder="1" applyAlignment="1">
      <alignment horizontal="center" vertical="center"/>
    </xf>
    <xf numFmtId="0" fontId="46" fillId="2" borderId="87" xfId="0" applyFont="1" applyFill="1" applyBorder="1" applyAlignment="1">
      <alignment horizontal="center" vertical="center"/>
    </xf>
    <xf numFmtId="164" fontId="46" fillId="19" borderId="87" xfId="0" applyNumberFormat="1" applyFont="1" applyFill="1" applyBorder="1" applyAlignment="1">
      <alignment horizontal="center" vertical="center"/>
    </xf>
    <xf numFmtId="0" fontId="40" fillId="2" borderId="6" xfId="0" applyFont="1" applyFill="1" applyBorder="1" applyAlignment="1">
      <alignment horizontal="center" vertical="center"/>
    </xf>
    <xf numFmtId="0" fontId="19" fillId="19" borderId="15" xfId="0" applyFont="1" applyFill="1" applyBorder="1" applyAlignment="1">
      <alignment horizontal="center" vertical="center"/>
    </xf>
    <xf numFmtId="0" fontId="38" fillId="18" borderId="87" xfId="0" applyFont="1" applyFill="1" applyBorder="1" applyAlignment="1">
      <alignment horizontal="center" vertical="center"/>
    </xf>
    <xf numFmtId="0" fontId="40" fillId="2" borderId="43" xfId="0" applyFont="1" applyFill="1" applyBorder="1" applyAlignment="1">
      <alignment horizontal="center" vertical="center"/>
    </xf>
    <xf numFmtId="0" fontId="10" fillId="20" borderId="43" xfId="0" applyFont="1" applyFill="1" applyBorder="1"/>
    <xf numFmtId="2" fontId="40" fillId="2" borderId="90" xfId="0" applyNumberFormat="1" applyFont="1" applyFill="1" applyBorder="1" applyAlignment="1">
      <alignment horizontal="center" vertical="center"/>
    </xf>
    <xf numFmtId="0" fontId="10" fillId="20" borderId="90" xfId="0" applyFont="1" applyFill="1" applyBorder="1"/>
    <xf numFmtId="0" fontId="10" fillId="2" borderId="90" xfId="0" applyFont="1" applyFill="1" applyBorder="1"/>
    <xf numFmtId="2" fontId="40" fillId="2" borderId="43" xfId="0" applyNumberFormat="1" applyFont="1" applyFill="1" applyBorder="1" applyAlignment="1">
      <alignment horizontal="center" vertical="center"/>
    </xf>
    <xf numFmtId="1" fontId="38" fillId="2" borderId="87" xfId="0" applyNumberFormat="1" applyFont="1" applyFill="1" applyBorder="1" applyAlignment="1">
      <alignment horizontal="center" vertical="center"/>
    </xf>
    <xf numFmtId="1" fontId="33" fillId="19" borderId="0" xfId="0" applyNumberFormat="1" applyFont="1" applyFill="1" applyAlignment="1">
      <alignment horizontal="center" vertical="center"/>
    </xf>
    <xf numFmtId="0" fontId="30" fillId="19" borderId="15" xfId="0" applyFont="1" applyFill="1" applyBorder="1" applyAlignment="1">
      <alignment horizontal="center" vertical="center"/>
    </xf>
    <xf numFmtId="0" fontId="33" fillId="19" borderId="15" xfId="0" applyFont="1" applyFill="1" applyBorder="1" applyAlignment="1">
      <alignment horizontal="center" vertical="center"/>
    </xf>
    <xf numFmtId="0" fontId="10" fillId="2" borderId="88" xfId="0" applyFont="1" applyFill="1" applyBorder="1"/>
    <xf numFmtId="164" fontId="38" fillId="2" borderId="15" xfId="0" applyNumberFormat="1" applyFont="1" applyFill="1" applyBorder="1" applyAlignment="1">
      <alignment horizontal="center" vertical="center"/>
    </xf>
    <xf numFmtId="164" fontId="37" fillId="2" borderId="15" xfId="0" applyNumberFormat="1" applyFont="1" applyFill="1" applyBorder="1" applyAlignment="1">
      <alignment horizontal="center" vertical="center"/>
    </xf>
    <xf numFmtId="0" fontId="10" fillId="0" borderId="97" xfId="0" applyFont="1" applyBorder="1"/>
    <xf numFmtId="0" fontId="10" fillId="0" borderId="90" xfId="0" applyFont="1" applyBorder="1"/>
    <xf numFmtId="0" fontId="10" fillId="0" borderId="42" xfId="0" applyFont="1" applyBorder="1"/>
    <xf numFmtId="0" fontId="10" fillId="0" borderId="96" xfId="0" applyFont="1" applyBorder="1"/>
    <xf numFmtId="0" fontId="10" fillId="0" borderId="86" xfId="0" applyFont="1" applyBorder="1"/>
    <xf numFmtId="0" fontId="10" fillId="0" borderId="87" xfId="0" applyFont="1" applyBorder="1"/>
    <xf numFmtId="0" fontId="10" fillId="0" borderId="29" xfId="0" applyFont="1" applyBorder="1"/>
    <xf numFmtId="0" fontId="10" fillId="0" borderId="113" xfId="0" applyFont="1" applyBorder="1"/>
    <xf numFmtId="0" fontId="10" fillId="0" borderId="27" xfId="0" applyFont="1" applyBorder="1"/>
    <xf numFmtId="0" fontId="10" fillId="0" borderId="108" xfId="0" applyFont="1" applyBorder="1"/>
    <xf numFmtId="0" fontId="14" fillId="0" borderId="2" xfId="0" applyFont="1" applyBorder="1" applyAlignment="1">
      <alignment horizontal="center"/>
    </xf>
    <xf numFmtId="190" fontId="57" fillId="0" borderId="7" xfId="0" applyNumberFormat="1" applyFont="1" applyBorder="1" applyAlignment="1">
      <alignment horizontal="left"/>
    </xf>
    <xf numFmtId="0" fontId="10" fillId="0" borderId="47" xfId="0" applyFont="1" applyBorder="1"/>
    <xf numFmtId="190" fontId="57" fillId="0" borderId="12" xfId="0" applyNumberFormat="1" applyFont="1" applyBorder="1" applyAlignment="1">
      <alignment horizontal="left"/>
    </xf>
    <xf numFmtId="0" fontId="21" fillId="26" borderId="56" xfId="0" applyFont="1" applyFill="1" applyBorder="1" applyAlignment="1">
      <alignment horizontal="center"/>
    </xf>
    <xf numFmtId="0" fontId="14" fillId="26" borderId="32" xfId="0" applyFont="1" applyFill="1" applyBorder="1" applyAlignment="1">
      <alignment horizontal="center" vertical="center"/>
    </xf>
    <xf numFmtId="0" fontId="29" fillId="26" borderId="2" xfId="0" applyFont="1" applyFill="1" applyBorder="1" applyAlignment="1">
      <alignment horizontal="center"/>
    </xf>
    <xf numFmtId="190" fontId="4" fillId="25" borderId="154" xfId="0" applyNumberFormat="1" applyFont="1" applyFill="1" applyBorder="1" applyAlignment="1">
      <alignment horizontal="center"/>
    </xf>
    <xf numFmtId="0" fontId="10" fillId="0" borderId="155" xfId="0" applyFont="1" applyBorder="1"/>
    <xf numFmtId="0" fontId="14" fillId="26" borderId="157" xfId="0" applyFont="1" applyFill="1" applyBorder="1" applyAlignment="1">
      <alignment horizontal="center"/>
    </xf>
    <xf numFmtId="0" fontId="14" fillId="26" borderId="52" xfId="0" applyFont="1" applyFill="1" applyBorder="1" applyAlignment="1">
      <alignment horizontal="center"/>
    </xf>
    <xf numFmtId="0" fontId="10" fillId="0" borderId="158" xfId="0" applyFont="1" applyBorder="1"/>
    <xf numFmtId="0" fontId="14" fillId="26" borderId="106" xfId="0" applyFont="1" applyFill="1" applyBorder="1" applyAlignment="1">
      <alignment horizontal="center" vertical="center"/>
    </xf>
    <xf numFmtId="0" fontId="10" fillId="0" borderId="132" xfId="0" applyFont="1" applyBorder="1"/>
    <xf numFmtId="0" fontId="53" fillId="0" borderId="2" xfId="0" applyFont="1" applyBorder="1" applyAlignment="1">
      <alignment horizontal="center"/>
    </xf>
    <xf numFmtId="0" fontId="14" fillId="26" borderId="7" xfId="0" applyFont="1" applyFill="1" applyBorder="1" applyAlignment="1">
      <alignment horizontal="center"/>
    </xf>
    <xf numFmtId="0" fontId="10" fillId="0" borderId="48" xfId="0" applyFont="1" applyBorder="1"/>
    <xf numFmtId="0" fontId="53" fillId="0" borderId="56" xfId="0" applyFont="1" applyBorder="1" applyAlignment="1">
      <alignment horizontal="center"/>
    </xf>
    <xf numFmtId="1" fontId="50" fillId="25" borderId="150" xfId="0" applyNumberFormat="1" applyFont="1" applyFill="1" applyBorder="1" applyAlignment="1">
      <alignment horizontal="center"/>
    </xf>
    <xf numFmtId="0" fontId="10" fillId="0" borderId="151" xfId="0" applyFont="1" applyBorder="1"/>
    <xf numFmtId="0" fontId="10" fillId="0" borderId="152" xfId="0" applyFont="1" applyBorder="1"/>
    <xf numFmtId="0" fontId="10" fillId="0" borderId="153" xfId="0" applyFont="1" applyBorder="1"/>
    <xf numFmtId="0" fontId="10" fillId="0" borderId="161" xfId="0" applyFont="1" applyBorder="1"/>
    <xf numFmtId="0" fontId="55" fillId="26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2" fillId="0" borderId="95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8" fillId="0" borderId="2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172" fontId="18" fillId="31" borderId="23" xfId="0" applyNumberFormat="1" applyFont="1" applyFill="1" applyBorder="1" applyAlignment="1">
      <alignment horizontal="center"/>
    </xf>
    <xf numFmtId="0" fontId="63" fillId="0" borderId="2" xfId="0" applyFont="1" applyBorder="1" applyAlignment="1">
      <alignment horizontal="center"/>
    </xf>
    <xf numFmtId="0" fontId="18" fillId="31" borderId="2" xfId="0" applyFont="1" applyFill="1" applyBorder="1" applyAlignment="1">
      <alignment horizontal="center"/>
    </xf>
    <xf numFmtId="0" fontId="18" fillId="31" borderId="110" xfId="0" applyFont="1" applyFill="1" applyBorder="1" applyAlignment="1">
      <alignment horizontal="center"/>
    </xf>
    <xf numFmtId="0" fontId="18" fillId="0" borderId="110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66" fillId="6" borderId="2" xfId="0" applyFont="1" applyFill="1" applyBorder="1" applyAlignment="1">
      <alignment horizontal="center" vertical="center"/>
    </xf>
    <xf numFmtId="0" fontId="61" fillId="2" borderId="0" xfId="0" applyFont="1" applyFill="1" applyAlignment="1">
      <alignment horizontal="left" vertical="top"/>
    </xf>
    <xf numFmtId="0" fontId="66" fillId="10" borderId="2" xfId="0" applyFont="1" applyFill="1" applyBorder="1" applyAlignment="1">
      <alignment horizontal="center" vertical="center"/>
    </xf>
    <xf numFmtId="0" fontId="66" fillId="33" borderId="2" xfId="0" applyFont="1" applyFill="1" applyBorder="1" applyAlignment="1">
      <alignment horizontal="center" vertical="center"/>
    </xf>
    <xf numFmtId="0" fontId="66" fillId="10" borderId="199" xfId="0" applyFont="1" applyFill="1" applyBorder="1" applyAlignment="1">
      <alignment horizontal="center" vertical="center"/>
    </xf>
    <xf numFmtId="0" fontId="10" fillId="0" borderId="200" xfId="0" applyFont="1" applyBorder="1"/>
    <xf numFmtId="0" fontId="10" fillId="0" borderId="201" xfId="0" applyFont="1" applyBorder="1"/>
    <xf numFmtId="0" fontId="66" fillId="14" borderId="2" xfId="0" applyFont="1" applyFill="1" applyBorder="1" applyAlignment="1">
      <alignment horizontal="center" vertical="center"/>
    </xf>
    <xf numFmtId="0" fontId="68" fillId="10" borderId="2" xfId="0" applyFont="1" applyFill="1" applyBorder="1" applyAlignment="1">
      <alignment horizontal="center" vertical="center"/>
    </xf>
    <xf numFmtId="0" fontId="39" fillId="0" borderId="0" xfId="0" applyFont="1" applyAlignment="1">
      <alignment vertical="top"/>
    </xf>
  </cellXfs>
  <cellStyles count="1">
    <cellStyle name="Normal" xfId="0" builtinId="0"/>
  </cellStyles>
  <dxfs count="98">
    <dxf>
      <fill>
        <patternFill patternType="solid">
          <fgColor rgb="FFB7E1CD"/>
          <bgColor rgb="FFB7E1CD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0000FF"/>
          <bgColor rgb="FF0000FF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ont>
        <color rgb="FFFF99FF"/>
      </font>
      <fill>
        <patternFill patternType="solid">
          <fgColor rgb="FFFF99FF"/>
          <bgColor rgb="FFFF99FF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A2FBA6"/>
          <bgColor rgb="FFA2FBA6"/>
        </patternFill>
      </fill>
    </dxf>
    <dxf>
      <fill>
        <patternFill patternType="solid">
          <fgColor rgb="FFFEF8E3"/>
          <bgColor rgb="FFFEF8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EF8E3"/>
          <bgColor rgb="FFFEF8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3E48E"/>
          <bgColor rgb="FFB3E48E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CFE2F3"/>
          <bgColor rgb="FFCFE2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D67FD8"/>
          <bgColor rgb="FFD67FD8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D2D8"/>
          <bgColor rgb="FF8BD2D8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CCCCCC"/>
          <bgColor rgb="FFCCCC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A2FBA6"/>
          <bgColor rgb="FFA2FBA6"/>
        </patternFill>
      </fill>
    </dxf>
  </dxfs>
  <tableStyles count="10">
    <tableStyle name="Sivom Mensuelle Trim-style" pivot="0" count="2">
      <tableStyleElement type="firstRowStripe" dxfId="97"/>
      <tableStyleElement type="secondRowStripe" dxfId="96"/>
    </tableStyle>
    <tableStyle name="Station UF-style" pivot="0" count="2">
      <tableStyleElement type="firstRowStripe" dxfId="95"/>
      <tableStyleElement type="secondRowStripe" dxfId="94"/>
    </tableStyle>
    <tableStyle name="Station UF-style 2" pivot="0" count="2">
      <tableStyleElement type="firstRowStripe" dxfId="93"/>
      <tableStyleElement type="secondRowStripe" dxfId="92"/>
    </tableStyle>
    <tableStyle name="Station UF-style 3" pivot="0" count="2">
      <tableStyleElement type="firstRowStripe" dxfId="91"/>
      <tableStyleElement type="secondRowStripe" dxfId="90"/>
    </tableStyle>
    <tableStyle name="Degrémont Entrée-style" pivot="0" count="3">
      <tableStyleElement type="headerRow" dxfId="89"/>
      <tableStyleElement type="firstRowStripe" dxfId="88"/>
      <tableStyleElement type="secondRowStripe" dxfId="87"/>
    </tableStyle>
    <tableStyle name="Degrémont Entrée-style 2" pivot="0" count="3">
      <tableStyleElement type="headerRow" dxfId="86"/>
      <tableStyleElement type="firstRowStripe" dxfId="85"/>
      <tableStyleElement type="secondRowStripe" dxfId="84"/>
    </tableStyle>
    <tableStyle name="Station des huiles-style" pivot="0" count="2">
      <tableStyleElement type="firstRowStripe" dxfId="83"/>
      <tableStyleElement type="secondRowStripe" dxfId="82"/>
    </tableStyle>
    <tableStyle name="Degrémont sortie-style" pivot="0" count="3">
      <tableStyleElement type="headerRow" dxfId="81"/>
      <tableStyleElement type="firstRowStripe" dxfId="80"/>
      <tableStyleElement type="secondRowStripe" dxfId="79"/>
    </tableStyle>
    <tableStyle name="Degrémont sortie-style 2" pivot="0" count="2">
      <tableStyleElement type="firstRowStripe" dxfId="78"/>
      <tableStyleElement type="secondRowStripe" dxfId="77"/>
    </tableStyle>
    <tableStyle name="Sivom-style" pivot="0" count="2">
      <tableStyleElement type="firstRowStripe" dxfId="76"/>
      <tableStyleElement type="secondRowStripe" dxfId="75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5" name="Table_5" displayName="Table_5" ref="A14:A379" headerRowCount="0">
  <tableColumns count="1">
    <tableColumn id="1" name="Column1"/>
  </tableColumns>
  <tableStyleInfo name="Degrémont Entrée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ables/table2.xml><?xml version="1.0" encoding="utf-8"?>
<table xmlns="http://schemas.openxmlformats.org/spreadsheetml/2006/main" id="6" name="Table_6" displayName="Table_6" ref="B14:BK379" headerRowCount="0">
  <tableColumns count="62">
    <tableColumn id="1" name="Column1"/>
    <tableColumn id="2" name="Column2"/>
    <tableColumn id="3" name="Column3"/>
    <tableColumn id="4" name="Column4"/>
    <tableColumn id="5" name="Column5"/>
    <tableColumn id="6" name="Column6"/>
    <tableColumn id="7" name="Column7"/>
    <tableColumn id="8" name="Column8"/>
    <tableColumn id="9" name="Column9"/>
    <tableColumn id="10" name="Column10"/>
    <tableColumn id="11" name="Column11"/>
    <tableColumn id="12" name="Column12"/>
    <tableColumn id="13" name="Column13"/>
    <tableColumn id="14" name="Column14"/>
    <tableColumn id="15" name="Column15"/>
    <tableColumn id="16" name="Column16"/>
    <tableColumn id="17" name="Column17"/>
    <tableColumn id="18" name="Column18"/>
    <tableColumn id="19" name="Column19"/>
    <tableColumn id="20" name="Column20"/>
    <tableColumn id="21" name="Column21"/>
    <tableColumn id="22" name="Column22"/>
    <tableColumn id="23" name="Column23"/>
    <tableColumn id="24" name="Column24"/>
    <tableColumn id="25" name="Column25"/>
    <tableColumn id="26" name="Column26"/>
    <tableColumn id="27" name="Column27"/>
    <tableColumn id="28" name="Column28"/>
    <tableColumn id="29" name="Column29"/>
    <tableColumn id="30" name="Column30"/>
    <tableColumn id="31" name="Column31"/>
    <tableColumn id="32" name="Column32"/>
    <tableColumn id="33" name="Column33"/>
    <tableColumn id="34" name="Column34"/>
    <tableColumn id="35" name="Column35"/>
    <tableColumn id="36" name="Column36"/>
    <tableColumn id="37" name="Column37"/>
    <tableColumn id="38" name="Column38"/>
    <tableColumn id="39" name="Column39"/>
    <tableColumn id="40" name="Column40"/>
    <tableColumn id="41" name="Column41"/>
    <tableColumn id="42" name="Column42"/>
    <tableColumn id="43" name="Column43"/>
    <tableColumn id="44" name="Column44"/>
    <tableColumn id="45" name="Column45"/>
    <tableColumn id="46" name="Column46"/>
    <tableColumn id="47" name="Column47"/>
    <tableColumn id="48" name="Column48"/>
    <tableColumn id="49" name="Column49"/>
    <tableColumn id="50" name="Column50"/>
    <tableColumn id="51" name="Column51"/>
    <tableColumn id="52" name="Column52"/>
    <tableColumn id="53" name="Column53"/>
    <tableColumn id="54" name="Column54"/>
    <tableColumn id="55" name="Column55"/>
    <tableColumn id="56" name="Column56"/>
    <tableColumn id="57" name="Column57"/>
    <tableColumn id="58" name="Column58"/>
    <tableColumn id="59" name="Column59"/>
    <tableColumn id="60" name="Column60"/>
    <tableColumn id="61" name="Column61"/>
    <tableColumn id="62" name="Column62"/>
  </tableColumns>
  <tableStyleInfo name="Degrémont Entrée-style 2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ables/table3.xml><?xml version="1.0" encoding="utf-8"?>
<table xmlns="http://schemas.openxmlformats.org/spreadsheetml/2006/main" id="8" name="Table_8" displayName="Table_8" ref="B14:BL379" headerRowCount="0">
  <tableColumns count="63">
    <tableColumn id="1" name="Column1"/>
    <tableColumn id="2" name="Column2"/>
    <tableColumn id="3" name="Column3"/>
    <tableColumn id="4" name="Column4"/>
    <tableColumn id="5" name="Column5"/>
    <tableColumn id="6" name="Column6"/>
    <tableColumn id="7" name="Column7"/>
    <tableColumn id="8" name="Column8"/>
    <tableColumn id="9" name="Column9"/>
    <tableColumn id="10" name="Column10"/>
    <tableColumn id="11" name="Column11"/>
    <tableColumn id="12" name="Column12"/>
    <tableColumn id="13" name="Column13"/>
    <tableColumn id="14" name="Column14"/>
    <tableColumn id="15" name="Column15"/>
    <tableColumn id="16" name="Column16"/>
    <tableColumn id="17" name="Column17"/>
    <tableColumn id="18" name="Column18"/>
    <tableColumn id="19" name="Column19"/>
    <tableColumn id="20" name="Column20"/>
    <tableColumn id="21" name="Column21"/>
    <tableColumn id="22" name="Column22"/>
    <tableColumn id="23" name="Column23"/>
    <tableColumn id="24" name="Column24"/>
    <tableColumn id="25" name="Column25"/>
    <tableColumn id="26" name="Column26"/>
    <tableColumn id="27" name="Column27"/>
    <tableColumn id="28" name="Column28"/>
    <tableColumn id="29" name="Column29"/>
    <tableColumn id="30" name="Column30"/>
    <tableColumn id="31" name="Column31"/>
    <tableColumn id="32" name="Column32"/>
    <tableColumn id="33" name="Column33"/>
    <tableColumn id="34" name="Column34"/>
    <tableColumn id="35" name="Column35"/>
    <tableColumn id="36" name="Column36"/>
    <tableColumn id="37" name="Column37"/>
    <tableColumn id="38" name="Column38"/>
    <tableColumn id="39" name="Column39"/>
    <tableColumn id="40" name="Column40"/>
    <tableColumn id="41" name="Column41"/>
    <tableColumn id="42" name="Column42"/>
    <tableColumn id="43" name="Column43"/>
    <tableColumn id="44" name="Column44"/>
    <tableColumn id="45" name="Column45"/>
    <tableColumn id="46" name="Column46"/>
    <tableColumn id="47" name="Column47"/>
    <tableColumn id="48" name="Column48"/>
    <tableColumn id="49" name="Column49"/>
    <tableColumn id="50" name="Column50"/>
    <tableColumn id="51" name="Column51"/>
    <tableColumn id="52" name="Column52"/>
    <tableColumn id="53" name="Column53"/>
    <tableColumn id="54" name="Column54"/>
    <tableColumn id="55" name="Column55"/>
    <tableColumn id="56" name="Column56"/>
    <tableColumn id="57" name="Column57"/>
    <tableColumn id="58" name="Column58"/>
    <tableColumn id="59" name="Column59"/>
    <tableColumn id="60" name="Column60"/>
    <tableColumn id="61" name="Column61"/>
    <tableColumn id="62" name="Column62"/>
    <tableColumn id="63" name="Column63"/>
  </tableColumns>
  <tableStyleInfo name="Degrémont sortie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ables/table4.xml><?xml version="1.0" encoding="utf-8"?>
<table xmlns="http://schemas.openxmlformats.org/spreadsheetml/2006/main" id="9" name="Table_9" displayName="Table_9" ref="A14:A379" headerRowCount="0">
  <tableColumns count="1">
    <tableColumn id="1" name="Column1"/>
  </tableColumns>
  <tableStyleInfo name="Degrémont sortie-style 2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2.vm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2D69B"/>
  </sheetPr>
  <dimension ref="A1:BK390"/>
  <sheetViews>
    <sheetView showGridLines="0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B14" sqref="B14"/>
    </sheetView>
  </sheetViews>
  <sheetFormatPr baseColWidth="10" defaultColWidth="12.625" defaultRowHeight="15" customHeight="1" outlineLevelRow="1"/>
  <cols>
    <col min="1" max="1" width="26.125" customWidth="1"/>
    <col min="2" max="2" width="8" customWidth="1"/>
    <col min="3" max="3" width="8.5" customWidth="1"/>
    <col min="4" max="4" width="8.25" customWidth="1"/>
    <col min="5" max="5" width="12.5" customWidth="1"/>
    <col min="6" max="6" width="11.375" customWidth="1"/>
    <col min="7" max="7" width="8" customWidth="1"/>
    <col min="8" max="10" width="7.125" customWidth="1"/>
    <col min="11" max="11" width="9" customWidth="1"/>
    <col min="12" max="12" width="8.25" customWidth="1"/>
    <col min="13" max="14" width="7.125" customWidth="1"/>
    <col min="15" max="15" width="9.125" customWidth="1"/>
    <col min="16" max="17" width="7.125" customWidth="1"/>
    <col min="18" max="18" width="7.75" customWidth="1"/>
    <col min="19" max="22" width="7.125" customWidth="1"/>
    <col min="23" max="23" width="2.5" customWidth="1"/>
    <col min="24" max="25" width="7.125" customWidth="1"/>
    <col min="26" max="26" width="2.625" customWidth="1"/>
    <col min="27" max="28" width="7.125" customWidth="1"/>
    <col min="29" max="29" width="2.875" customWidth="1"/>
    <col min="30" max="31" width="7.125" customWidth="1"/>
    <col min="32" max="32" width="3.5" customWidth="1"/>
    <col min="33" max="33" width="7.125" customWidth="1"/>
    <col min="34" max="34" width="6.125" customWidth="1"/>
    <col min="35" max="35" width="3.25" customWidth="1"/>
    <col min="36" max="36" width="6.875" customWidth="1"/>
    <col min="37" max="37" width="7" customWidth="1"/>
    <col min="38" max="38" width="2.75" customWidth="1"/>
    <col min="39" max="40" width="7.125" customWidth="1"/>
    <col min="41" max="41" width="3.25" customWidth="1"/>
    <col min="42" max="42" width="6.875" customWidth="1"/>
    <col min="43" max="43" width="7.125" customWidth="1"/>
    <col min="44" max="44" width="2.75" customWidth="1"/>
    <col min="45" max="45" width="7.25" customWidth="1"/>
    <col min="46" max="46" width="7.125" customWidth="1"/>
    <col min="47" max="47" width="3.125" customWidth="1"/>
    <col min="48" max="49" width="7.25" customWidth="1"/>
    <col min="50" max="50" width="2.75" customWidth="1"/>
    <col min="51" max="51" width="7.125" customWidth="1"/>
    <col min="52" max="52" width="8.5" customWidth="1"/>
    <col min="53" max="53" width="2.375" customWidth="1"/>
    <col min="54" max="54" width="8.5" customWidth="1"/>
    <col min="55" max="55" width="7.5" customWidth="1"/>
    <col min="56" max="56" width="2.625" customWidth="1"/>
    <col min="57" max="58" width="7.375" customWidth="1"/>
    <col min="59" max="59" width="9.75" customWidth="1"/>
    <col min="60" max="60" width="31.375" customWidth="1"/>
    <col min="61" max="61" width="44.125" customWidth="1"/>
    <col min="62" max="63" width="31.375" customWidth="1"/>
  </cols>
  <sheetData>
    <row r="1" spans="1:63" ht="28.5" customHeight="1">
      <c r="A1" s="3" t="s">
        <v>0</v>
      </c>
      <c r="H1" s="4"/>
      <c r="I1" s="4"/>
      <c r="J1" s="4"/>
      <c r="K1" s="4"/>
      <c r="L1" s="4"/>
      <c r="M1" s="4"/>
      <c r="N1" s="5"/>
      <c r="O1" s="5"/>
      <c r="P1" s="6"/>
      <c r="Q1" s="7"/>
      <c r="R1" s="8"/>
      <c r="S1" s="9" t="s">
        <v>1</v>
      </c>
      <c r="T1" s="10" t="s">
        <v>2</v>
      </c>
      <c r="U1" s="2"/>
      <c r="V1" s="11"/>
      <c r="W1" s="11"/>
      <c r="X1" s="11"/>
      <c r="Y1" s="11"/>
      <c r="Z1" s="12"/>
      <c r="AA1" s="12"/>
      <c r="AB1" s="12"/>
      <c r="AC1" s="12"/>
      <c r="AD1" s="12"/>
      <c r="AE1" s="12"/>
      <c r="AF1" s="12"/>
      <c r="AG1" s="2"/>
      <c r="AH1" s="2"/>
      <c r="AI1" s="13"/>
      <c r="AJ1" s="13"/>
      <c r="AK1" s="13"/>
      <c r="AL1" s="13"/>
      <c r="AM1" s="12"/>
      <c r="AN1" s="14"/>
      <c r="AO1" s="14"/>
      <c r="AP1" s="2"/>
      <c r="AQ1" s="13"/>
      <c r="AR1" s="12"/>
      <c r="AS1" s="2"/>
      <c r="AT1" s="14"/>
      <c r="AU1" s="14"/>
      <c r="AV1" s="12"/>
      <c r="AW1" s="12"/>
      <c r="AX1" s="13"/>
      <c r="AY1" s="12"/>
      <c r="AZ1" s="2"/>
      <c r="BA1" s="2"/>
      <c r="BB1" s="2"/>
      <c r="BC1" s="2"/>
      <c r="BD1" s="2"/>
      <c r="BE1" s="2"/>
      <c r="BF1" s="2"/>
      <c r="BG1" s="12"/>
      <c r="BI1" s="15"/>
      <c r="BJ1" s="12"/>
      <c r="BK1" s="12"/>
    </row>
    <row r="2" spans="1:63" ht="17.25" customHeight="1">
      <c r="A2" s="17"/>
      <c r="B2" s="18" t="s">
        <v>4</v>
      </c>
      <c r="C2" s="1415" t="s">
        <v>5</v>
      </c>
      <c r="D2" s="1410"/>
      <c r="E2" s="1410"/>
      <c r="F2" s="1410"/>
      <c r="G2" s="1410"/>
      <c r="H2" s="1410"/>
      <c r="I2" s="16"/>
      <c r="J2" s="1416" t="s">
        <v>6</v>
      </c>
      <c r="K2" s="1410"/>
      <c r="L2" s="1410"/>
      <c r="M2" s="1410"/>
      <c r="N2" s="1410"/>
      <c r="O2" s="5"/>
      <c r="P2" s="6"/>
      <c r="Q2" s="7"/>
      <c r="R2" s="8"/>
      <c r="S2" s="20" t="s">
        <v>1</v>
      </c>
      <c r="T2" s="10" t="s">
        <v>7</v>
      </c>
      <c r="U2" s="21"/>
      <c r="V2" s="21"/>
      <c r="W2" s="21"/>
      <c r="X2" s="21"/>
      <c r="Y2" s="21"/>
      <c r="Z2" s="12"/>
      <c r="AA2" s="12"/>
      <c r="AB2" s="12"/>
      <c r="AC2" s="12"/>
      <c r="AD2" s="12"/>
      <c r="AE2" s="12"/>
      <c r="AF2" s="12"/>
      <c r="AG2" s="2"/>
      <c r="AH2" s="2"/>
      <c r="AI2" s="13"/>
      <c r="AJ2" s="13"/>
      <c r="AK2" s="13"/>
      <c r="AL2" s="13"/>
      <c r="AM2" s="12"/>
      <c r="AN2" s="14"/>
      <c r="AO2" s="14"/>
      <c r="AP2" s="2"/>
      <c r="AQ2" s="13"/>
      <c r="AR2" s="12"/>
      <c r="AS2" s="2"/>
      <c r="AT2" s="14"/>
      <c r="AU2" s="14"/>
      <c r="AV2" s="12"/>
      <c r="AW2" s="12"/>
      <c r="AX2" s="13"/>
      <c r="AY2" s="12"/>
      <c r="AZ2" s="2"/>
      <c r="BA2" s="2"/>
      <c r="BB2" s="2"/>
      <c r="BC2" s="2"/>
      <c r="BD2" s="2"/>
      <c r="BE2" s="2"/>
      <c r="BF2" s="2"/>
      <c r="BG2" s="12"/>
      <c r="BH2" s="2"/>
      <c r="BI2" s="15"/>
      <c r="BJ2" s="12"/>
      <c r="BK2" s="12"/>
    </row>
    <row r="3" spans="1:63" ht="21.75" customHeight="1">
      <c r="A3" s="2"/>
      <c r="B3" s="22"/>
      <c r="C3" s="1417" t="s">
        <v>9</v>
      </c>
      <c r="D3" s="1410"/>
      <c r="E3" s="1410"/>
      <c r="F3" s="1410"/>
      <c r="G3" s="1410"/>
      <c r="H3" s="1410"/>
      <c r="I3" s="1410"/>
      <c r="J3" s="11"/>
      <c r="K3" s="23"/>
      <c r="L3" s="11"/>
      <c r="M3" s="2"/>
      <c r="N3" s="2"/>
      <c r="O3" s="2"/>
      <c r="P3" s="11"/>
      <c r="Q3" s="23"/>
      <c r="R3" s="11"/>
      <c r="S3" s="24"/>
      <c r="T3" s="11"/>
      <c r="U3" s="14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2"/>
      <c r="AH3" s="2"/>
      <c r="AI3" s="13"/>
      <c r="AJ3" s="13"/>
      <c r="AK3" s="13"/>
      <c r="AL3" s="13"/>
      <c r="AM3" s="25"/>
      <c r="AN3" s="26"/>
      <c r="AO3" s="26"/>
      <c r="AP3" s="27"/>
      <c r="AQ3" s="28"/>
      <c r="AR3" s="25"/>
      <c r="AS3" s="27"/>
      <c r="AT3" s="26"/>
      <c r="AU3" s="26"/>
      <c r="AV3" s="25"/>
      <c r="AW3" s="25"/>
      <c r="AX3" s="28"/>
      <c r="AY3" s="25"/>
      <c r="AZ3" s="27"/>
      <c r="BA3" s="27"/>
      <c r="BB3" s="27"/>
      <c r="BC3" s="27"/>
      <c r="BD3" s="27"/>
      <c r="BE3" s="27"/>
      <c r="BF3" s="27"/>
      <c r="BG3" s="12"/>
      <c r="BI3" s="15"/>
      <c r="BJ3" s="12"/>
      <c r="BK3" s="12"/>
    </row>
    <row r="4" spans="1:63" ht="18" customHeight="1">
      <c r="A4" s="29"/>
      <c r="B4" s="30"/>
      <c r="C4" s="31"/>
      <c r="D4" s="30"/>
      <c r="E4" s="30"/>
      <c r="F4" s="30"/>
      <c r="G4" s="32"/>
      <c r="H4" s="31"/>
      <c r="I4" s="33"/>
      <c r="J4" s="30"/>
      <c r="K4" s="33"/>
      <c r="L4" s="31"/>
      <c r="M4" s="33"/>
      <c r="N4" s="30"/>
      <c r="O4" s="30"/>
      <c r="P4" s="31"/>
      <c r="Q4" s="33"/>
      <c r="R4" s="30"/>
      <c r="S4" s="32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0"/>
      <c r="AH4" s="34"/>
      <c r="AI4" s="30"/>
      <c r="AJ4" s="30"/>
      <c r="AK4" s="30"/>
      <c r="AL4" s="30"/>
      <c r="AM4" s="31"/>
      <c r="AN4" s="32"/>
      <c r="AO4" s="31"/>
      <c r="AP4" s="30"/>
      <c r="AQ4" s="32"/>
      <c r="AR4" s="30"/>
      <c r="AS4" s="30"/>
      <c r="AT4" s="31"/>
      <c r="AU4" s="30"/>
      <c r="AV4" s="30"/>
      <c r="AW4" s="32"/>
      <c r="AX4" s="30"/>
      <c r="AY4" s="30"/>
      <c r="AZ4" s="32"/>
      <c r="BA4" s="30"/>
      <c r="BB4" s="30"/>
      <c r="BC4" s="31"/>
      <c r="BD4" s="31"/>
      <c r="BE4" s="31"/>
      <c r="BF4" s="34"/>
      <c r="BG4" s="31"/>
      <c r="BH4" s="1430" t="s">
        <v>27</v>
      </c>
      <c r="BI4" s="1410"/>
      <c r="BJ4" s="1418" t="s">
        <v>29</v>
      </c>
      <c r="BK4" s="1410"/>
    </row>
    <row r="5" spans="1:63" ht="21.75" customHeight="1">
      <c r="A5" s="35" t="s">
        <v>30</v>
      </c>
      <c r="B5" s="36" t="s">
        <v>32</v>
      </c>
      <c r="C5" s="37" t="s">
        <v>33</v>
      </c>
      <c r="D5" s="1419" t="s">
        <v>34</v>
      </c>
      <c r="E5" s="1420"/>
      <c r="F5" s="1420"/>
      <c r="G5" s="1420"/>
      <c r="H5" s="1421"/>
      <c r="I5" s="1422" t="s">
        <v>35</v>
      </c>
      <c r="J5" s="1420"/>
      <c r="K5" s="1420"/>
      <c r="L5" s="1421"/>
      <c r="M5" s="1419" t="s">
        <v>36</v>
      </c>
      <c r="N5" s="1420"/>
      <c r="O5" s="1420"/>
      <c r="P5" s="1421"/>
      <c r="Q5" s="1422" t="s">
        <v>37</v>
      </c>
      <c r="R5" s="1420"/>
      <c r="S5" s="1420"/>
      <c r="T5" s="1421"/>
      <c r="U5" s="1429" t="s">
        <v>38</v>
      </c>
      <c r="V5" s="1421"/>
      <c r="W5" s="1429" t="s">
        <v>39</v>
      </c>
      <c r="X5" s="1420"/>
      <c r="Y5" s="1421"/>
      <c r="Z5" s="1429" t="s">
        <v>40</v>
      </c>
      <c r="AA5" s="1420"/>
      <c r="AB5" s="1421"/>
      <c r="AC5" s="1429" t="s">
        <v>41</v>
      </c>
      <c r="AD5" s="1420"/>
      <c r="AE5" s="1421"/>
      <c r="AF5" s="1419" t="s">
        <v>42</v>
      </c>
      <c r="AG5" s="1420"/>
      <c r="AH5" s="1421"/>
      <c r="AI5" s="1419" t="s">
        <v>13</v>
      </c>
      <c r="AJ5" s="1420"/>
      <c r="AK5" s="1421"/>
      <c r="AL5" s="1419" t="s">
        <v>43</v>
      </c>
      <c r="AM5" s="1420"/>
      <c r="AN5" s="1421"/>
      <c r="AO5" s="1419" t="s">
        <v>44</v>
      </c>
      <c r="AP5" s="1420"/>
      <c r="AQ5" s="1421"/>
      <c r="AR5" s="1419" t="s">
        <v>45</v>
      </c>
      <c r="AS5" s="1420"/>
      <c r="AT5" s="1421"/>
      <c r="AU5" s="1429" t="s">
        <v>46</v>
      </c>
      <c r="AV5" s="1420"/>
      <c r="AW5" s="1421"/>
      <c r="AX5" s="1419" t="s">
        <v>47</v>
      </c>
      <c r="AY5" s="1420"/>
      <c r="AZ5" s="1421"/>
      <c r="BA5" s="1419" t="s">
        <v>48</v>
      </c>
      <c r="BB5" s="1420"/>
      <c r="BC5" s="1421"/>
      <c r="BD5" s="1423" t="s">
        <v>49</v>
      </c>
      <c r="BE5" s="1420"/>
      <c r="BF5" s="1421"/>
      <c r="BG5" s="1440" t="s">
        <v>50</v>
      </c>
      <c r="BH5" s="1423" t="s">
        <v>51</v>
      </c>
      <c r="BI5" s="1421"/>
      <c r="BJ5" s="1424"/>
      <c r="BK5" s="1421"/>
    </row>
    <row r="6" spans="1:63" ht="22.5" customHeight="1">
      <c r="A6" s="38" t="s">
        <v>52</v>
      </c>
      <c r="B6" s="39"/>
      <c r="C6" s="39"/>
      <c r="D6" s="1425"/>
      <c r="E6" s="1426"/>
      <c r="F6" s="1426"/>
      <c r="G6" s="1426"/>
      <c r="H6" s="1427"/>
      <c r="I6" s="1425"/>
      <c r="J6" s="1426"/>
      <c r="K6" s="1426"/>
      <c r="L6" s="1427"/>
      <c r="M6" s="1425"/>
      <c r="N6" s="1426"/>
      <c r="O6" s="1426"/>
      <c r="P6" s="1427"/>
      <c r="Q6" s="1425"/>
      <c r="R6" s="1426"/>
      <c r="S6" s="1426"/>
      <c r="T6" s="1427"/>
      <c r="U6" s="1425"/>
      <c r="V6" s="1427"/>
      <c r="W6" s="1425"/>
      <c r="X6" s="1426"/>
      <c r="Y6" s="1427"/>
      <c r="Z6" s="1425"/>
      <c r="AA6" s="1426"/>
      <c r="AB6" s="1427"/>
      <c r="AC6" s="1425"/>
      <c r="AD6" s="1426"/>
      <c r="AE6" s="1427"/>
      <c r="AF6" s="1425"/>
      <c r="AG6" s="1426"/>
      <c r="AH6" s="1427"/>
      <c r="AI6" s="1425"/>
      <c r="AJ6" s="1426"/>
      <c r="AK6" s="1427"/>
      <c r="AL6" s="1425"/>
      <c r="AM6" s="1426"/>
      <c r="AN6" s="1427"/>
      <c r="AO6" s="1425"/>
      <c r="AP6" s="1426"/>
      <c r="AQ6" s="1427"/>
      <c r="AR6" s="1425"/>
      <c r="AS6" s="1426"/>
      <c r="AT6" s="1427"/>
      <c r="AU6" s="1425"/>
      <c r="AV6" s="1426"/>
      <c r="AW6" s="1427"/>
      <c r="AX6" s="1425"/>
      <c r="AY6" s="1426"/>
      <c r="AZ6" s="1427"/>
      <c r="BA6" s="1425"/>
      <c r="BB6" s="1426"/>
      <c r="BC6" s="1427"/>
      <c r="BD6" s="1425"/>
      <c r="BE6" s="1426"/>
      <c r="BF6" s="1427"/>
      <c r="BG6" s="1441"/>
      <c r="BH6" s="39"/>
      <c r="BI6" s="39"/>
      <c r="BJ6" s="1428"/>
      <c r="BK6" s="1427"/>
    </row>
    <row r="7" spans="1:63" ht="19.5" customHeight="1">
      <c r="A7" s="36" t="s">
        <v>26</v>
      </c>
      <c r="B7" s="36" t="s">
        <v>53</v>
      </c>
      <c r="C7" s="37"/>
      <c r="D7" s="37" t="s">
        <v>54</v>
      </c>
      <c r="E7" s="37" t="s">
        <v>55</v>
      </c>
      <c r="F7" s="37" t="s">
        <v>56</v>
      </c>
      <c r="G7" s="40" t="s">
        <v>57</v>
      </c>
      <c r="H7" s="37" t="s">
        <v>31</v>
      </c>
      <c r="I7" s="41" t="s">
        <v>58</v>
      </c>
      <c r="J7" s="37" t="s">
        <v>59</v>
      </c>
      <c r="K7" s="41" t="s">
        <v>57</v>
      </c>
      <c r="L7" s="37" t="s">
        <v>31</v>
      </c>
      <c r="M7" s="41" t="s">
        <v>58</v>
      </c>
      <c r="N7" s="37" t="s">
        <v>59</v>
      </c>
      <c r="O7" s="37" t="s">
        <v>57</v>
      </c>
      <c r="P7" s="37" t="s">
        <v>31</v>
      </c>
      <c r="Q7" s="41" t="s">
        <v>58</v>
      </c>
      <c r="R7" s="37" t="s">
        <v>59</v>
      </c>
      <c r="S7" s="40" t="s">
        <v>57</v>
      </c>
      <c r="T7" s="37" t="s">
        <v>31</v>
      </c>
      <c r="U7" s="37" t="s">
        <v>57</v>
      </c>
      <c r="V7" s="37" t="s">
        <v>61</v>
      </c>
      <c r="W7" s="1423" t="s">
        <v>57</v>
      </c>
      <c r="X7" s="1431"/>
      <c r="Y7" s="37" t="s">
        <v>61</v>
      </c>
      <c r="Z7" s="1423" t="s">
        <v>57</v>
      </c>
      <c r="AA7" s="1431"/>
      <c r="AB7" s="37" t="s">
        <v>61</v>
      </c>
      <c r="AC7" s="1423" t="s">
        <v>57</v>
      </c>
      <c r="AD7" s="1431"/>
      <c r="AE7" s="37" t="s">
        <v>61</v>
      </c>
      <c r="AF7" s="1423" t="s">
        <v>28</v>
      </c>
      <c r="AG7" s="1431"/>
      <c r="AH7" s="42" t="s">
        <v>31</v>
      </c>
      <c r="AI7" s="1423" t="s">
        <v>28</v>
      </c>
      <c r="AJ7" s="1431"/>
      <c r="AK7" s="43" t="s">
        <v>61</v>
      </c>
      <c r="AL7" s="1423" t="s">
        <v>28</v>
      </c>
      <c r="AM7" s="1431"/>
      <c r="AN7" s="40" t="s">
        <v>61</v>
      </c>
      <c r="AO7" s="1423" t="s">
        <v>28</v>
      </c>
      <c r="AP7" s="1431"/>
      <c r="AQ7" s="40" t="s">
        <v>61</v>
      </c>
      <c r="AR7" s="1423" t="s">
        <v>28</v>
      </c>
      <c r="AS7" s="1431"/>
      <c r="AT7" s="37" t="s">
        <v>61</v>
      </c>
      <c r="AU7" s="1429" t="s">
        <v>28</v>
      </c>
      <c r="AV7" s="1431"/>
      <c r="AW7" s="40" t="s">
        <v>61</v>
      </c>
      <c r="AX7" s="1429" t="s">
        <v>28</v>
      </c>
      <c r="AY7" s="1431"/>
      <c r="AZ7" s="40" t="s">
        <v>61</v>
      </c>
      <c r="BA7" s="1419" t="s">
        <v>28</v>
      </c>
      <c r="BB7" s="1431"/>
      <c r="BC7" s="37" t="s">
        <v>61</v>
      </c>
      <c r="BD7" s="1423" t="s">
        <v>28</v>
      </c>
      <c r="BE7" s="1431"/>
      <c r="BF7" s="42" t="s">
        <v>61</v>
      </c>
      <c r="BG7" s="1442"/>
      <c r="BH7" s="1445" t="s">
        <v>63</v>
      </c>
      <c r="BI7" s="1445" t="s">
        <v>64</v>
      </c>
      <c r="BJ7" s="1445" t="s">
        <v>63</v>
      </c>
      <c r="BK7" s="1445" t="s">
        <v>64</v>
      </c>
    </row>
    <row r="8" spans="1:63" ht="22.5" customHeight="1">
      <c r="A8" s="44" t="s">
        <v>65</v>
      </c>
      <c r="B8" s="45">
        <f>Parametres!L20</f>
        <v>1000</v>
      </c>
      <c r="C8" s="46">
        <f>Parametres!L41</f>
        <v>100000000</v>
      </c>
      <c r="D8" s="47"/>
      <c r="E8" s="47"/>
      <c r="F8" s="47"/>
      <c r="G8" s="48">
        <f>Parametres!L32</f>
        <v>4000</v>
      </c>
      <c r="H8" s="47"/>
      <c r="I8" s="49"/>
      <c r="J8" s="47"/>
      <c r="K8" s="49">
        <f>Parametres!L18</f>
        <v>5000</v>
      </c>
      <c r="L8" s="47"/>
      <c r="M8" s="50"/>
      <c r="N8" s="50"/>
      <c r="O8" s="51">
        <f>Parametres!L19</f>
        <v>100000</v>
      </c>
      <c r="P8" s="50"/>
      <c r="Q8" s="49"/>
      <c r="R8" s="47"/>
      <c r="S8" s="48">
        <f>Parametres!L43</f>
        <v>500</v>
      </c>
      <c r="T8" s="47"/>
      <c r="U8" s="46">
        <f>Parametres!L39</f>
        <v>100000</v>
      </c>
      <c r="V8" s="47"/>
      <c r="W8" s="1428"/>
      <c r="X8" s="1435"/>
      <c r="Y8" s="1436"/>
      <c r="Z8" s="1428"/>
      <c r="AA8" s="1436"/>
      <c r="AB8" s="47"/>
      <c r="AC8" s="1428"/>
      <c r="AD8" s="1436"/>
      <c r="AE8" s="47"/>
      <c r="AF8" s="1457">
        <f>Parametres!L12</f>
        <v>100000</v>
      </c>
      <c r="AG8" s="1436"/>
      <c r="AH8" s="52"/>
      <c r="AI8" s="1451"/>
      <c r="AJ8" s="1436"/>
      <c r="AK8" s="53"/>
      <c r="AL8" s="1451">
        <f>Parametres!L5</f>
        <v>50</v>
      </c>
      <c r="AM8" s="1436"/>
      <c r="AN8" s="48"/>
      <c r="AO8" s="1451">
        <f>Parametres!L24</f>
        <v>60</v>
      </c>
      <c r="AP8" s="1436"/>
      <c r="AQ8" s="48"/>
      <c r="AR8" s="1451">
        <f>Parametres!L14</f>
        <v>3</v>
      </c>
      <c r="AS8" s="1436"/>
      <c r="AT8" s="47"/>
      <c r="AU8" s="1451">
        <f>Parametres!L30</f>
        <v>40</v>
      </c>
      <c r="AV8" s="1436"/>
      <c r="AW8" s="48"/>
      <c r="AX8" s="1451">
        <f>Parametres!L52</f>
        <v>90</v>
      </c>
      <c r="AY8" s="1436"/>
      <c r="AZ8" s="48"/>
      <c r="BA8" s="1450">
        <f>Parametres!L35</f>
        <v>30</v>
      </c>
      <c r="BB8" s="1436"/>
      <c r="BC8" s="47"/>
      <c r="BD8" s="1451">
        <f>Parametres!L42</f>
        <v>0.3</v>
      </c>
      <c r="BE8" s="1436"/>
      <c r="BF8" s="55"/>
      <c r="BG8" s="1443"/>
      <c r="BH8" s="1446"/>
      <c r="BI8" s="1446"/>
      <c r="BJ8" s="1446"/>
      <c r="BK8" s="1446"/>
    </row>
    <row r="9" spans="1:63" ht="21" customHeight="1">
      <c r="A9" s="56" t="s">
        <v>67</v>
      </c>
      <c r="B9" s="36">
        <f>Parametres!M20</f>
        <v>2000</v>
      </c>
      <c r="C9" s="57">
        <f>Parametres!M41</f>
        <v>200000000</v>
      </c>
      <c r="D9" s="37"/>
      <c r="E9" s="37"/>
      <c r="F9" s="37"/>
      <c r="G9" s="37">
        <f>Parametres!M32</f>
        <v>8000</v>
      </c>
      <c r="H9" s="37"/>
      <c r="I9" s="41"/>
      <c r="J9" s="41"/>
      <c r="K9" s="41">
        <f>Parametres!M18</f>
        <v>10000</v>
      </c>
      <c r="L9" s="41"/>
      <c r="M9" s="41"/>
      <c r="N9" s="41"/>
      <c r="O9" s="58">
        <f>Parametres!M19</f>
        <v>200000</v>
      </c>
      <c r="P9" s="41"/>
      <c r="Q9" s="59"/>
      <c r="R9" s="59"/>
      <c r="S9" s="60">
        <f>Parametres!M43</f>
        <v>1000</v>
      </c>
      <c r="T9" s="59"/>
      <c r="U9" s="57">
        <f>Parametres!M39</f>
        <v>200000</v>
      </c>
      <c r="V9" s="37"/>
      <c r="W9" s="1423"/>
      <c r="X9" s="1432"/>
      <c r="Y9" s="1431"/>
      <c r="Z9" s="1423"/>
      <c r="AA9" s="1432"/>
      <c r="AB9" s="1431"/>
      <c r="AC9" s="1423"/>
      <c r="AD9" s="1432"/>
      <c r="AE9" s="1431"/>
      <c r="AF9" s="1458">
        <f>Parametres!M12</f>
        <v>200000</v>
      </c>
      <c r="AG9" s="1431"/>
      <c r="AH9" s="37"/>
      <c r="AI9" s="1423"/>
      <c r="AJ9" s="1431"/>
      <c r="AK9" s="37"/>
      <c r="AL9" s="1423">
        <f>Parametres!M5</f>
        <v>100</v>
      </c>
      <c r="AM9" s="1431"/>
      <c r="AN9" s="40"/>
      <c r="AO9" s="1423">
        <f>Parametres!M24</f>
        <v>120</v>
      </c>
      <c r="AP9" s="1431"/>
      <c r="AQ9" s="40"/>
      <c r="AR9" s="1423">
        <f>Parametres!M14</f>
        <v>6</v>
      </c>
      <c r="AS9" s="1431"/>
      <c r="AT9" s="37"/>
      <c r="AU9" s="1423">
        <f>Parametres!M30</f>
        <v>80</v>
      </c>
      <c r="AV9" s="1431"/>
      <c r="AW9" s="40"/>
      <c r="AX9" s="1423">
        <f>Parametres!M52</f>
        <v>180</v>
      </c>
      <c r="AY9" s="1431"/>
      <c r="AZ9" s="40"/>
      <c r="BA9" s="1419">
        <f>Parametres!M35</f>
        <v>60</v>
      </c>
      <c r="BB9" s="1431"/>
      <c r="BC9" s="37"/>
      <c r="BD9" s="1419">
        <f>Parametres!M42</f>
        <v>0.6</v>
      </c>
      <c r="BE9" s="1431"/>
      <c r="BF9" s="42"/>
      <c r="BG9" s="1442"/>
      <c r="BH9" s="1447"/>
      <c r="BI9" s="1447"/>
      <c r="BJ9" s="1447"/>
      <c r="BK9" s="1447"/>
    </row>
    <row r="10" spans="1:63" ht="15.75" customHeight="1">
      <c r="A10" s="44" t="s">
        <v>68</v>
      </c>
      <c r="B10" s="45" t="s">
        <v>69</v>
      </c>
      <c r="C10" s="52" t="s">
        <v>69</v>
      </c>
      <c r="D10" s="1453" t="s">
        <v>69</v>
      </c>
      <c r="E10" s="1435"/>
      <c r="F10" s="1435"/>
      <c r="G10" s="1435"/>
      <c r="H10" s="1436"/>
      <c r="I10" s="1456" t="s">
        <v>69</v>
      </c>
      <c r="J10" s="1435"/>
      <c r="K10" s="1435"/>
      <c r="L10" s="1436"/>
      <c r="M10" s="1453" t="s">
        <v>69</v>
      </c>
      <c r="N10" s="1435"/>
      <c r="O10" s="1435"/>
      <c r="P10" s="1436"/>
      <c r="Q10" s="1456" t="s">
        <v>69</v>
      </c>
      <c r="R10" s="1435"/>
      <c r="S10" s="1435"/>
      <c r="T10" s="1436"/>
      <c r="U10" s="1449" t="s">
        <v>70</v>
      </c>
      <c r="V10" s="1436"/>
      <c r="W10" s="1449" t="s">
        <v>69</v>
      </c>
      <c r="X10" s="1435"/>
      <c r="Y10" s="1436"/>
      <c r="Z10" s="1449" t="s">
        <v>69</v>
      </c>
      <c r="AA10" s="1435"/>
      <c r="AB10" s="1436"/>
      <c r="AC10" s="1449" t="s">
        <v>69</v>
      </c>
      <c r="AD10" s="1435"/>
      <c r="AE10" s="1436"/>
      <c r="AF10" s="1453" t="s">
        <v>69</v>
      </c>
      <c r="AG10" s="1435"/>
      <c r="AH10" s="1436"/>
      <c r="AI10" s="1449" t="s">
        <v>69</v>
      </c>
      <c r="AJ10" s="1435"/>
      <c r="AK10" s="1436"/>
      <c r="AL10" s="1449" t="s">
        <v>70</v>
      </c>
      <c r="AM10" s="1435"/>
      <c r="AN10" s="1436"/>
      <c r="AO10" s="1449" t="s">
        <v>70</v>
      </c>
      <c r="AP10" s="1435"/>
      <c r="AQ10" s="1436"/>
      <c r="AR10" s="1449" t="s">
        <v>70</v>
      </c>
      <c r="AS10" s="1435"/>
      <c r="AT10" s="1436"/>
      <c r="AU10" s="1449" t="s">
        <v>70</v>
      </c>
      <c r="AV10" s="1435"/>
      <c r="AW10" s="1436"/>
      <c r="AX10" s="1449" t="s">
        <v>70</v>
      </c>
      <c r="AY10" s="1435"/>
      <c r="AZ10" s="1436"/>
      <c r="BA10" s="1449" t="s">
        <v>70</v>
      </c>
      <c r="BB10" s="1435"/>
      <c r="BC10" s="1436"/>
      <c r="BD10" s="1449" t="s">
        <v>70</v>
      </c>
      <c r="BE10" s="1435"/>
      <c r="BF10" s="1436"/>
      <c r="BG10" s="1443"/>
      <c r="BH10" s="1446"/>
      <c r="BI10" s="1446"/>
      <c r="BJ10" s="1446"/>
      <c r="BK10" s="1446"/>
    </row>
    <row r="11" spans="1:63" ht="31.5" customHeight="1">
      <c r="A11" s="61" t="s">
        <v>71</v>
      </c>
      <c r="B11" s="62" t="s">
        <v>72</v>
      </c>
      <c r="C11" s="62" t="s">
        <v>72</v>
      </c>
      <c r="D11" s="1419" t="s">
        <v>73</v>
      </c>
      <c r="E11" s="1432"/>
      <c r="F11" s="1432"/>
      <c r="G11" s="1432"/>
      <c r="H11" s="1431"/>
      <c r="I11" s="1422" t="s">
        <v>73</v>
      </c>
      <c r="J11" s="1432"/>
      <c r="K11" s="1432"/>
      <c r="L11" s="1431"/>
      <c r="M11" s="1419" t="s">
        <v>73</v>
      </c>
      <c r="N11" s="1432"/>
      <c r="O11" s="1432"/>
      <c r="P11" s="1431"/>
      <c r="Q11" s="1422" t="s">
        <v>73</v>
      </c>
      <c r="R11" s="1432"/>
      <c r="S11" s="1432"/>
      <c r="T11" s="1431"/>
      <c r="U11" s="1429" t="s">
        <v>74</v>
      </c>
      <c r="V11" s="1431"/>
      <c r="W11" s="1429" t="s">
        <v>75</v>
      </c>
      <c r="X11" s="1432"/>
      <c r="Y11" s="1431"/>
      <c r="Z11" s="1429" t="s">
        <v>75</v>
      </c>
      <c r="AA11" s="1432"/>
      <c r="AB11" s="1431"/>
      <c r="AC11" s="1429" t="s">
        <v>76</v>
      </c>
      <c r="AD11" s="1432"/>
      <c r="AE11" s="1431"/>
      <c r="AF11" s="1419" t="s">
        <v>77</v>
      </c>
      <c r="AG11" s="1432"/>
      <c r="AH11" s="1431"/>
      <c r="AI11" s="1433" t="s">
        <v>75</v>
      </c>
      <c r="AJ11" s="1432"/>
      <c r="AK11" s="1431"/>
      <c r="AL11" s="1433" t="s">
        <v>75</v>
      </c>
      <c r="AM11" s="1432"/>
      <c r="AN11" s="1431"/>
      <c r="AO11" s="1433" t="s">
        <v>78</v>
      </c>
      <c r="AP11" s="1432"/>
      <c r="AQ11" s="1431"/>
      <c r="AR11" s="1433" t="s">
        <v>78</v>
      </c>
      <c r="AS11" s="1432"/>
      <c r="AT11" s="1431"/>
      <c r="AU11" s="1433" t="s">
        <v>78</v>
      </c>
      <c r="AV11" s="1432"/>
      <c r="AW11" s="1431"/>
      <c r="AX11" s="1433" t="s">
        <v>78</v>
      </c>
      <c r="AY11" s="1432"/>
      <c r="AZ11" s="1431"/>
      <c r="BA11" s="1433" t="s">
        <v>78</v>
      </c>
      <c r="BB11" s="1432"/>
      <c r="BC11" s="1431"/>
      <c r="BD11" s="1433" t="s">
        <v>78</v>
      </c>
      <c r="BE11" s="1432"/>
      <c r="BF11" s="1431"/>
      <c r="BG11" s="1442"/>
      <c r="BH11" s="1447"/>
      <c r="BI11" s="1447"/>
      <c r="BJ11" s="1447"/>
      <c r="BK11" s="1447"/>
    </row>
    <row r="12" spans="1:63" ht="19.5" customHeight="1">
      <c r="A12" s="45" t="s">
        <v>66</v>
      </c>
      <c r="B12" s="63"/>
      <c r="C12" s="52" t="s">
        <v>79</v>
      </c>
      <c r="D12" s="1453" t="s">
        <v>80</v>
      </c>
      <c r="E12" s="1435"/>
      <c r="F12" s="1435"/>
      <c r="G12" s="1435"/>
      <c r="H12" s="1436"/>
      <c r="I12" s="1456" t="s">
        <v>81</v>
      </c>
      <c r="J12" s="1435"/>
      <c r="K12" s="1435"/>
      <c r="L12" s="1436"/>
      <c r="M12" s="1453" t="s">
        <v>81</v>
      </c>
      <c r="N12" s="1435"/>
      <c r="O12" s="1435"/>
      <c r="P12" s="1436"/>
      <c r="Q12" s="1456" t="s">
        <v>81</v>
      </c>
      <c r="R12" s="1435"/>
      <c r="S12" s="1435"/>
      <c r="T12" s="1436"/>
      <c r="U12" s="1453" t="s">
        <v>82</v>
      </c>
      <c r="V12" s="1436"/>
      <c r="W12" s="1453"/>
      <c r="X12" s="1435"/>
      <c r="Y12" s="1436"/>
      <c r="Z12" s="1453"/>
      <c r="AA12" s="1435"/>
      <c r="AB12" s="1436"/>
      <c r="AC12" s="1453"/>
      <c r="AD12" s="1435"/>
      <c r="AE12" s="1436"/>
      <c r="AF12" s="1454"/>
      <c r="AG12" s="1435"/>
      <c r="AH12" s="1436"/>
      <c r="AI12" s="1452"/>
      <c r="AJ12" s="1435"/>
      <c r="AK12" s="1436"/>
      <c r="AL12" s="1452"/>
      <c r="AM12" s="1435"/>
      <c r="AN12" s="1436"/>
      <c r="AO12" s="1455"/>
      <c r="AP12" s="1435"/>
      <c r="AQ12" s="1436"/>
      <c r="AR12" s="1452"/>
      <c r="AS12" s="1435"/>
      <c r="AT12" s="1436"/>
      <c r="AU12" s="1434"/>
      <c r="AV12" s="1435"/>
      <c r="AW12" s="1436"/>
      <c r="AX12" s="1452"/>
      <c r="AY12" s="1435"/>
      <c r="AZ12" s="1436"/>
      <c r="BA12" s="1434"/>
      <c r="BB12" s="1435"/>
      <c r="BC12" s="1436"/>
      <c r="BD12" s="1434"/>
      <c r="BE12" s="1435"/>
      <c r="BF12" s="1436"/>
      <c r="BG12" s="1443"/>
      <c r="BH12" s="1448"/>
      <c r="BI12" s="1448"/>
      <c r="BJ12" s="1448"/>
      <c r="BK12" s="1448"/>
    </row>
    <row r="13" spans="1:63" ht="18.75" customHeight="1">
      <c r="A13" s="64" t="s">
        <v>83</v>
      </c>
      <c r="B13" s="65"/>
      <c r="C13" s="66"/>
      <c r="D13" s="1439">
        <f>Parametres!P32</f>
        <v>0</v>
      </c>
      <c r="E13" s="1432"/>
      <c r="F13" s="1432"/>
      <c r="G13" s="1432"/>
      <c r="H13" s="1431"/>
      <c r="I13" s="1439">
        <f>Parametres!P18</f>
        <v>0</v>
      </c>
      <c r="J13" s="1432"/>
      <c r="K13" s="1432"/>
      <c r="L13" s="1431"/>
      <c r="M13" s="1439">
        <f>Parametres!P19</f>
        <v>0</v>
      </c>
      <c r="N13" s="1432"/>
      <c r="O13" s="1432"/>
      <c r="P13" s="1431"/>
      <c r="Q13" s="1439">
        <f>Parametres!P43</f>
        <v>0</v>
      </c>
      <c r="R13" s="1432"/>
      <c r="S13" s="1432"/>
      <c r="T13" s="1431"/>
      <c r="U13" s="1437">
        <f>Parametres!P39</f>
        <v>0</v>
      </c>
      <c r="V13" s="1438"/>
      <c r="W13" s="1439"/>
      <c r="X13" s="1432"/>
      <c r="Y13" s="1431"/>
      <c r="Z13" s="1439"/>
      <c r="AA13" s="1432"/>
      <c r="AB13" s="1431"/>
      <c r="AC13" s="67"/>
      <c r="AD13" s="1459"/>
      <c r="AE13" s="1431"/>
      <c r="AF13" s="1437">
        <f>Parametres!P12</f>
        <v>0</v>
      </c>
      <c r="AG13" s="1410"/>
      <c r="AH13" s="1438"/>
      <c r="AI13" s="1437"/>
      <c r="AJ13" s="1410"/>
      <c r="AK13" s="1438"/>
      <c r="AL13" s="1437">
        <f>Parametres!P5</f>
        <v>0</v>
      </c>
      <c r="AM13" s="1410"/>
      <c r="AN13" s="1438"/>
      <c r="AO13" s="1437">
        <f>Parametres!P24</f>
        <v>2.5000000000000001E-2</v>
      </c>
      <c r="AP13" s="1410"/>
      <c r="AQ13" s="1438"/>
      <c r="AR13" s="1437">
        <f>Parametres!P14</f>
        <v>0</v>
      </c>
      <c r="AS13" s="1410"/>
      <c r="AT13" s="1438"/>
      <c r="AU13" s="1437" t="str">
        <f>Parametres!P30</f>
        <v>0.005</v>
      </c>
      <c r="AV13" s="1410"/>
      <c r="AW13" s="1438"/>
      <c r="AX13" s="1437" t="str">
        <f>Parametres!P52</f>
        <v>0.005</v>
      </c>
      <c r="AY13" s="1410"/>
      <c r="AZ13" s="1438"/>
      <c r="BA13" s="1437">
        <f>Parametres!P35</f>
        <v>0</v>
      </c>
      <c r="BB13" s="1410"/>
      <c r="BC13" s="1438"/>
      <c r="BD13" s="1439" t="str">
        <f>Parametres!P42</f>
        <v>0.002</v>
      </c>
      <c r="BE13" s="1432"/>
      <c r="BF13" s="1431"/>
      <c r="BG13" s="1444"/>
      <c r="BH13" s="68"/>
      <c r="BI13" s="68"/>
      <c r="BJ13" s="68"/>
      <c r="BK13" s="68"/>
    </row>
    <row r="14" spans="1:63" ht="15.75" outlineLevel="1">
      <c r="A14" s="69">
        <v>43466</v>
      </c>
      <c r="B14" s="70"/>
      <c r="C14" s="71"/>
      <c r="D14" s="72"/>
      <c r="E14" s="73"/>
      <c r="F14" s="74"/>
      <c r="G14" s="75">
        <f t="shared" ref="G14:G379" si="0">IF(E14="",,(E14-D14)*1000/F14)</f>
        <v>0</v>
      </c>
      <c r="H14" s="76">
        <f t="shared" ref="H14:H379" si="1">IF(B14="",,B14*G14/1000)</f>
        <v>0</v>
      </c>
      <c r="I14" s="77"/>
      <c r="J14" s="74"/>
      <c r="K14" s="78">
        <f t="shared" ref="K14:K379" si="2">IF(J14="",,J14*I14)</f>
        <v>0</v>
      </c>
      <c r="L14" s="76">
        <f t="shared" ref="L14:L379" si="3">IF(B14="",,K14*B14/1000)</f>
        <v>0</v>
      </c>
      <c r="M14" s="79"/>
      <c r="N14" s="80"/>
      <c r="O14" s="80" t="str">
        <f t="shared" ref="O14:O379" si="4">IF(N14="","",N14*M14)</f>
        <v/>
      </c>
      <c r="P14" s="81">
        <f t="shared" ref="P14:P379" si="5">IF(B14="",,B14*O14/1000)</f>
        <v>0</v>
      </c>
      <c r="Q14" s="82"/>
      <c r="R14" s="83"/>
      <c r="S14" s="75" t="str">
        <f t="shared" ref="S14:S379" si="6">IF(R14="","",R14*Q14)</f>
        <v/>
      </c>
      <c r="T14" s="76">
        <f t="shared" ref="T14:T379" si="7">IF(B14="",,B14*S14/1000)</f>
        <v>0</v>
      </c>
      <c r="U14" s="84"/>
      <c r="V14" s="85"/>
      <c r="W14" s="86"/>
      <c r="X14" s="87"/>
      <c r="Y14" s="88"/>
      <c r="Z14" s="89"/>
      <c r="AA14" s="90"/>
      <c r="AB14" s="91"/>
      <c r="AC14" s="92"/>
      <c r="AD14" s="93" t="str">
        <f t="shared" ref="AD14:AD379" si="8">IF(AA14="","",IF(W14="&lt;",X14/2,X14)+IF(Z14="&lt;",AA14/2,AA14)+U14  )</f>
        <v/>
      </c>
      <c r="AE14" s="94" t="str">
        <f t="shared" ref="AE14:AE379" si="9">IF(B14="","",IF(AC14="&lt;",AD14/2*B14/1000,AD14*B14/1000))</f>
        <v/>
      </c>
      <c r="AF14" s="95"/>
      <c r="AG14" s="96"/>
      <c r="AH14" s="97" t="str">
        <f t="shared" ref="AH14:AH379" si="10">IF(B14="","",IF(AF14="&lt;",AG14/2*B14/1000,AG14*B14/1000))</f>
        <v/>
      </c>
      <c r="AI14" s="98"/>
      <c r="AJ14" s="99"/>
      <c r="AK14" s="100" t="str">
        <f t="shared" ref="AK14:AK20" si="11">IF(B14="","",IF(AI14="&lt;",AJ14/2*B14/1000,AJ14*B14/1000))</f>
        <v/>
      </c>
      <c r="AL14" s="101"/>
      <c r="AM14" s="102"/>
      <c r="AN14" s="103" t="str">
        <f t="shared" ref="AN14:AN379" si="12">IF(AM14="","",IF(AL14="&lt;",AM14*(SUM(B7:B15)/1000)/2,AM14*(SUM(B7:B15)/1000)))</f>
        <v/>
      </c>
      <c r="AO14" s="95"/>
      <c r="AP14" s="104"/>
      <c r="AQ14" s="105" t="str">
        <f>IF(B14="","",IF(AO14="&lt;",AP14/2*B14/1000,AP14*B14/1000))</f>
        <v/>
      </c>
      <c r="AR14" s="106"/>
      <c r="AS14" s="104"/>
      <c r="AT14" s="76" t="str">
        <f>IF(B14="","",IF(AR14="&lt;",AS14/2*B14/1000,AS14*B14/1000))</f>
        <v/>
      </c>
      <c r="AU14" s="95"/>
      <c r="AV14" s="83"/>
      <c r="AW14" s="107" t="str">
        <f>IF(AV14="","",IF(AU14="&lt;",AV14*(SUM(#REF!)/1000)/2,AV14*(SUM(#REF!)/1000)))</f>
        <v/>
      </c>
      <c r="AX14" s="108"/>
      <c r="AY14" s="108"/>
      <c r="AZ14" s="109" t="str">
        <f>IF(B14="","",IF(AX14="&lt;",AY14/2*B14/1000,AY14*B14/1000))</f>
        <v/>
      </c>
      <c r="BA14" s="110"/>
      <c r="BB14" s="111"/>
      <c r="BC14" s="112" t="str">
        <f>IF(B14="","",IF(BA14="&lt;",BB14/2*B14/1000,BB14*B14/1000))</f>
        <v/>
      </c>
      <c r="BD14" s="113"/>
      <c r="BE14" s="114"/>
      <c r="BF14" s="115" t="str">
        <f>IF(B14="","",IF(BD14="&lt;",BE14/2*B14/1000,BE14*B14/1000))</f>
        <v/>
      </c>
      <c r="BG14" s="116" t="s">
        <v>84</v>
      </c>
      <c r="BH14" s="117"/>
      <c r="BI14" s="118"/>
      <c r="BJ14" s="119">
        <f>'Degrémont sortie'!BI14</f>
        <v>0</v>
      </c>
      <c r="BK14" s="120">
        <f>'Degrémont sortie'!BJ14</f>
        <v>0</v>
      </c>
    </row>
    <row r="15" spans="1:63" ht="14.25" outlineLevel="1">
      <c r="A15" s="121">
        <f t="shared" ref="A15:A379" si="13">A14+1</f>
        <v>43467</v>
      </c>
      <c r="B15" s="122">
        <v>508</v>
      </c>
      <c r="C15" s="123">
        <v>7.7</v>
      </c>
      <c r="D15" s="124">
        <v>88.4</v>
      </c>
      <c r="E15" s="125">
        <v>516.29999999999995</v>
      </c>
      <c r="F15" s="126">
        <v>32</v>
      </c>
      <c r="G15" s="127">
        <f t="shared" si="0"/>
        <v>13371.875</v>
      </c>
      <c r="H15" s="128">
        <f t="shared" si="1"/>
        <v>6792.9125000000004</v>
      </c>
      <c r="I15" s="129">
        <v>1</v>
      </c>
      <c r="J15" s="126">
        <v>14700</v>
      </c>
      <c r="K15" s="79">
        <f t="shared" si="2"/>
        <v>14700</v>
      </c>
      <c r="L15" s="128">
        <f t="shared" si="3"/>
        <v>7467.6</v>
      </c>
      <c r="M15" s="130">
        <v>1</v>
      </c>
      <c r="N15" s="126">
        <v>1455</v>
      </c>
      <c r="O15" s="80">
        <f t="shared" si="4"/>
        <v>1455</v>
      </c>
      <c r="P15" s="81">
        <f t="shared" si="5"/>
        <v>739.14</v>
      </c>
      <c r="Q15" s="129">
        <v>20</v>
      </c>
      <c r="R15" s="131">
        <v>24.7</v>
      </c>
      <c r="S15" s="127">
        <f t="shared" si="6"/>
        <v>494</v>
      </c>
      <c r="T15" s="128">
        <f t="shared" si="7"/>
        <v>250.952</v>
      </c>
      <c r="U15" s="131"/>
      <c r="V15" s="81">
        <f t="shared" ref="V15:V379" si="14">IF(B15="",,B15*U15/1000)</f>
        <v>0</v>
      </c>
      <c r="W15" s="132"/>
      <c r="X15" s="87"/>
      <c r="Y15" s="94"/>
      <c r="Z15" s="132"/>
      <c r="AA15" s="87"/>
      <c r="AB15" s="94"/>
      <c r="AC15" s="133"/>
      <c r="AD15" s="93" t="str">
        <f t="shared" si="8"/>
        <v/>
      </c>
      <c r="AE15" s="94" t="e">
        <f t="shared" si="9"/>
        <v>#VALUE!</v>
      </c>
      <c r="AF15" s="134" t="s">
        <v>85</v>
      </c>
      <c r="AG15" s="135">
        <v>0.01</v>
      </c>
      <c r="AH15" s="136">
        <f t="shared" si="10"/>
        <v>2.5400000000000002E-3</v>
      </c>
      <c r="AI15" s="126"/>
      <c r="AJ15" s="137"/>
      <c r="AK15" s="100">
        <f t="shared" si="11"/>
        <v>0</v>
      </c>
      <c r="AL15" s="138"/>
      <c r="AM15" s="113"/>
      <c r="AN15" s="103" t="str">
        <f t="shared" si="12"/>
        <v/>
      </c>
      <c r="AO15" s="139"/>
      <c r="AP15" s="140"/>
      <c r="AQ15" s="141" t="str">
        <f t="shared" ref="AQ15:AQ379" si="15">IF(AP15="","",IF(AO15="&lt;",AP15*(SUM(B8:B16)/1000)/2,AP15*(SUM(B8:B16)/1000)))</f>
        <v/>
      </c>
      <c r="AR15" s="142"/>
      <c r="AS15" s="140"/>
      <c r="AT15" s="143" t="str">
        <f t="shared" ref="AT15:AT378" si="16">IF(AS15="","",IF(AR15="&lt;",AS15*(SUM(B8:B16)/1000)/2,AS15*(SUM(B8:B16)/1000)))</f>
        <v/>
      </c>
      <c r="AU15" s="139"/>
      <c r="AV15" s="113"/>
      <c r="AW15" s="107" t="str">
        <f t="shared" ref="AW15:AW379" si="17">IF(AV15="","",IF(AU15="&lt;",AV15*(SUM(B8:B16)/1000)/2,AV15*(SUM(B8:B16)/1000)))</f>
        <v/>
      </c>
      <c r="AX15" s="113"/>
      <c r="AY15" s="113"/>
      <c r="AZ15" s="144" t="str">
        <f t="shared" ref="AZ15:AZ379" si="18">IF(AY15="","",IF(AX15="&lt;",AY15*(SUM(B8:B16)/1000)/2,AY15*(SUM(B8:B16)/1000)))</f>
        <v/>
      </c>
      <c r="BA15" s="80"/>
      <c r="BB15" s="140"/>
      <c r="BC15" s="145" t="str">
        <f t="shared" ref="BC15:BC379" si="19">IF(BB15="","",IF(BA15="&lt;",BB15*(SUM(B8:B16)/1000)/2,BB15*(SUM(B8:B16)/1000)))</f>
        <v/>
      </c>
      <c r="BD15" s="113"/>
      <c r="BE15" s="114"/>
      <c r="BF15" s="146" t="str">
        <f t="shared" ref="BF15:BF379" si="20">IF(BE15="","",IF(BD15="&lt;",BE15*(SUM(B8:B16)/1000)/2,BE15*(SUM(B8:B16)/1000)))</f>
        <v/>
      </c>
      <c r="BG15" s="147" t="s">
        <v>84</v>
      </c>
      <c r="BH15" s="148"/>
      <c r="BI15" s="149" t="s">
        <v>86</v>
      </c>
      <c r="BJ15" s="150" t="str">
        <f>'Degrémont sortie'!BI15</f>
        <v>CA MES : 66mg/L</v>
      </c>
      <c r="BK15" s="151">
        <f>'Degrémont sortie'!BJ15</f>
        <v>0</v>
      </c>
    </row>
    <row r="16" spans="1:63" ht="14.25" outlineLevel="1">
      <c r="A16" s="152">
        <f t="shared" si="13"/>
        <v>43468</v>
      </c>
      <c r="B16" s="122">
        <v>693</v>
      </c>
      <c r="C16" s="123">
        <v>8.1</v>
      </c>
      <c r="D16" s="124">
        <v>88.9</v>
      </c>
      <c r="E16" s="125">
        <v>441.1</v>
      </c>
      <c r="F16" s="126">
        <v>27</v>
      </c>
      <c r="G16" s="127">
        <f t="shared" si="0"/>
        <v>13044.444444444447</v>
      </c>
      <c r="H16" s="128">
        <f t="shared" si="1"/>
        <v>9039.8000000000011</v>
      </c>
      <c r="I16" s="129">
        <v>1</v>
      </c>
      <c r="J16" s="126">
        <v>12900</v>
      </c>
      <c r="K16" s="79">
        <f t="shared" si="2"/>
        <v>12900</v>
      </c>
      <c r="L16" s="128">
        <f t="shared" si="3"/>
        <v>8939.7000000000007</v>
      </c>
      <c r="M16" s="130">
        <v>1</v>
      </c>
      <c r="N16" s="126">
        <v>677</v>
      </c>
      <c r="O16" s="80">
        <f t="shared" si="4"/>
        <v>677</v>
      </c>
      <c r="P16" s="81">
        <f t="shared" si="5"/>
        <v>469.161</v>
      </c>
      <c r="Q16" s="129">
        <v>50</v>
      </c>
      <c r="R16" s="131">
        <v>13.2</v>
      </c>
      <c r="S16" s="127">
        <f t="shared" si="6"/>
        <v>660</v>
      </c>
      <c r="T16" s="128">
        <f t="shared" si="7"/>
        <v>457.38</v>
      </c>
      <c r="U16" s="131"/>
      <c r="V16" s="81">
        <f t="shared" si="14"/>
        <v>0</v>
      </c>
      <c r="W16" s="132"/>
      <c r="X16" s="153"/>
      <c r="Y16" s="94"/>
      <c r="Z16" s="132"/>
      <c r="AA16" s="153"/>
      <c r="AB16" s="94"/>
      <c r="AC16" s="133"/>
      <c r="AD16" s="93" t="str">
        <f t="shared" si="8"/>
        <v/>
      </c>
      <c r="AE16" s="94" t="e">
        <f t="shared" si="9"/>
        <v>#VALUE!</v>
      </c>
      <c r="AF16" s="134" t="s">
        <v>85</v>
      </c>
      <c r="AG16" s="135">
        <v>0.01</v>
      </c>
      <c r="AH16" s="136">
        <f t="shared" si="10"/>
        <v>3.4649999999999998E-3</v>
      </c>
      <c r="AI16" s="80"/>
      <c r="AJ16" s="154"/>
      <c r="AK16" s="100">
        <f t="shared" si="11"/>
        <v>0</v>
      </c>
      <c r="AL16" s="138"/>
      <c r="AM16" s="131"/>
      <c r="AN16" s="103" t="str">
        <f t="shared" si="12"/>
        <v/>
      </c>
      <c r="AO16" s="139"/>
      <c r="AP16" s="140"/>
      <c r="AQ16" s="141" t="str">
        <f t="shared" si="15"/>
        <v/>
      </c>
      <c r="AR16" s="142"/>
      <c r="AS16" s="140"/>
      <c r="AT16" s="143" t="str">
        <f t="shared" si="16"/>
        <v/>
      </c>
      <c r="AU16" s="139"/>
      <c r="AV16" s="113"/>
      <c r="AW16" s="107" t="str">
        <f t="shared" si="17"/>
        <v/>
      </c>
      <c r="AX16" s="113"/>
      <c r="AY16" s="113"/>
      <c r="AZ16" s="144" t="str">
        <f t="shared" si="18"/>
        <v/>
      </c>
      <c r="BA16" s="80"/>
      <c r="BB16" s="140"/>
      <c r="BC16" s="145" t="str">
        <f t="shared" si="19"/>
        <v/>
      </c>
      <c r="BD16" s="113"/>
      <c r="BE16" s="114"/>
      <c r="BF16" s="146" t="str">
        <f t="shared" si="20"/>
        <v/>
      </c>
      <c r="BG16" s="147" t="s">
        <v>84</v>
      </c>
      <c r="BH16" s="148"/>
      <c r="BI16" s="149" t="s">
        <v>87</v>
      </c>
      <c r="BJ16" s="150">
        <f>'Degrémont sortie'!BI16</f>
        <v>0</v>
      </c>
      <c r="BK16" s="151">
        <f>'Degrémont sortie'!BJ16</f>
        <v>0</v>
      </c>
    </row>
    <row r="17" spans="1:63" ht="14.25" outlineLevel="1">
      <c r="A17" s="121">
        <f t="shared" si="13"/>
        <v>43469</v>
      </c>
      <c r="B17" s="122">
        <v>997</v>
      </c>
      <c r="C17" s="123">
        <v>8.6</v>
      </c>
      <c r="D17" s="124">
        <v>89.9</v>
      </c>
      <c r="E17" s="125">
        <v>468.5</v>
      </c>
      <c r="F17" s="126">
        <v>31</v>
      </c>
      <c r="G17" s="127">
        <f t="shared" si="0"/>
        <v>12212.903225806451</v>
      </c>
      <c r="H17" s="128">
        <f t="shared" si="1"/>
        <v>12176.264516129031</v>
      </c>
      <c r="I17" s="129">
        <v>1</v>
      </c>
      <c r="J17" s="126">
        <v>11600</v>
      </c>
      <c r="K17" s="79">
        <f t="shared" si="2"/>
        <v>11600</v>
      </c>
      <c r="L17" s="128">
        <f t="shared" si="3"/>
        <v>11565.2</v>
      </c>
      <c r="M17" s="130">
        <v>1</v>
      </c>
      <c r="N17" s="126">
        <v>634</v>
      </c>
      <c r="O17" s="80">
        <f t="shared" si="4"/>
        <v>634</v>
      </c>
      <c r="P17" s="81">
        <f t="shared" si="5"/>
        <v>632.09799999999996</v>
      </c>
      <c r="Q17" s="129">
        <v>50</v>
      </c>
      <c r="R17" s="131">
        <v>10.9</v>
      </c>
      <c r="S17" s="127">
        <f t="shared" si="6"/>
        <v>545</v>
      </c>
      <c r="T17" s="128">
        <f t="shared" si="7"/>
        <v>543.36500000000001</v>
      </c>
      <c r="U17" s="131"/>
      <c r="V17" s="81">
        <f t="shared" si="14"/>
        <v>0</v>
      </c>
      <c r="W17" s="132"/>
      <c r="X17" s="153"/>
      <c r="Y17" s="94"/>
      <c r="Z17" s="132"/>
      <c r="AA17" s="153"/>
      <c r="AB17" s="94"/>
      <c r="AC17" s="133"/>
      <c r="AD17" s="93" t="str">
        <f t="shared" si="8"/>
        <v/>
      </c>
      <c r="AE17" s="94" t="e">
        <f t="shared" si="9"/>
        <v>#VALUE!</v>
      </c>
      <c r="AF17" s="134" t="s">
        <v>85</v>
      </c>
      <c r="AG17" s="135">
        <v>0.01</v>
      </c>
      <c r="AH17" s="136">
        <f t="shared" si="10"/>
        <v>4.9850000000000007E-3</v>
      </c>
      <c r="AI17" s="80"/>
      <c r="AJ17" s="154"/>
      <c r="AK17" s="100">
        <f t="shared" si="11"/>
        <v>0</v>
      </c>
      <c r="AL17" s="138"/>
      <c r="AM17" s="131"/>
      <c r="AN17" s="103" t="str">
        <f t="shared" si="12"/>
        <v/>
      </c>
      <c r="AO17" s="139"/>
      <c r="AP17" s="140"/>
      <c r="AQ17" s="141" t="str">
        <f t="shared" si="15"/>
        <v/>
      </c>
      <c r="AR17" s="142"/>
      <c r="AS17" s="140"/>
      <c r="AT17" s="143" t="str">
        <f t="shared" si="16"/>
        <v/>
      </c>
      <c r="AU17" s="139"/>
      <c r="AV17" s="113"/>
      <c r="AW17" s="107" t="str">
        <f t="shared" si="17"/>
        <v/>
      </c>
      <c r="AX17" s="113"/>
      <c r="AY17" s="113"/>
      <c r="AZ17" s="144" t="str">
        <f t="shared" si="18"/>
        <v/>
      </c>
      <c r="BA17" s="80"/>
      <c r="BB17" s="140"/>
      <c r="BC17" s="145" t="str">
        <f t="shared" si="19"/>
        <v/>
      </c>
      <c r="BD17" s="113"/>
      <c r="BE17" s="114"/>
      <c r="BF17" s="146" t="str">
        <f t="shared" si="20"/>
        <v/>
      </c>
      <c r="BG17" s="147" t="s">
        <v>84</v>
      </c>
      <c r="BH17" s="148"/>
      <c r="BI17" s="149" t="s">
        <v>88</v>
      </c>
      <c r="BJ17" s="150" t="str">
        <f>'Degrémont sortie'!BI17</f>
        <v>CA MES : 100mg/L</v>
      </c>
      <c r="BK17" s="151">
        <f>'Degrémont sortie'!BJ17</f>
        <v>0</v>
      </c>
    </row>
    <row r="18" spans="1:63" ht="14.25" outlineLevel="1">
      <c r="A18" s="152">
        <f t="shared" si="13"/>
        <v>43470</v>
      </c>
      <c r="B18" s="122">
        <v>648</v>
      </c>
      <c r="C18" s="123">
        <v>8.3000000000000007</v>
      </c>
      <c r="D18" s="124">
        <v>89.9</v>
      </c>
      <c r="E18" s="125">
        <v>430.9</v>
      </c>
      <c r="F18" s="126">
        <v>31</v>
      </c>
      <c r="G18" s="127">
        <f t="shared" si="0"/>
        <v>11000</v>
      </c>
      <c r="H18" s="128">
        <f t="shared" si="1"/>
        <v>7128</v>
      </c>
      <c r="I18" s="129">
        <v>1</v>
      </c>
      <c r="J18" s="126">
        <v>11800</v>
      </c>
      <c r="K18" s="79">
        <f t="shared" si="2"/>
        <v>11800</v>
      </c>
      <c r="L18" s="128">
        <f t="shared" si="3"/>
        <v>7646.4</v>
      </c>
      <c r="M18" s="130">
        <v>1</v>
      </c>
      <c r="N18" s="126">
        <v>1034</v>
      </c>
      <c r="O18" s="80">
        <f t="shared" si="4"/>
        <v>1034</v>
      </c>
      <c r="P18" s="81">
        <f t="shared" si="5"/>
        <v>670.03200000000004</v>
      </c>
      <c r="Q18" s="129">
        <v>50</v>
      </c>
      <c r="R18" s="131">
        <v>10.3</v>
      </c>
      <c r="S18" s="127">
        <f t="shared" si="6"/>
        <v>515</v>
      </c>
      <c r="T18" s="128">
        <f t="shared" si="7"/>
        <v>333.72</v>
      </c>
      <c r="U18" s="131"/>
      <c r="V18" s="81">
        <f t="shared" si="14"/>
        <v>0</v>
      </c>
      <c r="W18" s="132"/>
      <c r="X18" s="153"/>
      <c r="Y18" s="94"/>
      <c r="Z18" s="132"/>
      <c r="AA18" s="153"/>
      <c r="AB18" s="94"/>
      <c r="AC18" s="133"/>
      <c r="AD18" s="93" t="str">
        <f t="shared" si="8"/>
        <v/>
      </c>
      <c r="AE18" s="94" t="e">
        <f t="shared" si="9"/>
        <v>#VALUE!</v>
      </c>
      <c r="AF18" s="134" t="s">
        <v>85</v>
      </c>
      <c r="AG18" s="135">
        <v>0.01</v>
      </c>
      <c r="AH18" s="136">
        <f t="shared" si="10"/>
        <v>3.2400000000000003E-3</v>
      </c>
      <c r="AI18" s="80"/>
      <c r="AJ18" s="154"/>
      <c r="AK18" s="100">
        <f t="shared" si="11"/>
        <v>0</v>
      </c>
      <c r="AL18" s="138"/>
      <c r="AM18" s="113"/>
      <c r="AN18" s="103" t="str">
        <f t="shared" si="12"/>
        <v/>
      </c>
      <c r="AO18" s="139"/>
      <c r="AP18" s="140"/>
      <c r="AQ18" s="141" t="str">
        <f t="shared" si="15"/>
        <v/>
      </c>
      <c r="AR18" s="142"/>
      <c r="AS18" s="140"/>
      <c r="AT18" s="143" t="str">
        <f t="shared" si="16"/>
        <v/>
      </c>
      <c r="AU18" s="139"/>
      <c r="AV18" s="113"/>
      <c r="AW18" s="107" t="str">
        <f t="shared" si="17"/>
        <v/>
      </c>
      <c r="AX18" s="113"/>
      <c r="AY18" s="113"/>
      <c r="AZ18" s="144" t="str">
        <f t="shared" si="18"/>
        <v/>
      </c>
      <c r="BA18" s="80"/>
      <c r="BB18" s="140"/>
      <c r="BC18" s="145" t="str">
        <f t="shared" si="19"/>
        <v/>
      </c>
      <c r="BD18" s="113"/>
      <c r="BE18" s="114"/>
      <c r="BF18" s="146" t="str">
        <f t="shared" si="20"/>
        <v/>
      </c>
      <c r="BG18" s="147" t="s">
        <v>84</v>
      </c>
      <c r="BH18" s="148"/>
      <c r="BI18" s="149" t="s">
        <v>88</v>
      </c>
      <c r="BJ18" s="150">
        <f>'Degrémont sortie'!BI18</f>
        <v>0</v>
      </c>
      <c r="BK18" s="151">
        <f>'Degrémont sortie'!BJ18</f>
        <v>0</v>
      </c>
    </row>
    <row r="19" spans="1:63" ht="14.25" outlineLevel="1">
      <c r="A19" s="121">
        <f t="shared" si="13"/>
        <v>43471</v>
      </c>
      <c r="B19" s="122">
        <v>455</v>
      </c>
      <c r="C19" s="123">
        <v>8.1</v>
      </c>
      <c r="D19" s="124">
        <v>89.6</v>
      </c>
      <c r="E19" s="125">
        <v>420.1</v>
      </c>
      <c r="F19" s="126">
        <v>27</v>
      </c>
      <c r="G19" s="127">
        <f t="shared" si="0"/>
        <v>12240.740740740741</v>
      </c>
      <c r="H19" s="128">
        <f t="shared" si="1"/>
        <v>5569.5370370370374</v>
      </c>
      <c r="I19" s="129">
        <v>1</v>
      </c>
      <c r="J19" s="126">
        <v>13400</v>
      </c>
      <c r="K19" s="79">
        <f t="shared" si="2"/>
        <v>13400</v>
      </c>
      <c r="L19" s="128">
        <f t="shared" si="3"/>
        <v>6097</v>
      </c>
      <c r="M19" s="130">
        <v>1</v>
      </c>
      <c r="N19" s="126">
        <v>1413</v>
      </c>
      <c r="O19" s="80">
        <f t="shared" si="4"/>
        <v>1413</v>
      </c>
      <c r="P19" s="81">
        <f t="shared" si="5"/>
        <v>642.91499999999996</v>
      </c>
      <c r="Q19" s="129">
        <v>50</v>
      </c>
      <c r="R19" s="131">
        <v>11.4</v>
      </c>
      <c r="S19" s="127">
        <f t="shared" si="6"/>
        <v>570</v>
      </c>
      <c r="T19" s="128">
        <f t="shared" si="7"/>
        <v>259.35000000000002</v>
      </c>
      <c r="U19" s="131"/>
      <c r="V19" s="81">
        <f t="shared" si="14"/>
        <v>0</v>
      </c>
      <c r="W19" s="132"/>
      <c r="X19" s="153"/>
      <c r="Y19" s="94"/>
      <c r="Z19" s="132"/>
      <c r="AA19" s="153"/>
      <c r="AB19" s="94"/>
      <c r="AC19" s="133"/>
      <c r="AD19" s="93" t="str">
        <f t="shared" si="8"/>
        <v/>
      </c>
      <c r="AE19" s="94" t="e">
        <f t="shared" si="9"/>
        <v>#VALUE!</v>
      </c>
      <c r="AF19" s="134" t="s">
        <v>85</v>
      </c>
      <c r="AG19" s="135">
        <v>0.01</v>
      </c>
      <c r="AH19" s="136">
        <f t="shared" si="10"/>
        <v>2.2750000000000001E-3</v>
      </c>
      <c r="AI19" s="80"/>
      <c r="AJ19" s="154"/>
      <c r="AK19" s="100">
        <f t="shared" si="11"/>
        <v>0</v>
      </c>
      <c r="AL19" s="138"/>
      <c r="AM19" s="113"/>
      <c r="AN19" s="103" t="str">
        <f t="shared" si="12"/>
        <v/>
      </c>
      <c r="AO19" s="139"/>
      <c r="AP19" s="155"/>
      <c r="AQ19" s="141" t="str">
        <f t="shared" si="15"/>
        <v/>
      </c>
      <c r="AR19" s="142"/>
      <c r="AS19" s="140"/>
      <c r="AT19" s="143" t="str">
        <f t="shared" si="16"/>
        <v/>
      </c>
      <c r="AU19" s="139"/>
      <c r="AV19" s="113"/>
      <c r="AW19" s="107" t="str">
        <f t="shared" si="17"/>
        <v/>
      </c>
      <c r="AX19" s="113"/>
      <c r="AY19" s="113"/>
      <c r="AZ19" s="144" t="str">
        <f t="shared" si="18"/>
        <v/>
      </c>
      <c r="BA19" s="80"/>
      <c r="BB19" s="140"/>
      <c r="BC19" s="145" t="str">
        <f t="shared" si="19"/>
        <v/>
      </c>
      <c r="BD19" s="113"/>
      <c r="BE19" s="114"/>
      <c r="BF19" s="146" t="str">
        <f t="shared" si="20"/>
        <v/>
      </c>
      <c r="BG19" s="147" t="s">
        <v>84</v>
      </c>
      <c r="BH19" s="148"/>
      <c r="BI19" s="156"/>
      <c r="BJ19" s="150">
        <f>'Degrémont sortie'!BI19</f>
        <v>0</v>
      </c>
      <c r="BK19" s="151">
        <f>'Degrémont sortie'!BJ19</f>
        <v>0</v>
      </c>
    </row>
    <row r="20" spans="1:63" ht="14.25" outlineLevel="1">
      <c r="A20" s="152">
        <f t="shared" si="13"/>
        <v>43472</v>
      </c>
      <c r="B20" s="122">
        <v>1052</v>
      </c>
      <c r="C20" s="123">
        <v>8.1</v>
      </c>
      <c r="D20" s="124">
        <v>87.7</v>
      </c>
      <c r="E20" s="125">
        <v>417.5</v>
      </c>
      <c r="F20" s="126">
        <v>28</v>
      </c>
      <c r="G20" s="127">
        <f t="shared" si="0"/>
        <v>11778.571428571429</v>
      </c>
      <c r="H20" s="128">
        <f t="shared" si="1"/>
        <v>12391.057142857144</v>
      </c>
      <c r="I20" s="129">
        <v>1</v>
      </c>
      <c r="J20" s="126">
        <v>12900</v>
      </c>
      <c r="K20" s="79">
        <f t="shared" si="2"/>
        <v>12900</v>
      </c>
      <c r="L20" s="128">
        <f t="shared" si="3"/>
        <v>13570.8</v>
      </c>
      <c r="M20" s="130">
        <v>1</v>
      </c>
      <c r="N20" s="126">
        <v>507</v>
      </c>
      <c r="O20" s="80">
        <f t="shared" si="4"/>
        <v>507</v>
      </c>
      <c r="P20" s="81">
        <f t="shared" si="5"/>
        <v>533.36400000000003</v>
      </c>
      <c r="Q20" s="129">
        <v>50</v>
      </c>
      <c r="R20" s="131">
        <v>10.9</v>
      </c>
      <c r="S20" s="127">
        <f t="shared" si="6"/>
        <v>545</v>
      </c>
      <c r="T20" s="128">
        <f t="shared" si="7"/>
        <v>573.34</v>
      </c>
      <c r="U20" s="113"/>
      <c r="V20" s="81">
        <f t="shared" si="14"/>
        <v>0</v>
      </c>
      <c r="W20" s="132"/>
      <c r="X20" s="153"/>
      <c r="Y20" s="94"/>
      <c r="Z20" s="132"/>
      <c r="AA20" s="153"/>
      <c r="AB20" s="94"/>
      <c r="AC20" s="133"/>
      <c r="AD20" s="93" t="str">
        <f t="shared" si="8"/>
        <v/>
      </c>
      <c r="AE20" s="94" t="e">
        <f t="shared" si="9"/>
        <v>#VALUE!</v>
      </c>
      <c r="AF20" s="134" t="s">
        <v>85</v>
      </c>
      <c r="AG20" s="135">
        <v>0.01</v>
      </c>
      <c r="AH20" s="136">
        <f t="shared" si="10"/>
        <v>5.2599999999999999E-3</v>
      </c>
      <c r="AI20" s="80"/>
      <c r="AJ20" s="154"/>
      <c r="AK20" s="100">
        <f t="shared" si="11"/>
        <v>0</v>
      </c>
      <c r="AL20" s="138"/>
      <c r="AM20" s="113"/>
      <c r="AN20" s="103" t="str">
        <f t="shared" si="12"/>
        <v/>
      </c>
      <c r="AO20" s="139"/>
      <c r="AP20" s="140"/>
      <c r="AQ20" s="141" t="str">
        <f t="shared" si="15"/>
        <v/>
      </c>
      <c r="AR20" s="142"/>
      <c r="AS20" s="140"/>
      <c r="AT20" s="143" t="str">
        <f t="shared" si="16"/>
        <v/>
      </c>
      <c r="AU20" s="139"/>
      <c r="AV20" s="113"/>
      <c r="AW20" s="107" t="str">
        <f t="shared" si="17"/>
        <v/>
      </c>
      <c r="AX20" s="113"/>
      <c r="AY20" s="113"/>
      <c r="AZ20" s="144" t="str">
        <f t="shared" si="18"/>
        <v/>
      </c>
      <c r="BA20" s="80"/>
      <c r="BB20" s="140"/>
      <c r="BC20" s="145" t="str">
        <f t="shared" si="19"/>
        <v/>
      </c>
      <c r="BD20" s="113"/>
      <c r="BE20" s="114"/>
      <c r="BF20" s="146" t="str">
        <f t="shared" si="20"/>
        <v/>
      </c>
      <c r="BG20" s="147" t="s">
        <v>84</v>
      </c>
      <c r="BH20" s="148"/>
      <c r="BI20" s="149" t="s">
        <v>89</v>
      </c>
      <c r="BJ20" s="150">
        <f>'Degrémont sortie'!BI20</f>
        <v>0</v>
      </c>
      <c r="BK20" s="151">
        <f>'Degrémont sortie'!BJ20</f>
        <v>0</v>
      </c>
    </row>
    <row r="21" spans="1:63" ht="15.75" customHeight="1" outlineLevel="1">
      <c r="A21" s="121">
        <f t="shared" si="13"/>
        <v>43473</v>
      </c>
      <c r="B21" s="122">
        <v>945</v>
      </c>
      <c r="C21" s="123">
        <v>8</v>
      </c>
      <c r="D21" s="124">
        <v>89.3</v>
      </c>
      <c r="E21" s="125">
        <v>377.7</v>
      </c>
      <c r="F21" s="126">
        <v>26</v>
      </c>
      <c r="G21" s="127">
        <f t="shared" si="0"/>
        <v>11092.307692307691</v>
      </c>
      <c r="H21" s="128">
        <f t="shared" si="1"/>
        <v>10482.230769230768</v>
      </c>
      <c r="I21" s="129">
        <v>1</v>
      </c>
      <c r="J21" s="126">
        <v>11500</v>
      </c>
      <c r="K21" s="79">
        <f t="shared" si="2"/>
        <v>11500</v>
      </c>
      <c r="L21" s="128">
        <f t="shared" si="3"/>
        <v>10867.5</v>
      </c>
      <c r="M21" s="130">
        <v>1</v>
      </c>
      <c r="N21" s="126">
        <v>658</v>
      </c>
      <c r="O21" s="80">
        <f t="shared" si="4"/>
        <v>658</v>
      </c>
      <c r="P21" s="81">
        <f t="shared" si="5"/>
        <v>621.80999999999995</v>
      </c>
      <c r="Q21" s="129">
        <v>50</v>
      </c>
      <c r="R21" s="131">
        <v>10.6</v>
      </c>
      <c r="S21" s="127">
        <f t="shared" si="6"/>
        <v>530</v>
      </c>
      <c r="T21" s="128">
        <f t="shared" si="7"/>
        <v>500.85</v>
      </c>
      <c r="U21" s="131">
        <v>166</v>
      </c>
      <c r="V21" s="81">
        <f t="shared" si="14"/>
        <v>156.87</v>
      </c>
      <c r="W21" s="132"/>
      <c r="X21" s="153"/>
      <c r="Y21" s="94"/>
      <c r="Z21" s="132"/>
      <c r="AA21" s="153"/>
      <c r="AB21" s="94"/>
      <c r="AC21" s="133"/>
      <c r="AD21" s="93" t="str">
        <f t="shared" si="8"/>
        <v/>
      </c>
      <c r="AE21" s="94" t="e">
        <f t="shared" si="9"/>
        <v>#VALUE!</v>
      </c>
      <c r="AF21" s="134" t="s">
        <v>85</v>
      </c>
      <c r="AG21" s="135">
        <v>0.01</v>
      </c>
      <c r="AH21" s="136">
        <f t="shared" si="10"/>
        <v>4.7250000000000009E-3</v>
      </c>
      <c r="AI21" s="126"/>
      <c r="AJ21" s="137"/>
      <c r="AK21" s="100" t="str">
        <f t="shared" ref="AK21:AK379" si="21">IF(AJ21="","",IF(AI21="&lt;",AJ21*(SUM(B15:B21)/1000)/2,AJ21*(SUM(B15:B21)/1000)))</f>
        <v/>
      </c>
      <c r="AL21" s="157"/>
      <c r="AM21" s="131">
        <v>27</v>
      </c>
      <c r="AN21" s="103">
        <f t="shared" si="12"/>
        <v>160.73099999999999</v>
      </c>
      <c r="AO21" s="134"/>
      <c r="AP21" s="155">
        <v>244</v>
      </c>
      <c r="AQ21" s="141">
        <f t="shared" si="15"/>
        <v>1452.5320000000002</v>
      </c>
      <c r="AR21" s="142"/>
      <c r="AS21" s="155">
        <v>1.34</v>
      </c>
      <c r="AT21" s="143">
        <f t="shared" si="16"/>
        <v>7.9770200000000004</v>
      </c>
      <c r="AU21" s="134"/>
      <c r="AV21" s="131">
        <v>33.840000000000003</v>
      </c>
      <c r="AW21" s="107">
        <f t="shared" si="17"/>
        <v>201.44952000000004</v>
      </c>
      <c r="AX21" s="113"/>
      <c r="AY21" s="131">
        <v>353.66</v>
      </c>
      <c r="AZ21" s="144">
        <f t="shared" si="18"/>
        <v>2105.3379800000002</v>
      </c>
      <c r="BA21" s="80"/>
      <c r="BB21" s="155">
        <v>5.24</v>
      </c>
      <c r="BC21" s="145">
        <f t="shared" si="19"/>
        <v>31.193720000000003</v>
      </c>
      <c r="BD21" s="113"/>
      <c r="BE21" s="158">
        <v>0.14000000000000001</v>
      </c>
      <c r="BF21" s="146">
        <f t="shared" si="20"/>
        <v>0.83342000000000016</v>
      </c>
      <c r="BG21" s="147" t="s">
        <v>84</v>
      </c>
      <c r="BH21" s="148"/>
      <c r="BI21" s="149" t="s">
        <v>90</v>
      </c>
      <c r="BJ21" s="150">
        <f>'Degrémont sortie'!BI21</f>
        <v>0</v>
      </c>
      <c r="BK21" s="151">
        <f>'Degrémont sortie'!BJ21</f>
        <v>0</v>
      </c>
    </row>
    <row r="22" spans="1:63" ht="15.75" customHeight="1" outlineLevel="1">
      <c r="A22" s="152">
        <f t="shared" si="13"/>
        <v>43474</v>
      </c>
      <c r="B22" s="122">
        <v>655</v>
      </c>
      <c r="C22" s="123">
        <v>7.9</v>
      </c>
      <c r="D22" s="124">
        <v>90.9</v>
      </c>
      <c r="E22" s="125">
        <v>320.8</v>
      </c>
      <c r="F22" s="126">
        <v>30</v>
      </c>
      <c r="G22" s="127">
        <f t="shared" si="0"/>
        <v>7663.333333333333</v>
      </c>
      <c r="H22" s="128">
        <f t="shared" si="1"/>
        <v>5019.4833333333327</v>
      </c>
      <c r="I22" s="129">
        <v>1</v>
      </c>
      <c r="J22" s="126">
        <v>8570</v>
      </c>
      <c r="K22" s="79">
        <f t="shared" si="2"/>
        <v>8570</v>
      </c>
      <c r="L22" s="128">
        <f t="shared" si="3"/>
        <v>5613.35</v>
      </c>
      <c r="M22" s="130">
        <v>1</v>
      </c>
      <c r="N22" s="126">
        <v>584</v>
      </c>
      <c r="O22" s="80">
        <f t="shared" si="4"/>
        <v>584</v>
      </c>
      <c r="P22" s="81">
        <f t="shared" si="5"/>
        <v>382.52</v>
      </c>
      <c r="Q22" s="129">
        <v>50</v>
      </c>
      <c r="R22" s="131">
        <v>7.65</v>
      </c>
      <c r="S22" s="127">
        <f t="shared" si="6"/>
        <v>382.5</v>
      </c>
      <c r="T22" s="128">
        <f t="shared" si="7"/>
        <v>250.53749999999999</v>
      </c>
      <c r="U22" s="113"/>
      <c r="V22" s="81">
        <f t="shared" si="14"/>
        <v>0</v>
      </c>
      <c r="W22" s="132"/>
      <c r="X22" s="153"/>
      <c r="Y22" s="94"/>
      <c r="Z22" s="132"/>
      <c r="AA22" s="153"/>
      <c r="AB22" s="94"/>
      <c r="AC22" s="133"/>
      <c r="AD22" s="93" t="str">
        <f t="shared" si="8"/>
        <v/>
      </c>
      <c r="AE22" s="94" t="e">
        <f t="shared" si="9"/>
        <v>#VALUE!</v>
      </c>
      <c r="AF22" s="134" t="s">
        <v>85</v>
      </c>
      <c r="AG22" s="135">
        <v>0.01</v>
      </c>
      <c r="AH22" s="136">
        <f t="shared" si="10"/>
        <v>3.2749999999999997E-3</v>
      </c>
      <c r="AI22" s="80"/>
      <c r="AJ22" s="154"/>
      <c r="AK22" s="100" t="str">
        <f t="shared" si="21"/>
        <v/>
      </c>
      <c r="AL22" s="138"/>
      <c r="AM22" s="113"/>
      <c r="AN22" s="103" t="str">
        <f t="shared" si="12"/>
        <v/>
      </c>
      <c r="AO22" s="139"/>
      <c r="AP22" s="140"/>
      <c r="AQ22" s="141" t="str">
        <f t="shared" si="15"/>
        <v/>
      </c>
      <c r="AR22" s="142"/>
      <c r="AS22" s="140"/>
      <c r="AT22" s="143" t="str">
        <f t="shared" si="16"/>
        <v/>
      </c>
      <c r="AU22" s="139"/>
      <c r="AV22" s="113"/>
      <c r="AW22" s="107" t="str">
        <f t="shared" si="17"/>
        <v/>
      </c>
      <c r="AX22" s="113"/>
      <c r="AY22" s="113"/>
      <c r="AZ22" s="144" t="str">
        <f t="shared" si="18"/>
        <v/>
      </c>
      <c r="BA22" s="80"/>
      <c r="BB22" s="140"/>
      <c r="BC22" s="145" t="str">
        <f t="shared" si="19"/>
        <v/>
      </c>
      <c r="BD22" s="113"/>
      <c r="BE22" s="114"/>
      <c r="BF22" s="146" t="str">
        <f t="shared" si="20"/>
        <v/>
      </c>
      <c r="BG22" s="147" t="s">
        <v>84</v>
      </c>
      <c r="BH22" s="148"/>
      <c r="BI22" s="156"/>
      <c r="BJ22" s="150">
        <f>'Degrémont sortie'!BI22</f>
        <v>0</v>
      </c>
      <c r="BK22" s="151">
        <f>'Degrémont sortie'!BJ22</f>
        <v>0</v>
      </c>
    </row>
    <row r="23" spans="1:63" ht="15.75" customHeight="1" outlineLevel="1">
      <c r="A23" s="121">
        <f t="shared" si="13"/>
        <v>43475</v>
      </c>
      <c r="B23" s="122">
        <v>872</v>
      </c>
      <c r="C23" s="123">
        <v>8.3000000000000007</v>
      </c>
      <c r="D23" s="124">
        <v>86.9</v>
      </c>
      <c r="E23" s="125">
        <v>239.2</v>
      </c>
      <c r="F23" s="126">
        <v>25</v>
      </c>
      <c r="G23" s="127">
        <f t="shared" si="0"/>
        <v>6091.9999999999991</v>
      </c>
      <c r="H23" s="128">
        <f t="shared" si="1"/>
        <v>5312.2239999999993</v>
      </c>
      <c r="I23" s="129">
        <v>1</v>
      </c>
      <c r="J23" s="126">
        <v>5709</v>
      </c>
      <c r="K23" s="79">
        <f t="shared" si="2"/>
        <v>5709</v>
      </c>
      <c r="L23" s="128">
        <f t="shared" si="3"/>
        <v>4978.2479999999996</v>
      </c>
      <c r="M23" s="130">
        <v>1</v>
      </c>
      <c r="N23" s="126">
        <v>783</v>
      </c>
      <c r="O23" s="80">
        <f t="shared" si="4"/>
        <v>783</v>
      </c>
      <c r="P23" s="81">
        <f t="shared" si="5"/>
        <v>682.77599999999995</v>
      </c>
      <c r="Q23" s="129">
        <v>20</v>
      </c>
      <c r="R23" s="131">
        <v>16.600000000000001</v>
      </c>
      <c r="S23" s="127">
        <f t="shared" si="6"/>
        <v>332</v>
      </c>
      <c r="T23" s="128">
        <f t="shared" si="7"/>
        <v>289.50400000000002</v>
      </c>
      <c r="U23" s="113"/>
      <c r="V23" s="81">
        <f t="shared" si="14"/>
        <v>0</v>
      </c>
      <c r="W23" s="132"/>
      <c r="X23" s="153"/>
      <c r="Y23" s="94"/>
      <c r="Z23" s="132"/>
      <c r="AA23" s="153"/>
      <c r="AB23" s="94"/>
      <c r="AC23" s="133"/>
      <c r="AD23" s="93" t="str">
        <f t="shared" si="8"/>
        <v/>
      </c>
      <c r="AE23" s="94" t="e">
        <f t="shared" si="9"/>
        <v>#VALUE!</v>
      </c>
      <c r="AF23" s="134" t="s">
        <v>85</v>
      </c>
      <c r="AG23" s="135">
        <v>0.01</v>
      </c>
      <c r="AH23" s="136">
        <f t="shared" si="10"/>
        <v>4.3600000000000002E-3</v>
      </c>
      <c r="AI23" s="80"/>
      <c r="AJ23" s="154"/>
      <c r="AK23" s="100" t="str">
        <f t="shared" si="21"/>
        <v/>
      </c>
      <c r="AL23" s="138"/>
      <c r="AM23" s="113"/>
      <c r="AN23" s="103" t="str">
        <f t="shared" si="12"/>
        <v/>
      </c>
      <c r="AO23" s="139"/>
      <c r="AP23" s="140"/>
      <c r="AQ23" s="141" t="str">
        <f t="shared" si="15"/>
        <v/>
      </c>
      <c r="AR23" s="142"/>
      <c r="AS23" s="140"/>
      <c r="AT23" s="143" t="str">
        <f t="shared" si="16"/>
        <v/>
      </c>
      <c r="AU23" s="139"/>
      <c r="AV23" s="113"/>
      <c r="AW23" s="107" t="str">
        <f t="shared" si="17"/>
        <v/>
      </c>
      <c r="AX23" s="113"/>
      <c r="AY23" s="113"/>
      <c r="AZ23" s="144" t="str">
        <f t="shared" si="18"/>
        <v/>
      </c>
      <c r="BA23" s="80"/>
      <c r="BB23" s="140"/>
      <c r="BC23" s="145" t="str">
        <f t="shared" si="19"/>
        <v/>
      </c>
      <c r="BD23" s="113"/>
      <c r="BE23" s="114"/>
      <c r="BF23" s="146" t="str">
        <f t="shared" si="20"/>
        <v/>
      </c>
      <c r="BG23" s="147" t="s">
        <v>84</v>
      </c>
      <c r="BH23" s="148"/>
      <c r="BI23" s="149" t="s">
        <v>91</v>
      </c>
      <c r="BJ23" s="150">
        <f>'Degrémont sortie'!BI23</f>
        <v>0</v>
      </c>
      <c r="BK23" s="151">
        <f>'Degrémont sortie'!BJ23</f>
        <v>0</v>
      </c>
    </row>
    <row r="24" spans="1:63" ht="15.75" customHeight="1" outlineLevel="1">
      <c r="A24" s="152">
        <f t="shared" si="13"/>
        <v>43476</v>
      </c>
      <c r="B24" s="122">
        <v>934</v>
      </c>
      <c r="C24" s="123">
        <v>7.5</v>
      </c>
      <c r="D24" s="124">
        <v>89</v>
      </c>
      <c r="E24" s="125">
        <v>183.5</v>
      </c>
      <c r="F24" s="126">
        <v>30</v>
      </c>
      <c r="G24" s="127">
        <f t="shared" si="0"/>
        <v>3150</v>
      </c>
      <c r="H24" s="128">
        <f t="shared" si="1"/>
        <v>2942.1</v>
      </c>
      <c r="I24" s="129">
        <v>1</v>
      </c>
      <c r="J24" s="126">
        <v>4267</v>
      </c>
      <c r="K24" s="79">
        <f t="shared" si="2"/>
        <v>4267</v>
      </c>
      <c r="L24" s="128">
        <f t="shared" si="3"/>
        <v>3985.3780000000002</v>
      </c>
      <c r="M24" s="130">
        <v>1</v>
      </c>
      <c r="N24" s="126">
        <v>1337</v>
      </c>
      <c r="O24" s="80">
        <f t="shared" si="4"/>
        <v>1337</v>
      </c>
      <c r="P24" s="81">
        <f t="shared" si="5"/>
        <v>1248.758</v>
      </c>
      <c r="Q24" s="129">
        <v>20</v>
      </c>
      <c r="R24" s="131">
        <v>9.5500000000000007</v>
      </c>
      <c r="S24" s="127">
        <f t="shared" si="6"/>
        <v>191</v>
      </c>
      <c r="T24" s="128">
        <f t="shared" si="7"/>
        <v>178.39400000000001</v>
      </c>
      <c r="U24" s="113"/>
      <c r="V24" s="81">
        <f t="shared" si="14"/>
        <v>0</v>
      </c>
      <c r="W24" s="132"/>
      <c r="X24" s="153"/>
      <c r="Y24" s="94"/>
      <c r="Z24" s="132"/>
      <c r="AA24" s="153"/>
      <c r="AB24" s="94"/>
      <c r="AC24" s="133"/>
      <c r="AD24" s="93" t="str">
        <f t="shared" si="8"/>
        <v/>
      </c>
      <c r="AE24" s="94" t="e">
        <f t="shared" si="9"/>
        <v>#VALUE!</v>
      </c>
      <c r="AF24" s="134" t="s">
        <v>85</v>
      </c>
      <c r="AG24" s="135">
        <v>0.01</v>
      </c>
      <c r="AH24" s="136">
        <f t="shared" si="10"/>
        <v>4.6699999999999997E-3</v>
      </c>
      <c r="AI24" s="80"/>
      <c r="AJ24" s="154"/>
      <c r="AK24" s="100" t="str">
        <f t="shared" si="21"/>
        <v/>
      </c>
      <c r="AL24" s="138"/>
      <c r="AM24" s="113"/>
      <c r="AN24" s="103" t="str">
        <f t="shared" si="12"/>
        <v/>
      </c>
      <c r="AO24" s="139"/>
      <c r="AP24" s="140"/>
      <c r="AQ24" s="141" t="str">
        <f t="shared" si="15"/>
        <v/>
      </c>
      <c r="AR24" s="142"/>
      <c r="AS24" s="140"/>
      <c r="AT24" s="143" t="str">
        <f t="shared" si="16"/>
        <v/>
      </c>
      <c r="AU24" s="139"/>
      <c r="AV24" s="113"/>
      <c r="AW24" s="107" t="str">
        <f t="shared" si="17"/>
        <v/>
      </c>
      <c r="AX24" s="113"/>
      <c r="AY24" s="113"/>
      <c r="AZ24" s="144" t="str">
        <f t="shared" si="18"/>
        <v/>
      </c>
      <c r="BA24" s="80"/>
      <c r="BB24" s="140"/>
      <c r="BC24" s="145" t="str">
        <f t="shared" si="19"/>
        <v/>
      </c>
      <c r="BD24" s="113"/>
      <c r="BE24" s="114"/>
      <c r="BF24" s="146" t="str">
        <f t="shared" si="20"/>
        <v/>
      </c>
      <c r="BG24" s="147" t="s">
        <v>84</v>
      </c>
      <c r="BH24" s="148"/>
      <c r="BI24" s="149" t="s">
        <v>92</v>
      </c>
      <c r="BJ24" s="150">
        <f>'Degrémont sortie'!BI24</f>
        <v>0</v>
      </c>
      <c r="BK24" s="151">
        <f>'Degrémont sortie'!BJ24</f>
        <v>0</v>
      </c>
    </row>
    <row r="25" spans="1:63" ht="15.75" customHeight="1" outlineLevel="1">
      <c r="A25" s="121">
        <f t="shared" si="13"/>
        <v>43477</v>
      </c>
      <c r="B25" s="159">
        <v>683</v>
      </c>
      <c r="C25" s="160">
        <v>7.9</v>
      </c>
      <c r="D25" s="161">
        <v>89.9</v>
      </c>
      <c r="E25" s="162">
        <v>92</v>
      </c>
      <c r="F25" s="163">
        <v>34</v>
      </c>
      <c r="G25" s="127">
        <f t="shared" si="0"/>
        <v>61.764705882352779</v>
      </c>
      <c r="H25" s="128">
        <f t="shared" si="1"/>
        <v>42.185294117646947</v>
      </c>
      <c r="I25" s="164">
        <v>1</v>
      </c>
      <c r="J25" s="163">
        <v>1203</v>
      </c>
      <c r="K25" s="79">
        <f t="shared" si="2"/>
        <v>1203</v>
      </c>
      <c r="L25" s="128">
        <f t="shared" si="3"/>
        <v>821.649</v>
      </c>
      <c r="M25" s="165">
        <v>1</v>
      </c>
      <c r="N25" s="163">
        <v>1182</v>
      </c>
      <c r="O25" s="80">
        <f t="shared" si="4"/>
        <v>1182</v>
      </c>
      <c r="P25" s="81">
        <f t="shared" si="5"/>
        <v>807.30600000000004</v>
      </c>
      <c r="Q25" s="164">
        <v>1</v>
      </c>
      <c r="R25" s="166">
        <v>19.3</v>
      </c>
      <c r="S25" s="127">
        <f t="shared" si="6"/>
        <v>19.3</v>
      </c>
      <c r="T25" s="128">
        <f t="shared" si="7"/>
        <v>13.181899999999999</v>
      </c>
      <c r="U25" s="167"/>
      <c r="V25" s="81">
        <f t="shared" si="14"/>
        <v>0</v>
      </c>
      <c r="W25" s="168"/>
      <c r="X25" s="169"/>
      <c r="Y25" s="94"/>
      <c r="Z25" s="168"/>
      <c r="AA25" s="169"/>
      <c r="AB25" s="170"/>
      <c r="AC25" s="171"/>
      <c r="AD25" s="93" t="str">
        <f t="shared" si="8"/>
        <v/>
      </c>
      <c r="AE25" s="94" t="e">
        <f t="shared" si="9"/>
        <v>#VALUE!</v>
      </c>
      <c r="AF25" s="172" t="s">
        <v>85</v>
      </c>
      <c r="AG25" s="173">
        <v>0.01</v>
      </c>
      <c r="AH25" s="136">
        <f t="shared" si="10"/>
        <v>3.4150000000000001E-3</v>
      </c>
      <c r="AI25" s="174"/>
      <c r="AJ25" s="175"/>
      <c r="AK25" s="100" t="str">
        <f t="shared" si="21"/>
        <v/>
      </c>
      <c r="AL25" s="176"/>
      <c r="AM25" s="167"/>
      <c r="AN25" s="103" t="str">
        <f t="shared" si="12"/>
        <v/>
      </c>
      <c r="AO25" s="177"/>
      <c r="AP25" s="178"/>
      <c r="AQ25" s="141" t="str">
        <f t="shared" si="15"/>
        <v/>
      </c>
      <c r="AR25" s="179"/>
      <c r="AS25" s="178"/>
      <c r="AT25" s="143" t="str">
        <f t="shared" si="16"/>
        <v/>
      </c>
      <c r="AU25" s="177"/>
      <c r="AV25" s="167"/>
      <c r="AW25" s="107" t="str">
        <f t="shared" si="17"/>
        <v/>
      </c>
      <c r="AX25" s="167"/>
      <c r="AY25" s="167"/>
      <c r="AZ25" s="144" t="str">
        <f t="shared" si="18"/>
        <v/>
      </c>
      <c r="BA25" s="174"/>
      <c r="BB25" s="178"/>
      <c r="BC25" s="145" t="str">
        <f t="shared" si="19"/>
        <v/>
      </c>
      <c r="BD25" s="167"/>
      <c r="BE25" s="180"/>
      <c r="BF25" s="146" t="str">
        <f t="shared" si="20"/>
        <v/>
      </c>
      <c r="BG25" s="147" t="s">
        <v>84</v>
      </c>
      <c r="BH25" s="181"/>
      <c r="BI25" s="182" t="s">
        <v>93</v>
      </c>
      <c r="BJ25" s="150">
        <f>'Degrémont sortie'!BI25</f>
        <v>0</v>
      </c>
      <c r="BK25" s="151">
        <f>'Degrémont sortie'!BJ25</f>
        <v>0</v>
      </c>
    </row>
    <row r="26" spans="1:63" ht="14.25" outlineLevel="1">
      <c r="A26" s="152">
        <f t="shared" si="13"/>
        <v>43478</v>
      </c>
      <c r="B26" s="183">
        <v>293</v>
      </c>
      <c r="C26" s="184">
        <v>7.8</v>
      </c>
      <c r="D26" s="185">
        <v>89.4</v>
      </c>
      <c r="E26" s="186">
        <v>205.9</v>
      </c>
      <c r="F26" s="187">
        <v>24</v>
      </c>
      <c r="G26" s="127">
        <f t="shared" si="0"/>
        <v>4854.166666666667</v>
      </c>
      <c r="H26" s="128">
        <f t="shared" si="1"/>
        <v>1422.2708333333335</v>
      </c>
      <c r="I26" s="188">
        <v>1</v>
      </c>
      <c r="J26" s="187">
        <v>5534</v>
      </c>
      <c r="K26" s="79">
        <f t="shared" si="2"/>
        <v>5534</v>
      </c>
      <c r="L26" s="128">
        <f t="shared" si="3"/>
        <v>1621.462</v>
      </c>
      <c r="M26" s="189">
        <v>1</v>
      </c>
      <c r="N26" s="187">
        <v>1014</v>
      </c>
      <c r="O26" s="80">
        <f t="shared" si="4"/>
        <v>1014</v>
      </c>
      <c r="P26" s="81">
        <f t="shared" si="5"/>
        <v>297.10199999999998</v>
      </c>
      <c r="Q26" s="188">
        <v>20</v>
      </c>
      <c r="R26" s="190">
        <v>10.6</v>
      </c>
      <c r="S26" s="127">
        <f t="shared" si="6"/>
        <v>212</v>
      </c>
      <c r="T26" s="128">
        <f t="shared" si="7"/>
        <v>62.116</v>
      </c>
      <c r="U26" s="191"/>
      <c r="V26" s="81">
        <f t="shared" si="14"/>
        <v>0</v>
      </c>
      <c r="W26" s="132"/>
      <c r="X26" s="153"/>
      <c r="Y26" s="94"/>
      <c r="Z26" s="132"/>
      <c r="AA26" s="153"/>
      <c r="AB26" s="94"/>
      <c r="AC26" s="133"/>
      <c r="AD26" s="93" t="str">
        <f t="shared" si="8"/>
        <v/>
      </c>
      <c r="AE26" s="94" t="e">
        <f t="shared" si="9"/>
        <v>#VALUE!</v>
      </c>
      <c r="AF26" s="192" t="s">
        <v>85</v>
      </c>
      <c r="AG26" s="193">
        <v>0.01</v>
      </c>
      <c r="AH26" s="136">
        <f t="shared" si="10"/>
        <v>1.4650000000000002E-3</v>
      </c>
      <c r="AI26" s="80"/>
      <c r="AJ26" s="154"/>
      <c r="AK26" s="100" t="str">
        <f t="shared" si="21"/>
        <v/>
      </c>
      <c r="AL26" s="194"/>
      <c r="AM26" s="191"/>
      <c r="AN26" s="103" t="str">
        <f t="shared" si="12"/>
        <v/>
      </c>
      <c r="AO26" s="195"/>
      <c r="AP26" s="196"/>
      <c r="AQ26" s="141" t="str">
        <f t="shared" si="15"/>
        <v/>
      </c>
      <c r="AR26" s="197"/>
      <c r="AS26" s="196"/>
      <c r="AT26" s="143" t="str">
        <f t="shared" si="16"/>
        <v/>
      </c>
      <c r="AU26" s="195"/>
      <c r="AV26" s="191"/>
      <c r="AW26" s="107" t="str">
        <f t="shared" si="17"/>
        <v/>
      </c>
      <c r="AX26" s="191"/>
      <c r="AY26" s="191"/>
      <c r="AZ26" s="144" t="str">
        <f t="shared" si="18"/>
        <v/>
      </c>
      <c r="BA26" s="198"/>
      <c r="BB26" s="196"/>
      <c r="BC26" s="145" t="str">
        <f t="shared" si="19"/>
        <v/>
      </c>
      <c r="BD26" s="191"/>
      <c r="BE26" s="199"/>
      <c r="BF26" s="146" t="str">
        <f t="shared" si="20"/>
        <v/>
      </c>
      <c r="BG26" s="147" t="s">
        <v>84</v>
      </c>
      <c r="BH26" s="200"/>
      <c r="BI26" s="201" t="s">
        <v>94</v>
      </c>
      <c r="BJ26" s="150">
        <f>'Degrémont sortie'!BI26</f>
        <v>0</v>
      </c>
      <c r="BK26" s="151">
        <f>'Degrémont sortie'!BJ26</f>
        <v>0</v>
      </c>
    </row>
    <row r="27" spans="1:63" ht="14.25" outlineLevel="1">
      <c r="A27" s="121">
        <f t="shared" si="13"/>
        <v>43479</v>
      </c>
      <c r="B27" s="122">
        <v>868</v>
      </c>
      <c r="C27" s="123">
        <v>8</v>
      </c>
      <c r="D27" s="124">
        <v>92</v>
      </c>
      <c r="E27" s="125">
        <v>350.9</v>
      </c>
      <c r="F27" s="126">
        <v>27</v>
      </c>
      <c r="G27" s="127">
        <f t="shared" si="0"/>
        <v>9588.8888888888887</v>
      </c>
      <c r="H27" s="128">
        <f t="shared" si="1"/>
        <v>8323.1555555555551</v>
      </c>
      <c r="I27" s="129">
        <v>1</v>
      </c>
      <c r="J27" s="126">
        <v>8480</v>
      </c>
      <c r="K27" s="79">
        <f t="shared" si="2"/>
        <v>8480</v>
      </c>
      <c r="L27" s="128">
        <f t="shared" si="3"/>
        <v>7360.64</v>
      </c>
      <c r="M27" s="130">
        <v>1</v>
      </c>
      <c r="N27" s="126">
        <v>1008</v>
      </c>
      <c r="O27" s="80">
        <f t="shared" si="4"/>
        <v>1008</v>
      </c>
      <c r="P27" s="81">
        <f t="shared" si="5"/>
        <v>874.94399999999996</v>
      </c>
      <c r="Q27" s="129">
        <v>20</v>
      </c>
      <c r="R27" s="131">
        <v>20.9</v>
      </c>
      <c r="S27" s="127">
        <f t="shared" si="6"/>
        <v>418</v>
      </c>
      <c r="T27" s="128">
        <f t="shared" si="7"/>
        <v>362.82400000000001</v>
      </c>
      <c r="U27" s="113"/>
      <c r="V27" s="81">
        <f t="shared" si="14"/>
        <v>0</v>
      </c>
      <c r="W27" s="132"/>
      <c r="X27" s="153"/>
      <c r="Y27" s="94"/>
      <c r="Z27" s="132"/>
      <c r="AA27" s="153"/>
      <c r="AB27" s="94"/>
      <c r="AC27" s="133"/>
      <c r="AD27" s="93" t="str">
        <f t="shared" si="8"/>
        <v/>
      </c>
      <c r="AE27" s="94" t="e">
        <f t="shared" si="9"/>
        <v>#VALUE!</v>
      </c>
      <c r="AF27" s="134" t="s">
        <v>85</v>
      </c>
      <c r="AG27" s="135">
        <v>0.01</v>
      </c>
      <c r="AH27" s="136">
        <f t="shared" si="10"/>
        <v>4.3400000000000001E-3</v>
      </c>
      <c r="AI27" s="80"/>
      <c r="AJ27" s="154"/>
      <c r="AK27" s="100" t="str">
        <f t="shared" si="21"/>
        <v/>
      </c>
      <c r="AL27" s="138"/>
      <c r="AM27" s="113"/>
      <c r="AN27" s="103" t="str">
        <f t="shared" si="12"/>
        <v/>
      </c>
      <c r="AO27" s="139"/>
      <c r="AP27" s="140"/>
      <c r="AQ27" s="141" t="str">
        <f t="shared" si="15"/>
        <v/>
      </c>
      <c r="AR27" s="142"/>
      <c r="AS27" s="140"/>
      <c r="AT27" s="143" t="str">
        <f t="shared" si="16"/>
        <v/>
      </c>
      <c r="AU27" s="139"/>
      <c r="AV27" s="113"/>
      <c r="AW27" s="107" t="str">
        <f t="shared" si="17"/>
        <v/>
      </c>
      <c r="AX27" s="113"/>
      <c r="AY27" s="113"/>
      <c r="AZ27" s="144" t="str">
        <f t="shared" si="18"/>
        <v/>
      </c>
      <c r="BA27" s="80"/>
      <c r="BB27" s="140"/>
      <c r="BC27" s="145" t="str">
        <f t="shared" si="19"/>
        <v/>
      </c>
      <c r="BD27" s="113"/>
      <c r="BE27" s="114"/>
      <c r="BF27" s="146" t="str">
        <f t="shared" si="20"/>
        <v/>
      </c>
      <c r="BG27" s="147" t="s">
        <v>84</v>
      </c>
      <c r="BH27" s="148"/>
      <c r="BI27" s="149" t="s">
        <v>96</v>
      </c>
      <c r="BJ27" s="150">
        <f>'Degrémont sortie'!BI27</f>
        <v>0</v>
      </c>
      <c r="BK27" s="151">
        <f>'Degrémont sortie'!BJ27</f>
        <v>0</v>
      </c>
    </row>
    <row r="28" spans="1:63" ht="14.25" outlineLevel="1">
      <c r="A28" s="152">
        <f t="shared" si="13"/>
        <v>43480</v>
      </c>
      <c r="B28" s="122">
        <v>962</v>
      </c>
      <c r="C28" s="123">
        <v>8.1</v>
      </c>
      <c r="D28" s="124">
        <v>90.9</v>
      </c>
      <c r="E28" s="125">
        <v>506.8</v>
      </c>
      <c r="F28" s="126">
        <v>34</v>
      </c>
      <c r="G28" s="127">
        <f t="shared" si="0"/>
        <v>12232.35294117647</v>
      </c>
      <c r="H28" s="128">
        <f t="shared" si="1"/>
        <v>11767.523529411765</v>
      </c>
      <c r="I28" s="129">
        <v>1</v>
      </c>
      <c r="J28" s="126">
        <v>12900</v>
      </c>
      <c r="K28" s="79">
        <f t="shared" si="2"/>
        <v>12900</v>
      </c>
      <c r="L28" s="128">
        <f t="shared" si="3"/>
        <v>12409.8</v>
      </c>
      <c r="M28" s="130">
        <v>1</v>
      </c>
      <c r="N28" s="126">
        <v>986</v>
      </c>
      <c r="O28" s="80">
        <f t="shared" si="4"/>
        <v>986</v>
      </c>
      <c r="P28" s="81">
        <f t="shared" si="5"/>
        <v>948.53200000000004</v>
      </c>
      <c r="Q28" s="129">
        <v>50</v>
      </c>
      <c r="R28" s="131">
        <v>9.64</v>
      </c>
      <c r="S28" s="127">
        <f t="shared" si="6"/>
        <v>482</v>
      </c>
      <c r="T28" s="128">
        <f t="shared" si="7"/>
        <v>463.68400000000003</v>
      </c>
      <c r="U28" s="131">
        <v>114</v>
      </c>
      <c r="V28" s="81">
        <f t="shared" si="14"/>
        <v>109.66800000000001</v>
      </c>
      <c r="W28" s="132"/>
      <c r="X28" s="153"/>
      <c r="Y28" s="94"/>
      <c r="Z28" s="132"/>
      <c r="AA28" s="153"/>
      <c r="AB28" s="94"/>
      <c r="AC28" s="133"/>
      <c r="AD28" s="93" t="str">
        <f t="shared" si="8"/>
        <v/>
      </c>
      <c r="AE28" s="94" t="e">
        <f t="shared" si="9"/>
        <v>#VALUE!</v>
      </c>
      <c r="AF28" s="134" t="s">
        <v>85</v>
      </c>
      <c r="AG28" s="135">
        <v>0.01</v>
      </c>
      <c r="AH28" s="136">
        <f t="shared" si="10"/>
        <v>4.8100000000000009E-3</v>
      </c>
      <c r="AI28" s="80"/>
      <c r="AJ28" s="154"/>
      <c r="AK28" s="100" t="str">
        <f t="shared" si="21"/>
        <v/>
      </c>
      <c r="AL28" s="138"/>
      <c r="AM28" s="131">
        <v>73</v>
      </c>
      <c r="AN28" s="103">
        <f t="shared" si="12"/>
        <v>511.65700000000004</v>
      </c>
      <c r="AO28" s="139"/>
      <c r="AP28" s="155">
        <v>256.08</v>
      </c>
      <c r="AQ28" s="141">
        <f t="shared" si="15"/>
        <v>1794.86472</v>
      </c>
      <c r="AR28" s="142"/>
      <c r="AS28" s="155">
        <v>0.99</v>
      </c>
      <c r="AT28" s="143">
        <f t="shared" si="16"/>
        <v>6.9389099999999999</v>
      </c>
      <c r="AU28" s="139"/>
      <c r="AV28" s="131">
        <v>32.409999999999997</v>
      </c>
      <c r="AW28" s="107">
        <f t="shared" si="17"/>
        <v>227.16168999999999</v>
      </c>
      <c r="AX28" s="113"/>
      <c r="AY28" s="131">
        <v>359.46</v>
      </c>
      <c r="AZ28" s="144">
        <f t="shared" si="18"/>
        <v>2519.45514</v>
      </c>
      <c r="BA28" s="80"/>
      <c r="BB28" s="155">
        <v>6.33</v>
      </c>
      <c r="BC28" s="145">
        <f t="shared" si="19"/>
        <v>44.366970000000002</v>
      </c>
      <c r="BD28" s="113"/>
      <c r="BE28" s="158">
        <v>0.16</v>
      </c>
      <c r="BF28" s="146">
        <f t="shared" si="20"/>
        <v>1.12144</v>
      </c>
      <c r="BG28" s="147" t="s">
        <v>84</v>
      </c>
      <c r="BH28" s="148"/>
      <c r="BI28" s="149" t="s">
        <v>96</v>
      </c>
      <c r="BJ28" s="150">
        <f>'Degrémont sortie'!BI28</f>
        <v>0</v>
      </c>
      <c r="BK28" s="151">
        <f>'Degrémont sortie'!BJ28</f>
        <v>0</v>
      </c>
    </row>
    <row r="29" spans="1:63" ht="14.25" outlineLevel="1">
      <c r="A29" s="121">
        <f t="shared" si="13"/>
        <v>43481</v>
      </c>
      <c r="B29" s="122">
        <v>797</v>
      </c>
      <c r="C29" s="123">
        <v>7.8</v>
      </c>
      <c r="D29" s="124">
        <v>90.5</v>
      </c>
      <c r="E29" s="125">
        <v>352</v>
      </c>
      <c r="F29" s="126">
        <v>26</v>
      </c>
      <c r="G29" s="127">
        <f t="shared" si="0"/>
        <v>10057.692307692309</v>
      </c>
      <c r="H29" s="128">
        <f t="shared" si="1"/>
        <v>8015.9807692307695</v>
      </c>
      <c r="I29" s="129">
        <v>1</v>
      </c>
      <c r="J29" s="126">
        <v>11700</v>
      </c>
      <c r="K29" s="79">
        <f t="shared" si="2"/>
        <v>11700</v>
      </c>
      <c r="L29" s="128">
        <f t="shared" si="3"/>
        <v>9324.9</v>
      </c>
      <c r="M29" s="130">
        <v>1</v>
      </c>
      <c r="N29" s="126">
        <v>925</v>
      </c>
      <c r="O29" s="80">
        <f t="shared" si="4"/>
        <v>925</v>
      </c>
      <c r="P29" s="81">
        <f t="shared" si="5"/>
        <v>737.22500000000002</v>
      </c>
      <c r="Q29" s="129">
        <v>50</v>
      </c>
      <c r="R29" s="131">
        <v>11.2</v>
      </c>
      <c r="S29" s="127">
        <f t="shared" si="6"/>
        <v>560</v>
      </c>
      <c r="T29" s="128">
        <f t="shared" si="7"/>
        <v>446.32</v>
      </c>
      <c r="U29" s="113"/>
      <c r="V29" s="81">
        <f t="shared" si="14"/>
        <v>0</v>
      </c>
      <c r="W29" s="132"/>
      <c r="X29" s="153"/>
      <c r="Y29" s="94"/>
      <c r="Z29" s="132"/>
      <c r="AA29" s="153"/>
      <c r="AB29" s="94"/>
      <c r="AC29" s="133"/>
      <c r="AD29" s="93" t="str">
        <f t="shared" si="8"/>
        <v/>
      </c>
      <c r="AE29" s="94" t="e">
        <f t="shared" si="9"/>
        <v>#VALUE!</v>
      </c>
      <c r="AF29" s="134" t="s">
        <v>85</v>
      </c>
      <c r="AG29" s="135">
        <v>0.01</v>
      </c>
      <c r="AH29" s="136">
        <f t="shared" si="10"/>
        <v>3.9849999999999998E-3</v>
      </c>
      <c r="AI29" s="80"/>
      <c r="AJ29" s="154"/>
      <c r="AK29" s="100" t="str">
        <f t="shared" si="21"/>
        <v/>
      </c>
      <c r="AL29" s="138"/>
      <c r="AM29" s="113"/>
      <c r="AN29" s="103" t="str">
        <f t="shared" si="12"/>
        <v/>
      </c>
      <c r="AO29" s="139"/>
      <c r="AP29" s="140"/>
      <c r="AQ29" s="141" t="str">
        <f t="shared" si="15"/>
        <v/>
      </c>
      <c r="AR29" s="142"/>
      <c r="AS29" s="140"/>
      <c r="AT29" s="143" t="str">
        <f t="shared" si="16"/>
        <v/>
      </c>
      <c r="AU29" s="139"/>
      <c r="AV29" s="113"/>
      <c r="AW29" s="107" t="str">
        <f t="shared" si="17"/>
        <v/>
      </c>
      <c r="AX29" s="113"/>
      <c r="AY29" s="113"/>
      <c r="AZ29" s="144" t="str">
        <f t="shared" si="18"/>
        <v/>
      </c>
      <c r="BA29" s="80"/>
      <c r="BB29" s="140"/>
      <c r="BC29" s="145" t="str">
        <f t="shared" si="19"/>
        <v/>
      </c>
      <c r="BD29" s="113"/>
      <c r="BE29" s="114"/>
      <c r="BF29" s="146" t="str">
        <f t="shared" si="20"/>
        <v/>
      </c>
      <c r="BG29" s="147" t="s">
        <v>84</v>
      </c>
      <c r="BH29" s="148"/>
      <c r="BI29" s="149" t="s">
        <v>96</v>
      </c>
      <c r="BJ29" s="150">
        <f>'Degrémont sortie'!BI29</f>
        <v>0</v>
      </c>
      <c r="BK29" s="151">
        <f>'Degrémont sortie'!BJ29</f>
        <v>0</v>
      </c>
    </row>
    <row r="30" spans="1:63" ht="14.25" outlineLevel="1">
      <c r="A30" s="152">
        <f t="shared" si="13"/>
        <v>43482</v>
      </c>
      <c r="B30" s="122">
        <v>649</v>
      </c>
      <c r="C30" s="123">
        <v>7.5</v>
      </c>
      <c r="D30" s="124">
        <v>90.2</v>
      </c>
      <c r="E30" s="125">
        <v>364.5</v>
      </c>
      <c r="F30" s="126">
        <v>26</v>
      </c>
      <c r="G30" s="127">
        <f t="shared" si="0"/>
        <v>10550</v>
      </c>
      <c r="H30" s="128">
        <f t="shared" si="1"/>
        <v>6846.95</v>
      </c>
      <c r="I30" s="129">
        <v>1</v>
      </c>
      <c r="J30" s="126">
        <v>9249</v>
      </c>
      <c r="K30" s="79">
        <f t="shared" si="2"/>
        <v>9249</v>
      </c>
      <c r="L30" s="128">
        <f t="shared" si="3"/>
        <v>6002.6009999999997</v>
      </c>
      <c r="M30" s="130">
        <v>1</v>
      </c>
      <c r="N30" s="126">
        <v>480</v>
      </c>
      <c r="O30" s="80">
        <f t="shared" si="4"/>
        <v>480</v>
      </c>
      <c r="P30" s="81">
        <f t="shared" si="5"/>
        <v>311.52</v>
      </c>
      <c r="Q30" s="129">
        <v>50</v>
      </c>
      <c r="R30" s="131">
        <v>21.2</v>
      </c>
      <c r="S30" s="127">
        <f t="shared" si="6"/>
        <v>1060</v>
      </c>
      <c r="T30" s="128">
        <f t="shared" si="7"/>
        <v>687.94</v>
      </c>
      <c r="U30" s="113"/>
      <c r="V30" s="81">
        <f t="shared" si="14"/>
        <v>0</v>
      </c>
      <c r="W30" s="132"/>
      <c r="X30" s="153"/>
      <c r="Y30" s="94"/>
      <c r="Z30" s="132"/>
      <c r="AA30" s="153"/>
      <c r="AB30" s="94"/>
      <c r="AC30" s="133"/>
      <c r="AD30" s="93" t="str">
        <f t="shared" si="8"/>
        <v/>
      </c>
      <c r="AE30" s="94" t="e">
        <f t="shared" si="9"/>
        <v>#VALUE!</v>
      </c>
      <c r="AF30" s="134" t="s">
        <v>85</v>
      </c>
      <c r="AG30" s="135">
        <v>0.01</v>
      </c>
      <c r="AH30" s="136">
        <f t="shared" si="10"/>
        <v>3.2450000000000001E-3</v>
      </c>
      <c r="AI30" s="80"/>
      <c r="AJ30" s="154"/>
      <c r="AK30" s="100" t="str">
        <f t="shared" si="21"/>
        <v/>
      </c>
      <c r="AL30" s="138"/>
      <c r="AM30" s="113"/>
      <c r="AN30" s="103" t="str">
        <f t="shared" si="12"/>
        <v/>
      </c>
      <c r="AO30" s="139"/>
      <c r="AP30" s="140"/>
      <c r="AQ30" s="141" t="str">
        <f t="shared" si="15"/>
        <v/>
      </c>
      <c r="AR30" s="142"/>
      <c r="AS30" s="140"/>
      <c r="AT30" s="143" t="str">
        <f t="shared" si="16"/>
        <v/>
      </c>
      <c r="AU30" s="139"/>
      <c r="AV30" s="113"/>
      <c r="AW30" s="107" t="str">
        <f t="shared" si="17"/>
        <v/>
      </c>
      <c r="AX30" s="113"/>
      <c r="AY30" s="113"/>
      <c r="AZ30" s="144" t="str">
        <f t="shared" si="18"/>
        <v/>
      </c>
      <c r="BA30" s="80"/>
      <c r="BB30" s="140"/>
      <c r="BC30" s="145" t="str">
        <f t="shared" si="19"/>
        <v/>
      </c>
      <c r="BD30" s="113"/>
      <c r="BE30" s="114"/>
      <c r="BF30" s="146" t="str">
        <f t="shared" si="20"/>
        <v/>
      </c>
      <c r="BG30" s="147" t="s">
        <v>84</v>
      </c>
      <c r="BH30" s="148"/>
      <c r="BI30" s="149" t="s">
        <v>96</v>
      </c>
      <c r="BJ30" s="150">
        <f>'Degrémont sortie'!BI30</f>
        <v>0</v>
      </c>
      <c r="BK30" s="151">
        <f>'Degrémont sortie'!BJ30</f>
        <v>0</v>
      </c>
    </row>
    <row r="31" spans="1:63" ht="14.25" outlineLevel="1">
      <c r="A31" s="121">
        <f t="shared" si="13"/>
        <v>43483</v>
      </c>
      <c r="B31" s="122">
        <v>728</v>
      </c>
      <c r="C31" s="123">
        <v>8.1</v>
      </c>
      <c r="D31" s="124">
        <v>90.7</v>
      </c>
      <c r="E31" s="125">
        <v>375.7</v>
      </c>
      <c r="F31" s="126">
        <v>28</v>
      </c>
      <c r="G31" s="127">
        <f t="shared" si="0"/>
        <v>10178.571428571429</v>
      </c>
      <c r="H31" s="128">
        <f t="shared" si="1"/>
        <v>7410.0000000000009</v>
      </c>
      <c r="I31" s="129">
        <v>1</v>
      </c>
      <c r="J31" s="126">
        <v>7171</v>
      </c>
      <c r="K31" s="79">
        <f t="shared" si="2"/>
        <v>7171</v>
      </c>
      <c r="L31" s="128">
        <f t="shared" si="3"/>
        <v>5220.4880000000003</v>
      </c>
      <c r="M31" s="130">
        <v>1</v>
      </c>
      <c r="N31" s="126">
        <v>441</v>
      </c>
      <c r="O31" s="80">
        <f t="shared" si="4"/>
        <v>441</v>
      </c>
      <c r="P31" s="81">
        <f t="shared" si="5"/>
        <v>321.048</v>
      </c>
      <c r="Q31" s="129">
        <v>50</v>
      </c>
      <c r="R31" s="131">
        <v>11.3</v>
      </c>
      <c r="S31" s="127">
        <f t="shared" si="6"/>
        <v>565</v>
      </c>
      <c r="T31" s="128">
        <f t="shared" si="7"/>
        <v>411.32</v>
      </c>
      <c r="U31" s="113"/>
      <c r="V31" s="81">
        <f t="shared" si="14"/>
        <v>0</v>
      </c>
      <c r="W31" s="132"/>
      <c r="X31" s="153"/>
      <c r="Y31" s="94"/>
      <c r="Z31" s="132"/>
      <c r="AA31" s="153"/>
      <c r="AB31" s="94"/>
      <c r="AC31" s="133"/>
      <c r="AD31" s="93" t="str">
        <f t="shared" si="8"/>
        <v/>
      </c>
      <c r="AE31" s="94" t="e">
        <f t="shared" si="9"/>
        <v>#VALUE!</v>
      </c>
      <c r="AF31" s="134" t="s">
        <v>85</v>
      </c>
      <c r="AG31" s="135">
        <v>0.01</v>
      </c>
      <c r="AH31" s="136">
        <f t="shared" si="10"/>
        <v>3.64E-3</v>
      </c>
      <c r="AI31" s="80"/>
      <c r="AJ31" s="154"/>
      <c r="AK31" s="100" t="str">
        <f t="shared" si="21"/>
        <v/>
      </c>
      <c r="AL31" s="138"/>
      <c r="AM31" s="113"/>
      <c r="AN31" s="103" t="str">
        <f t="shared" si="12"/>
        <v/>
      </c>
      <c r="AO31" s="139"/>
      <c r="AP31" s="140"/>
      <c r="AQ31" s="141" t="str">
        <f t="shared" si="15"/>
        <v/>
      </c>
      <c r="AR31" s="142"/>
      <c r="AS31" s="140"/>
      <c r="AT31" s="143" t="str">
        <f t="shared" si="16"/>
        <v/>
      </c>
      <c r="AU31" s="139"/>
      <c r="AV31" s="113"/>
      <c r="AW31" s="107" t="str">
        <f t="shared" si="17"/>
        <v/>
      </c>
      <c r="AX31" s="113"/>
      <c r="AY31" s="113"/>
      <c r="AZ31" s="144" t="str">
        <f t="shared" si="18"/>
        <v/>
      </c>
      <c r="BA31" s="80"/>
      <c r="BB31" s="140"/>
      <c r="BC31" s="145" t="str">
        <f t="shared" si="19"/>
        <v/>
      </c>
      <c r="BD31" s="113"/>
      <c r="BE31" s="114"/>
      <c r="BF31" s="146" t="str">
        <f t="shared" si="20"/>
        <v/>
      </c>
      <c r="BG31" s="147" t="s">
        <v>84</v>
      </c>
      <c r="BH31" s="148"/>
      <c r="BI31" s="149" t="s">
        <v>99</v>
      </c>
      <c r="BJ31" s="150">
        <f>'Degrémont sortie'!BI31</f>
        <v>0</v>
      </c>
      <c r="BK31" s="151">
        <f>'Degrémont sortie'!BJ31</f>
        <v>0</v>
      </c>
    </row>
    <row r="32" spans="1:63" ht="14.25" outlineLevel="1">
      <c r="A32" s="152">
        <f t="shared" si="13"/>
        <v>43484</v>
      </c>
      <c r="B32" s="122">
        <v>525</v>
      </c>
      <c r="C32" s="123">
        <v>8</v>
      </c>
      <c r="D32" s="124">
        <v>90.7</v>
      </c>
      <c r="E32" s="125">
        <v>330.8</v>
      </c>
      <c r="F32" s="126">
        <v>25</v>
      </c>
      <c r="G32" s="127">
        <f t="shared" si="0"/>
        <v>9604.0000000000018</v>
      </c>
      <c r="H32" s="128">
        <f t="shared" si="1"/>
        <v>5042.1000000000013</v>
      </c>
      <c r="I32" s="129">
        <v>1</v>
      </c>
      <c r="J32" s="126">
        <v>8669</v>
      </c>
      <c r="K32" s="79">
        <f t="shared" si="2"/>
        <v>8669</v>
      </c>
      <c r="L32" s="128">
        <f t="shared" si="3"/>
        <v>4551.2250000000004</v>
      </c>
      <c r="M32" s="130">
        <v>1</v>
      </c>
      <c r="N32" s="126">
        <v>638</v>
      </c>
      <c r="O32" s="80">
        <f t="shared" si="4"/>
        <v>638</v>
      </c>
      <c r="P32" s="81">
        <f t="shared" si="5"/>
        <v>334.95</v>
      </c>
      <c r="Q32" s="129">
        <v>50</v>
      </c>
      <c r="R32" s="131">
        <v>10.9</v>
      </c>
      <c r="S32" s="127">
        <f t="shared" si="6"/>
        <v>545</v>
      </c>
      <c r="T32" s="128">
        <f t="shared" si="7"/>
        <v>286.125</v>
      </c>
      <c r="U32" s="113"/>
      <c r="V32" s="81">
        <f t="shared" si="14"/>
        <v>0</v>
      </c>
      <c r="W32" s="132"/>
      <c r="X32" s="153"/>
      <c r="Y32" s="94"/>
      <c r="Z32" s="132"/>
      <c r="AA32" s="153"/>
      <c r="AB32" s="94"/>
      <c r="AC32" s="133"/>
      <c r="AD32" s="93" t="str">
        <f t="shared" si="8"/>
        <v/>
      </c>
      <c r="AE32" s="94" t="e">
        <f t="shared" si="9"/>
        <v>#VALUE!</v>
      </c>
      <c r="AF32" s="139"/>
      <c r="AG32" s="135">
        <v>0.01</v>
      </c>
      <c r="AH32" s="136">
        <f t="shared" si="10"/>
        <v>5.2500000000000003E-3</v>
      </c>
      <c r="AI32" s="80"/>
      <c r="AJ32" s="154"/>
      <c r="AK32" s="100" t="str">
        <f t="shared" si="21"/>
        <v/>
      </c>
      <c r="AL32" s="138"/>
      <c r="AM32" s="113"/>
      <c r="AN32" s="103" t="str">
        <f t="shared" si="12"/>
        <v/>
      </c>
      <c r="AO32" s="139"/>
      <c r="AP32" s="140"/>
      <c r="AQ32" s="141" t="str">
        <f t="shared" si="15"/>
        <v/>
      </c>
      <c r="AR32" s="142"/>
      <c r="AS32" s="140"/>
      <c r="AT32" s="143" t="str">
        <f t="shared" si="16"/>
        <v/>
      </c>
      <c r="AU32" s="139"/>
      <c r="AV32" s="113"/>
      <c r="AW32" s="107" t="str">
        <f t="shared" si="17"/>
        <v/>
      </c>
      <c r="AX32" s="113"/>
      <c r="AY32" s="113"/>
      <c r="AZ32" s="144" t="str">
        <f t="shared" si="18"/>
        <v/>
      </c>
      <c r="BA32" s="80"/>
      <c r="BB32" s="140"/>
      <c r="BC32" s="145" t="str">
        <f t="shared" si="19"/>
        <v/>
      </c>
      <c r="BD32" s="113"/>
      <c r="BE32" s="114"/>
      <c r="BF32" s="146" t="str">
        <f t="shared" si="20"/>
        <v/>
      </c>
      <c r="BG32" s="147" t="s">
        <v>84</v>
      </c>
      <c r="BH32" s="148"/>
      <c r="BI32" s="149" t="s">
        <v>100</v>
      </c>
      <c r="BJ32" s="150">
        <f>'Degrémont sortie'!BI32</f>
        <v>0</v>
      </c>
      <c r="BK32" s="151">
        <f>'Degrémont sortie'!BJ32</f>
        <v>0</v>
      </c>
    </row>
    <row r="33" spans="1:63" ht="15.75" customHeight="1" outlineLevel="1">
      <c r="A33" s="121">
        <f t="shared" si="13"/>
        <v>43485</v>
      </c>
      <c r="B33" s="207"/>
      <c r="C33" s="208"/>
      <c r="D33" s="210"/>
      <c r="E33" s="211"/>
      <c r="F33" s="80"/>
      <c r="G33" s="127">
        <f t="shared" si="0"/>
        <v>0</v>
      </c>
      <c r="H33" s="128">
        <f t="shared" si="1"/>
        <v>0</v>
      </c>
      <c r="I33" s="129">
        <v>1</v>
      </c>
      <c r="J33" s="80"/>
      <c r="K33" s="79">
        <f t="shared" si="2"/>
        <v>0</v>
      </c>
      <c r="L33" s="128">
        <f t="shared" si="3"/>
        <v>0</v>
      </c>
      <c r="M33" s="130">
        <v>1</v>
      </c>
      <c r="N33" s="80"/>
      <c r="O33" s="80" t="str">
        <f t="shared" si="4"/>
        <v/>
      </c>
      <c r="P33" s="81">
        <f t="shared" si="5"/>
        <v>0</v>
      </c>
      <c r="Q33" s="213"/>
      <c r="R33" s="113"/>
      <c r="S33" s="127" t="str">
        <f t="shared" si="6"/>
        <v/>
      </c>
      <c r="T33" s="128">
        <f t="shared" si="7"/>
        <v>0</v>
      </c>
      <c r="U33" s="113"/>
      <c r="V33" s="81">
        <f t="shared" si="14"/>
        <v>0</v>
      </c>
      <c r="W33" s="132"/>
      <c r="X33" s="153"/>
      <c r="Y33" s="94"/>
      <c r="Z33" s="132"/>
      <c r="AA33" s="153"/>
      <c r="AB33" s="94"/>
      <c r="AC33" s="133"/>
      <c r="AD33" s="93" t="str">
        <f t="shared" si="8"/>
        <v/>
      </c>
      <c r="AE33" s="94" t="str">
        <f t="shared" si="9"/>
        <v/>
      </c>
      <c r="AF33" s="139"/>
      <c r="AG33" s="215"/>
      <c r="AH33" s="136" t="str">
        <f t="shared" si="10"/>
        <v/>
      </c>
      <c r="AI33" s="80"/>
      <c r="AJ33" s="154"/>
      <c r="AK33" s="100" t="str">
        <f t="shared" si="21"/>
        <v/>
      </c>
      <c r="AL33" s="138"/>
      <c r="AM33" s="113"/>
      <c r="AN33" s="103" t="str">
        <f t="shared" si="12"/>
        <v/>
      </c>
      <c r="AO33" s="139"/>
      <c r="AP33" s="140"/>
      <c r="AQ33" s="141" t="str">
        <f t="shared" si="15"/>
        <v/>
      </c>
      <c r="AR33" s="142"/>
      <c r="AS33" s="140"/>
      <c r="AT33" s="143" t="str">
        <f t="shared" si="16"/>
        <v/>
      </c>
      <c r="AU33" s="139"/>
      <c r="AV33" s="113"/>
      <c r="AW33" s="107" t="str">
        <f t="shared" si="17"/>
        <v/>
      </c>
      <c r="AX33" s="113"/>
      <c r="AY33" s="113"/>
      <c r="AZ33" s="144" t="str">
        <f t="shared" si="18"/>
        <v/>
      </c>
      <c r="BA33" s="80"/>
      <c r="BB33" s="140"/>
      <c r="BC33" s="145" t="str">
        <f t="shared" si="19"/>
        <v/>
      </c>
      <c r="BD33" s="113"/>
      <c r="BE33" s="114"/>
      <c r="BF33" s="146" t="str">
        <f t="shared" si="20"/>
        <v/>
      </c>
      <c r="BG33" s="147" t="s">
        <v>84</v>
      </c>
      <c r="BH33" s="148"/>
      <c r="BI33" s="156"/>
      <c r="BJ33" s="150">
        <f>'Degrémont sortie'!BI33</f>
        <v>0</v>
      </c>
      <c r="BK33" s="151">
        <f>'Degrémont sortie'!BJ33</f>
        <v>0</v>
      </c>
    </row>
    <row r="34" spans="1:63" ht="15.75" customHeight="1" outlineLevel="1">
      <c r="A34" s="152">
        <f t="shared" si="13"/>
        <v>43486</v>
      </c>
      <c r="B34" s="122">
        <v>847</v>
      </c>
      <c r="C34" s="123">
        <v>7.6</v>
      </c>
      <c r="D34" s="124">
        <v>89.5</v>
      </c>
      <c r="E34" s="125">
        <v>489.3</v>
      </c>
      <c r="F34" s="126">
        <v>35</v>
      </c>
      <c r="G34" s="127">
        <f t="shared" si="0"/>
        <v>11422.857142857143</v>
      </c>
      <c r="H34" s="128">
        <f t="shared" si="1"/>
        <v>9675.16</v>
      </c>
      <c r="I34" s="129">
        <v>1</v>
      </c>
      <c r="J34" s="126">
        <v>8114</v>
      </c>
      <c r="K34" s="79">
        <f t="shared" si="2"/>
        <v>8114</v>
      </c>
      <c r="L34" s="128">
        <f t="shared" si="3"/>
        <v>6872.558</v>
      </c>
      <c r="M34" s="130">
        <v>1</v>
      </c>
      <c r="N34" s="126">
        <v>1202</v>
      </c>
      <c r="O34" s="80">
        <f t="shared" si="4"/>
        <v>1202</v>
      </c>
      <c r="P34" s="81">
        <f t="shared" si="5"/>
        <v>1018.0940000000001</v>
      </c>
      <c r="Q34" s="129">
        <v>50</v>
      </c>
      <c r="R34" s="131">
        <v>9.93</v>
      </c>
      <c r="S34" s="127">
        <f t="shared" si="6"/>
        <v>496.5</v>
      </c>
      <c r="T34" s="128">
        <f t="shared" si="7"/>
        <v>420.53550000000001</v>
      </c>
      <c r="U34" s="113"/>
      <c r="V34" s="81">
        <f t="shared" si="14"/>
        <v>0</v>
      </c>
      <c r="W34" s="132"/>
      <c r="X34" s="153"/>
      <c r="Y34" s="94"/>
      <c r="Z34" s="132"/>
      <c r="AA34" s="153"/>
      <c r="AB34" s="94"/>
      <c r="AC34" s="133"/>
      <c r="AD34" s="93" t="str">
        <f t="shared" si="8"/>
        <v/>
      </c>
      <c r="AE34" s="94" t="e">
        <f t="shared" si="9"/>
        <v>#VALUE!</v>
      </c>
      <c r="AF34" s="134" t="s">
        <v>85</v>
      </c>
      <c r="AG34" s="135">
        <v>0.01</v>
      </c>
      <c r="AH34" s="136">
        <f t="shared" si="10"/>
        <v>4.235E-3</v>
      </c>
      <c r="AI34" s="80"/>
      <c r="AJ34" s="154"/>
      <c r="AK34" s="100" t="str">
        <f t="shared" si="21"/>
        <v/>
      </c>
      <c r="AL34" s="138"/>
      <c r="AM34" s="113"/>
      <c r="AN34" s="103" t="str">
        <f t="shared" si="12"/>
        <v/>
      </c>
      <c r="AO34" s="139"/>
      <c r="AP34" s="140"/>
      <c r="AQ34" s="141" t="str">
        <f t="shared" si="15"/>
        <v/>
      </c>
      <c r="AR34" s="142"/>
      <c r="AS34" s="140"/>
      <c r="AT34" s="143" t="str">
        <f t="shared" si="16"/>
        <v/>
      </c>
      <c r="AU34" s="139"/>
      <c r="AV34" s="113"/>
      <c r="AW34" s="107" t="str">
        <f t="shared" si="17"/>
        <v/>
      </c>
      <c r="AX34" s="113"/>
      <c r="AY34" s="113"/>
      <c r="AZ34" s="144" t="str">
        <f t="shared" si="18"/>
        <v/>
      </c>
      <c r="BA34" s="80"/>
      <c r="BB34" s="140"/>
      <c r="BC34" s="145" t="str">
        <f t="shared" si="19"/>
        <v/>
      </c>
      <c r="BD34" s="113"/>
      <c r="BE34" s="114"/>
      <c r="BF34" s="146" t="str">
        <f t="shared" si="20"/>
        <v/>
      </c>
      <c r="BG34" s="147" t="s">
        <v>84</v>
      </c>
      <c r="BH34" s="148"/>
      <c r="BI34" s="149" t="s">
        <v>103</v>
      </c>
      <c r="BJ34" s="150">
        <f>'Degrémont sortie'!BI34</f>
        <v>0</v>
      </c>
      <c r="BK34" s="151">
        <f>'Degrémont sortie'!BJ34</f>
        <v>0</v>
      </c>
    </row>
    <row r="35" spans="1:63" ht="15.75" customHeight="1" outlineLevel="1">
      <c r="A35" s="121">
        <f t="shared" si="13"/>
        <v>43487</v>
      </c>
      <c r="B35" s="122">
        <v>920</v>
      </c>
      <c r="C35" s="123">
        <v>7.7</v>
      </c>
      <c r="D35" s="124">
        <v>88.7</v>
      </c>
      <c r="E35" s="125">
        <v>328.8</v>
      </c>
      <c r="F35" s="126">
        <v>27</v>
      </c>
      <c r="G35" s="127">
        <f t="shared" si="0"/>
        <v>8892.5925925925931</v>
      </c>
      <c r="H35" s="128">
        <f t="shared" si="1"/>
        <v>8181.1851851851852</v>
      </c>
      <c r="I35" s="129">
        <v>1</v>
      </c>
      <c r="J35" s="126">
        <v>8001</v>
      </c>
      <c r="K35" s="79">
        <f t="shared" si="2"/>
        <v>8001</v>
      </c>
      <c r="L35" s="128">
        <f t="shared" si="3"/>
        <v>7360.92</v>
      </c>
      <c r="M35" s="130">
        <v>1</v>
      </c>
      <c r="N35" s="126">
        <v>1107</v>
      </c>
      <c r="O35" s="80">
        <f t="shared" si="4"/>
        <v>1107</v>
      </c>
      <c r="P35" s="81">
        <f t="shared" si="5"/>
        <v>1018.44</v>
      </c>
      <c r="Q35" s="129">
        <v>50</v>
      </c>
      <c r="R35" s="131">
        <v>19.399999999999999</v>
      </c>
      <c r="S35" s="127">
        <f t="shared" si="6"/>
        <v>969.99999999999989</v>
      </c>
      <c r="T35" s="128">
        <f t="shared" si="7"/>
        <v>892.39999999999986</v>
      </c>
      <c r="U35" s="131">
        <v>72</v>
      </c>
      <c r="V35" s="81">
        <f t="shared" si="14"/>
        <v>66.239999999999995</v>
      </c>
      <c r="W35" s="132"/>
      <c r="X35" s="153"/>
      <c r="Y35" s="94"/>
      <c r="Z35" s="132"/>
      <c r="AA35" s="153"/>
      <c r="AB35" s="94"/>
      <c r="AC35" s="133"/>
      <c r="AD35" s="93" t="str">
        <f t="shared" si="8"/>
        <v/>
      </c>
      <c r="AE35" s="94" t="e">
        <f t="shared" si="9"/>
        <v>#VALUE!</v>
      </c>
      <c r="AF35" s="134" t="s">
        <v>85</v>
      </c>
      <c r="AG35" s="135">
        <v>0.01</v>
      </c>
      <c r="AH35" s="136">
        <f t="shared" si="10"/>
        <v>4.6000000000000008E-3</v>
      </c>
      <c r="AI35" s="80"/>
      <c r="AJ35" s="154"/>
      <c r="AK35" s="100" t="str">
        <f t="shared" si="21"/>
        <v/>
      </c>
      <c r="AL35" s="138"/>
      <c r="AM35" s="131">
        <v>93</v>
      </c>
      <c r="AN35" s="103">
        <f t="shared" si="12"/>
        <v>593.71199999999999</v>
      </c>
      <c r="AO35" s="139"/>
      <c r="AP35" s="155">
        <v>293.02999999999997</v>
      </c>
      <c r="AQ35" s="141">
        <f t="shared" si="15"/>
        <v>1870.70352</v>
      </c>
      <c r="AR35" s="142"/>
      <c r="AS35" s="155">
        <v>2.44</v>
      </c>
      <c r="AT35" s="143">
        <f t="shared" si="16"/>
        <v>15.57696</v>
      </c>
      <c r="AU35" s="139"/>
      <c r="AV35" s="131">
        <v>36.51</v>
      </c>
      <c r="AW35" s="107">
        <f t="shared" si="17"/>
        <v>233.07983999999999</v>
      </c>
      <c r="AX35" s="113"/>
      <c r="AY35" s="131">
        <v>420.56</v>
      </c>
      <c r="AZ35" s="144">
        <f t="shared" si="18"/>
        <v>2684.8550400000004</v>
      </c>
      <c r="BA35" s="80"/>
      <c r="BB35" s="155">
        <v>6.24</v>
      </c>
      <c r="BC35" s="145">
        <f t="shared" si="19"/>
        <v>39.836160000000007</v>
      </c>
      <c r="BD35" s="113"/>
      <c r="BE35" s="158">
        <v>0.15</v>
      </c>
      <c r="BF35" s="146">
        <f t="shared" si="20"/>
        <v>0.95760000000000001</v>
      </c>
      <c r="BG35" s="147" t="s">
        <v>84</v>
      </c>
      <c r="BH35" s="148"/>
      <c r="BI35" s="149" t="s">
        <v>105</v>
      </c>
      <c r="BJ35" s="150">
        <f>'Degrémont sortie'!BI35</f>
        <v>0</v>
      </c>
      <c r="BK35" s="151">
        <f>'Degrémont sortie'!BJ35</f>
        <v>0</v>
      </c>
    </row>
    <row r="36" spans="1:63" ht="15.75" customHeight="1" outlineLevel="1">
      <c r="A36" s="152">
        <f t="shared" si="13"/>
        <v>43488</v>
      </c>
      <c r="B36" s="122">
        <v>956</v>
      </c>
      <c r="C36" s="123">
        <v>7.7</v>
      </c>
      <c r="D36" s="124">
        <v>89.3</v>
      </c>
      <c r="E36" s="125">
        <v>278.8</v>
      </c>
      <c r="F36" s="126">
        <v>26</v>
      </c>
      <c r="G36" s="127">
        <f t="shared" si="0"/>
        <v>7288.4615384615381</v>
      </c>
      <c r="H36" s="128">
        <f t="shared" si="1"/>
        <v>6967.7692307692305</v>
      </c>
      <c r="I36" s="129">
        <v>1</v>
      </c>
      <c r="J36" s="126">
        <v>7447</v>
      </c>
      <c r="K36" s="79">
        <f t="shared" si="2"/>
        <v>7447</v>
      </c>
      <c r="L36" s="128">
        <f t="shared" si="3"/>
        <v>7119.3320000000003</v>
      </c>
      <c r="M36" s="130">
        <v>1</v>
      </c>
      <c r="N36" s="126">
        <v>1070</v>
      </c>
      <c r="O36" s="80">
        <f t="shared" si="4"/>
        <v>1070</v>
      </c>
      <c r="P36" s="81">
        <f t="shared" si="5"/>
        <v>1022.92</v>
      </c>
      <c r="Q36" s="129">
        <v>20</v>
      </c>
      <c r="R36" s="131">
        <v>15.3</v>
      </c>
      <c r="S36" s="127">
        <f t="shared" si="6"/>
        <v>306</v>
      </c>
      <c r="T36" s="128">
        <f t="shared" si="7"/>
        <v>292.536</v>
      </c>
      <c r="U36" s="113"/>
      <c r="V36" s="81">
        <f t="shared" si="14"/>
        <v>0</v>
      </c>
      <c r="W36" s="132"/>
      <c r="X36" s="153"/>
      <c r="Y36" s="94"/>
      <c r="Z36" s="132"/>
      <c r="AA36" s="153"/>
      <c r="AB36" s="94"/>
      <c r="AC36" s="133"/>
      <c r="AD36" s="93" t="str">
        <f t="shared" si="8"/>
        <v/>
      </c>
      <c r="AE36" s="94" t="e">
        <f t="shared" si="9"/>
        <v>#VALUE!</v>
      </c>
      <c r="AF36" s="134" t="s">
        <v>85</v>
      </c>
      <c r="AG36" s="135">
        <v>0.01</v>
      </c>
      <c r="AH36" s="136">
        <f t="shared" si="10"/>
        <v>4.7800000000000004E-3</v>
      </c>
      <c r="AI36" s="80"/>
      <c r="AJ36" s="154"/>
      <c r="AK36" s="100" t="str">
        <f t="shared" si="21"/>
        <v/>
      </c>
      <c r="AL36" s="138"/>
      <c r="AM36" s="113"/>
      <c r="AN36" s="103" t="str">
        <f t="shared" si="12"/>
        <v/>
      </c>
      <c r="AO36" s="139"/>
      <c r="AP36" s="140"/>
      <c r="AQ36" s="141" t="str">
        <f t="shared" si="15"/>
        <v/>
      </c>
      <c r="AR36" s="142"/>
      <c r="AS36" s="140"/>
      <c r="AT36" s="143" t="str">
        <f t="shared" si="16"/>
        <v/>
      </c>
      <c r="AU36" s="139"/>
      <c r="AV36" s="113"/>
      <c r="AW36" s="107" t="str">
        <f t="shared" si="17"/>
        <v/>
      </c>
      <c r="AX36" s="113"/>
      <c r="AY36" s="113"/>
      <c r="AZ36" s="144" t="str">
        <f t="shared" si="18"/>
        <v/>
      </c>
      <c r="BA36" s="80"/>
      <c r="BB36" s="140"/>
      <c r="BC36" s="145" t="str">
        <f t="shared" si="19"/>
        <v/>
      </c>
      <c r="BD36" s="113"/>
      <c r="BE36" s="114"/>
      <c r="BF36" s="146" t="str">
        <f t="shared" si="20"/>
        <v/>
      </c>
      <c r="BG36" s="147" t="s">
        <v>84</v>
      </c>
      <c r="BH36" s="148"/>
      <c r="BI36" s="149" t="s">
        <v>107</v>
      </c>
      <c r="BJ36" s="150">
        <f>'Degrémont sortie'!BI36</f>
        <v>0</v>
      </c>
      <c r="BK36" s="151">
        <f>'Degrémont sortie'!BJ36</f>
        <v>0</v>
      </c>
    </row>
    <row r="37" spans="1:63" ht="15.75" customHeight="1" outlineLevel="1">
      <c r="A37" s="121">
        <f t="shared" si="13"/>
        <v>43489</v>
      </c>
      <c r="B37" s="122">
        <v>915</v>
      </c>
      <c r="C37" s="123">
        <v>7.7</v>
      </c>
      <c r="D37" s="124">
        <v>89.8</v>
      </c>
      <c r="E37" s="125">
        <v>266</v>
      </c>
      <c r="F37" s="126">
        <v>28</v>
      </c>
      <c r="G37" s="127">
        <f t="shared" si="0"/>
        <v>6292.8571428571431</v>
      </c>
      <c r="H37" s="128">
        <f t="shared" si="1"/>
        <v>5757.9642857142862</v>
      </c>
      <c r="I37" s="129">
        <v>1</v>
      </c>
      <c r="J37" s="126">
        <v>6922</v>
      </c>
      <c r="K37" s="79">
        <f t="shared" si="2"/>
        <v>6922</v>
      </c>
      <c r="L37" s="128">
        <f t="shared" si="3"/>
        <v>6333.63</v>
      </c>
      <c r="M37" s="130">
        <v>1</v>
      </c>
      <c r="N37" s="126">
        <v>1018</v>
      </c>
      <c r="O37" s="80">
        <f t="shared" si="4"/>
        <v>1018</v>
      </c>
      <c r="P37" s="81">
        <f t="shared" si="5"/>
        <v>931.47</v>
      </c>
      <c r="Q37" s="129">
        <v>20</v>
      </c>
      <c r="R37" s="131">
        <v>18.399999999999999</v>
      </c>
      <c r="S37" s="127">
        <f t="shared" si="6"/>
        <v>368</v>
      </c>
      <c r="T37" s="128">
        <f t="shared" si="7"/>
        <v>336.72</v>
      </c>
      <c r="U37" s="113"/>
      <c r="V37" s="81">
        <f t="shared" si="14"/>
        <v>0</v>
      </c>
      <c r="W37" s="132"/>
      <c r="X37" s="153"/>
      <c r="Y37" s="94"/>
      <c r="Z37" s="132"/>
      <c r="AA37" s="153"/>
      <c r="AB37" s="94"/>
      <c r="AC37" s="133"/>
      <c r="AD37" s="93" t="str">
        <f t="shared" si="8"/>
        <v/>
      </c>
      <c r="AE37" s="94" t="e">
        <f t="shared" si="9"/>
        <v>#VALUE!</v>
      </c>
      <c r="AF37" s="134" t="s">
        <v>85</v>
      </c>
      <c r="AG37" s="135">
        <v>0.01</v>
      </c>
      <c r="AH37" s="136">
        <f t="shared" si="10"/>
        <v>4.5750000000000001E-3</v>
      </c>
      <c r="AI37" s="80"/>
      <c r="AJ37" s="154"/>
      <c r="AK37" s="100" t="str">
        <f t="shared" si="21"/>
        <v/>
      </c>
      <c r="AL37" s="138"/>
      <c r="AM37" s="113"/>
      <c r="AN37" s="103" t="str">
        <f t="shared" si="12"/>
        <v/>
      </c>
      <c r="AO37" s="139"/>
      <c r="AP37" s="140"/>
      <c r="AQ37" s="141" t="str">
        <f t="shared" si="15"/>
        <v/>
      </c>
      <c r="AR37" s="142"/>
      <c r="AS37" s="140"/>
      <c r="AT37" s="143" t="str">
        <f t="shared" si="16"/>
        <v/>
      </c>
      <c r="AU37" s="139"/>
      <c r="AV37" s="113"/>
      <c r="AW37" s="107" t="str">
        <f t="shared" si="17"/>
        <v/>
      </c>
      <c r="AX37" s="113"/>
      <c r="AY37" s="113"/>
      <c r="AZ37" s="144" t="str">
        <f t="shared" si="18"/>
        <v/>
      </c>
      <c r="BA37" s="80"/>
      <c r="BB37" s="140"/>
      <c r="BC37" s="145" t="str">
        <f t="shared" si="19"/>
        <v/>
      </c>
      <c r="BD37" s="113"/>
      <c r="BE37" s="114"/>
      <c r="BF37" s="146" t="str">
        <f t="shared" si="20"/>
        <v/>
      </c>
      <c r="BG37" s="147" t="s">
        <v>84</v>
      </c>
      <c r="BH37" s="148"/>
      <c r="BI37" s="149" t="s">
        <v>108</v>
      </c>
      <c r="BJ37" s="150">
        <f>'Degrémont sortie'!BI37</f>
        <v>0</v>
      </c>
      <c r="BK37" s="151">
        <f>'Degrémont sortie'!BJ37</f>
        <v>0</v>
      </c>
    </row>
    <row r="38" spans="1:63" ht="14.25" outlineLevel="1">
      <c r="A38" s="152">
        <f t="shared" si="13"/>
        <v>43490</v>
      </c>
      <c r="B38" s="122">
        <v>911</v>
      </c>
      <c r="C38" s="123">
        <v>7.8</v>
      </c>
      <c r="D38" s="124">
        <v>90</v>
      </c>
      <c r="E38" s="125">
        <v>132</v>
      </c>
      <c r="F38" s="126">
        <v>30</v>
      </c>
      <c r="G38" s="127">
        <f t="shared" si="0"/>
        <v>1400</v>
      </c>
      <c r="H38" s="128">
        <f t="shared" si="1"/>
        <v>1275.4000000000001</v>
      </c>
      <c r="I38" s="129">
        <v>1</v>
      </c>
      <c r="J38" s="126">
        <v>2087</v>
      </c>
      <c r="K38" s="79">
        <f t="shared" si="2"/>
        <v>2087</v>
      </c>
      <c r="L38" s="128">
        <f t="shared" si="3"/>
        <v>1901.2570000000001</v>
      </c>
      <c r="M38" s="130">
        <v>1</v>
      </c>
      <c r="N38" s="126">
        <v>684</v>
      </c>
      <c r="O38" s="80">
        <f t="shared" si="4"/>
        <v>684</v>
      </c>
      <c r="P38" s="81">
        <f t="shared" si="5"/>
        <v>623.12400000000002</v>
      </c>
      <c r="Q38" s="129">
        <v>20</v>
      </c>
      <c r="R38" s="131">
        <v>4.5599999999999996</v>
      </c>
      <c r="S38" s="127">
        <f t="shared" si="6"/>
        <v>91.199999999999989</v>
      </c>
      <c r="T38" s="128">
        <f t="shared" si="7"/>
        <v>83.083199999999977</v>
      </c>
      <c r="U38" s="113"/>
      <c r="V38" s="81">
        <f t="shared" si="14"/>
        <v>0</v>
      </c>
      <c r="W38" s="132"/>
      <c r="X38" s="153"/>
      <c r="Y38" s="94"/>
      <c r="Z38" s="132"/>
      <c r="AA38" s="153"/>
      <c r="AB38" s="94"/>
      <c r="AC38" s="133"/>
      <c r="AD38" s="93" t="str">
        <f t="shared" si="8"/>
        <v/>
      </c>
      <c r="AE38" s="94" t="e">
        <f t="shared" si="9"/>
        <v>#VALUE!</v>
      </c>
      <c r="AF38" s="134" t="s">
        <v>85</v>
      </c>
      <c r="AG38" s="135">
        <v>0.01</v>
      </c>
      <c r="AH38" s="136">
        <f t="shared" si="10"/>
        <v>4.555E-3</v>
      </c>
      <c r="AI38" s="80"/>
      <c r="AJ38" s="154"/>
      <c r="AK38" s="100" t="str">
        <f t="shared" si="21"/>
        <v/>
      </c>
      <c r="AL38" s="138"/>
      <c r="AM38" s="113"/>
      <c r="AN38" s="103" t="str">
        <f t="shared" si="12"/>
        <v/>
      </c>
      <c r="AO38" s="139"/>
      <c r="AP38" s="140"/>
      <c r="AQ38" s="141" t="str">
        <f t="shared" si="15"/>
        <v/>
      </c>
      <c r="AR38" s="142"/>
      <c r="AS38" s="140"/>
      <c r="AT38" s="143" t="str">
        <f t="shared" si="16"/>
        <v/>
      </c>
      <c r="AU38" s="139"/>
      <c r="AV38" s="113"/>
      <c r="AW38" s="107" t="str">
        <f t="shared" si="17"/>
        <v/>
      </c>
      <c r="AX38" s="113"/>
      <c r="AY38" s="113"/>
      <c r="AZ38" s="144" t="str">
        <f t="shared" si="18"/>
        <v/>
      </c>
      <c r="BA38" s="80"/>
      <c r="BB38" s="140"/>
      <c r="BC38" s="145" t="str">
        <f t="shared" si="19"/>
        <v/>
      </c>
      <c r="BD38" s="113"/>
      <c r="BE38" s="114"/>
      <c r="BF38" s="146" t="str">
        <f t="shared" si="20"/>
        <v/>
      </c>
      <c r="BG38" s="147" t="s">
        <v>84</v>
      </c>
      <c r="BH38" s="148"/>
      <c r="BI38" s="149" t="s">
        <v>109</v>
      </c>
      <c r="BJ38" s="150">
        <f>'Degrémont sortie'!BI38</f>
        <v>0</v>
      </c>
      <c r="BK38" s="151">
        <f>'Degrémont sortie'!BJ38</f>
        <v>0</v>
      </c>
    </row>
    <row r="39" spans="1:63" ht="14.25" outlineLevel="1">
      <c r="A39" s="121">
        <f t="shared" si="13"/>
        <v>43491</v>
      </c>
      <c r="B39" s="122">
        <v>271</v>
      </c>
      <c r="C39" s="123">
        <v>7.9</v>
      </c>
      <c r="D39" s="124">
        <v>91.7</v>
      </c>
      <c r="E39" s="125">
        <v>210.3</v>
      </c>
      <c r="F39" s="126">
        <v>27</v>
      </c>
      <c r="G39" s="127">
        <f t="shared" si="0"/>
        <v>4392.5925925925931</v>
      </c>
      <c r="H39" s="128">
        <f t="shared" si="1"/>
        <v>1190.3925925925928</v>
      </c>
      <c r="I39" s="129">
        <v>1</v>
      </c>
      <c r="J39" s="126">
        <v>5013</v>
      </c>
      <c r="K39" s="79">
        <f t="shared" si="2"/>
        <v>5013</v>
      </c>
      <c r="L39" s="128">
        <f t="shared" si="3"/>
        <v>1358.5229999999999</v>
      </c>
      <c r="M39" s="130">
        <v>1</v>
      </c>
      <c r="N39" s="126">
        <v>938</v>
      </c>
      <c r="O39" s="80">
        <f t="shared" si="4"/>
        <v>938</v>
      </c>
      <c r="P39" s="81">
        <f t="shared" si="5"/>
        <v>254.19800000000001</v>
      </c>
      <c r="Q39" s="129">
        <v>20</v>
      </c>
      <c r="R39" s="131">
        <v>13.9</v>
      </c>
      <c r="S39" s="127">
        <f t="shared" si="6"/>
        <v>278</v>
      </c>
      <c r="T39" s="128">
        <f t="shared" si="7"/>
        <v>75.337999999999994</v>
      </c>
      <c r="U39" s="113"/>
      <c r="V39" s="81">
        <f t="shared" si="14"/>
        <v>0</v>
      </c>
      <c r="W39" s="132"/>
      <c r="X39" s="153"/>
      <c r="Y39" s="94"/>
      <c r="Z39" s="132"/>
      <c r="AA39" s="153"/>
      <c r="AB39" s="94"/>
      <c r="AC39" s="133"/>
      <c r="AD39" s="93" t="str">
        <f t="shared" si="8"/>
        <v/>
      </c>
      <c r="AE39" s="94" t="e">
        <f t="shared" si="9"/>
        <v>#VALUE!</v>
      </c>
      <c r="AF39" s="134" t="s">
        <v>85</v>
      </c>
      <c r="AG39" s="135">
        <v>0.01</v>
      </c>
      <c r="AH39" s="136">
        <f t="shared" si="10"/>
        <v>1.3550000000000001E-3</v>
      </c>
      <c r="AI39" s="80"/>
      <c r="AJ39" s="154"/>
      <c r="AK39" s="100" t="str">
        <f t="shared" si="21"/>
        <v/>
      </c>
      <c r="AL39" s="138"/>
      <c r="AM39" s="113"/>
      <c r="AN39" s="103" t="str">
        <f t="shared" si="12"/>
        <v/>
      </c>
      <c r="AO39" s="139"/>
      <c r="AP39" s="140"/>
      <c r="AQ39" s="141" t="str">
        <f t="shared" si="15"/>
        <v/>
      </c>
      <c r="AR39" s="142"/>
      <c r="AS39" s="140"/>
      <c r="AT39" s="143" t="str">
        <f t="shared" si="16"/>
        <v/>
      </c>
      <c r="AU39" s="139"/>
      <c r="AV39" s="113"/>
      <c r="AW39" s="107" t="str">
        <f t="shared" si="17"/>
        <v/>
      </c>
      <c r="AX39" s="113"/>
      <c r="AY39" s="113"/>
      <c r="AZ39" s="144" t="str">
        <f t="shared" si="18"/>
        <v/>
      </c>
      <c r="BA39" s="80"/>
      <c r="BB39" s="140"/>
      <c r="BC39" s="145" t="str">
        <f t="shared" si="19"/>
        <v/>
      </c>
      <c r="BD39" s="113"/>
      <c r="BE39" s="114"/>
      <c r="BF39" s="146" t="str">
        <f t="shared" si="20"/>
        <v/>
      </c>
      <c r="BG39" s="147" t="s">
        <v>84</v>
      </c>
      <c r="BH39" s="148"/>
      <c r="BI39" s="149" t="s">
        <v>96</v>
      </c>
      <c r="BJ39" s="150">
        <f>'Degrémont sortie'!BI39</f>
        <v>0</v>
      </c>
      <c r="BK39" s="151">
        <f>'Degrémont sortie'!BJ39</f>
        <v>0</v>
      </c>
    </row>
    <row r="40" spans="1:63" ht="14.25" outlineLevel="1">
      <c r="A40" s="152">
        <f t="shared" si="13"/>
        <v>43492</v>
      </c>
      <c r="B40" s="207"/>
      <c r="C40" s="208"/>
      <c r="D40" s="210"/>
      <c r="E40" s="211"/>
      <c r="F40" s="80"/>
      <c r="G40" s="127">
        <f t="shared" si="0"/>
        <v>0</v>
      </c>
      <c r="H40" s="128">
        <f t="shared" si="1"/>
        <v>0</v>
      </c>
      <c r="I40" s="129">
        <v>1</v>
      </c>
      <c r="J40" s="80"/>
      <c r="K40" s="79">
        <f t="shared" si="2"/>
        <v>0</v>
      </c>
      <c r="L40" s="128">
        <f t="shared" si="3"/>
        <v>0</v>
      </c>
      <c r="M40" s="130">
        <v>1</v>
      </c>
      <c r="N40" s="80"/>
      <c r="O40" s="80" t="str">
        <f t="shared" si="4"/>
        <v/>
      </c>
      <c r="P40" s="81">
        <f t="shared" si="5"/>
        <v>0</v>
      </c>
      <c r="Q40" s="213"/>
      <c r="R40" s="113"/>
      <c r="S40" s="127" t="str">
        <f t="shared" si="6"/>
        <v/>
      </c>
      <c r="T40" s="128">
        <f t="shared" si="7"/>
        <v>0</v>
      </c>
      <c r="U40" s="113"/>
      <c r="V40" s="81">
        <f t="shared" si="14"/>
        <v>0</v>
      </c>
      <c r="W40" s="132"/>
      <c r="X40" s="153"/>
      <c r="Y40" s="94"/>
      <c r="Z40" s="132"/>
      <c r="AA40" s="153"/>
      <c r="AB40" s="94"/>
      <c r="AC40" s="133"/>
      <c r="AD40" s="93" t="str">
        <f t="shared" si="8"/>
        <v/>
      </c>
      <c r="AE40" s="94" t="str">
        <f t="shared" si="9"/>
        <v/>
      </c>
      <c r="AF40" s="139"/>
      <c r="AG40" s="215"/>
      <c r="AH40" s="136" t="str">
        <f t="shared" si="10"/>
        <v/>
      </c>
      <c r="AI40" s="80"/>
      <c r="AJ40" s="154"/>
      <c r="AK40" s="100" t="str">
        <f t="shared" si="21"/>
        <v/>
      </c>
      <c r="AL40" s="138"/>
      <c r="AM40" s="113"/>
      <c r="AN40" s="103" t="str">
        <f t="shared" si="12"/>
        <v/>
      </c>
      <c r="AO40" s="139"/>
      <c r="AP40" s="140"/>
      <c r="AQ40" s="141" t="str">
        <f t="shared" si="15"/>
        <v/>
      </c>
      <c r="AR40" s="142"/>
      <c r="AS40" s="140"/>
      <c r="AT40" s="143" t="str">
        <f t="shared" si="16"/>
        <v/>
      </c>
      <c r="AU40" s="139"/>
      <c r="AV40" s="113"/>
      <c r="AW40" s="107" t="str">
        <f t="shared" si="17"/>
        <v/>
      </c>
      <c r="AX40" s="113"/>
      <c r="AY40" s="113"/>
      <c r="AZ40" s="144" t="str">
        <f t="shared" si="18"/>
        <v/>
      </c>
      <c r="BA40" s="80"/>
      <c r="BB40" s="140"/>
      <c r="BC40" s="145" t="str">
        <f t="shared" si="19"/>
        <v/>
      </c>
      <c r="BD40" s="113"/>
      <c r="BE40" s="114"/>
      <c r="BF40" s="146" t="str">
        <f t="shared" si="20"/>
        <v/>
      </c>
      <c r="BG40" s="147" t="s">
        <v>84</v>
      </c>
      <c r="BH40" s="148"/>
      <c r="BI40" s="156"/>
      <c r="BJ40" s="150">
        <f>'Degrémont sortie'!BI40</f>
        <v>0</v>
      </c>
      <c r="BK40" s="151">
        <f>'Degrémont sortie'!BJ40</f>
        <v>0</v>
      </c>
    </row>
    <row r="41" spans="1:63" ht="14.25" outlineLevel="1">
      <c r="A41" s="121">
        <f t="shared" si="13"/>
        <v>43493</v>
      </c>
      <c r="B41" s="122">
        <v>919</v>
      </c>
      <c r="C41" s="123">
        <v>7.8</v>
      </c>
      <c r="D41" s="124">
        <v>91.9</v>
      </c>
      <c r="E41" s="125">
        <v>128.80000000000001</v>
      </c>
      <c r="F41" s="126">
        <v>29</v>
      </c>
      <c r="G41" s="127">
        <f t="shared" si="0"/>
        <v>1272.4137931034486</v>
      </c>
      <c r="H41" s="128">
        <f t="shared" si="1"/>
        <v>1169.3482758620694</v>
      </c>
      <c r="I41" s="129">
        <v>1</v>
      </c>
      <c r="J41" s="126">
        <v>2306</v>
      </c>
      <c r="K41" s="79">
        <f t="shared" si="2"/>
        <v>2306</v>
      </c>
      <c r="L41" s="128">
        <f t="shared" si="3"/>
        <v>2119.2139999999999</v>
      </c>
      <c r="M41" s="130">
        <v>1</v>
      </c>
      <c r="N41" s="126">
        <v>1323</v>
      </c>
      <c r="O41" s="80">
        <f t="shared" si="4"/>
        <v>1323</v>
      </c>
      <c r="P41" s="81">
        <f t="shared" si="5"/>
        <v>1215.837</v>
      </c>
      <c r="Q41" s="129">
        <v>20</v>
      </c>
      <c r="R41" s="131">
        <v>2.93</v>
      </c>
      <c r="S41" s="127">
        <f t="shared" si="6"/>
        <v>58.6</v>
      </c>
      <c r="T41" s="128">
        <f t="shared" si="7"/>
        <v>53.853400000000001</v>
      </c>
      <c r="U41" s="113"/>
      <c r="V41" s="81">
        <f t="shared" si="14"/>
        <v>0</v>
      </c>
      <c r="W41" s="132"/>
      <c r="X41" s="153"/>
      <c r="Y41" s="94"/>
      <c r="Z41" s="132"/>
      <c r="AA41" s="153"/>
      <c r="AB41" s="94"/>
      <c r="AC41" s="133"/>
      <c r="AD41" s="93" t="str">
        <f t="shared" si="8"/>
        <v/>
      </c>
      <c r="AE41" s="94" t="e">
        <f t="shared" si="9"/>
        <v>#VALUE!</v>
      </c>
      <c r="AF41" s="134" t="s">
        <v>85</v>
      </c>
      <c r="AG41" s="135">
        <v>0.01</v>
      </c>
      <c r="AH41" s="136">
        <f t="shared" si="10"/>
        <v>4.5950000000000001E-3</v>
      </c>
      <c r="AI41" s="80"/>
      <c r="AJ41" s="154"/>
      <c r="AK41" s="100" t="str">
        <f t="shared" si="21"/>
        <v/>
      </c>
      <c r="AL41" s="138"/>
      <c r="AM41" s="113"/>
      <c r="AN41" s="103" t="str">
        <f t="shared" si="12"/>
        <v/>
      </c>
      <c r="AO41" s="139"/>
      <c r="AP41" s="140"/>
      <c r="AQ41" s="141" t="str">
        <f t="shared" si="15"/>
        <v/>
      </c>
      <c r="AR41" s="142"/>
      <c r="AS41" s="140"/>
      <c r="AT41" s="143" t="str">
        <f t="shared" si="16"/>
        <v/>
      </c>
      <c r="AU41" s="139"/>
      <c r="AV41" s="113"/>
      <c r="AW41" s="107" t="str">
        <f t="shared" si="17"/>
        <v/>
      </c>
      <c r="AX41" s="113"/>
      <c r="AY41" s="113"/>
      <c r="AZ41" s="144" t="str">
        <f t="shared" si="18"/>
        <v/>
      </c>
      <c r="BA41" s="80"/>
      <c r="BB41" s="140"/>
      <c r="BC41" s="145" t="str">
        <f t="shared" si="19"/>
        <v/>
      </c>
      <c r="BD41" s="113"/>
      <c r="BE41" s="114"/>
      <c r="BF41" s="146" t="str">
        <f t="shared" si="20"/>
        <v/>
      </c>
      <c r="BG41" s="147" t="s">
        <v>84</v>
      </c>
      <c r="BH41" s="148"/>
      <c r="BI41" s="149" t="s">
        <v>96</v>
      </c>
      <c r="BJ41" s="150">
        <f>'Degrémont sortie'!BI41</f>
        <v>0</v>
      </c>
      <c r="BK41" s="151">
        <f>'Degrémont sortie'!BJ41</f>
        <v>0</v>
      </c>
    </row>
    <row r="42" spans="1:63" ht="14.25" outlineLevel="1">
      <c r="A42" s="152">
        <f t="shared" si="13"/>
        <v>43494</v>
      </c>
      <c r="B42" s="122">
        <v>948</v>
      </c>
      <c r="C42" s="123">
        <v>8.1</v>
      </c>
      <c r="D42" s="124">
        <v>89.8</v>
      </c>
      <c r="E42" s="125">
        <v>121.9</v>
      </c>
      <c r="F42" s="126">
        <v>36</v>
      </c>
      <c r="G42" s="127">
        <f t="shared" si="0"/>
        <v>891.66666666666686</v>
      </c>
      <c r="H42" s="128">
        <f t="shared" si="1"/>
        <v>845.30000000000018</v>
      </c>
      <c r="I42" s="129">
        <v>1</v>
      </c>
      <c r="J42" s="126">
        <v>976</v>
      </c>
      <c r="K42" s="79">
        <f t="shared" si="2"/>
        <v>976</v>
      </c>
      <c r="L42" s="128">
        <f t="shared" si="3"/>
        <v>925.24800000000005</v>
      </c>
      <c r="M42" s="130">
        <v>1</v>
      </c>
      <c r="N42" s="126">
        <v>748</v>
      </c>
      <c r="O42" s="80">
        <f t="shared" si="4"/>
        <v>748</v>
      </c>
      <c r="P42" s="81">
        <f t="shared" si="5"/>
        <v>709.10400000000004</v>
      </c>
      <c r="Q42" s="129">
        <v>20</v>
      </c>
      <c r="R42" s="131">
        <v>3.02</v>
      </c>
      <c r="S42" s="127">
        <f t="shared" si="6"/>
        <v>60.4</v>
      </c>
      <c r="T42" s="128">
        <f t="shared" si="7"/>
        <v>57.2592</v>
      </c>
      <c r="U42" s="131">
        <v>63</v>
      </c>
      <c r="V42" s="81">
        <f t="shared" si="14"/>
        <v>59.723999999999997</v>
      </c>
      <c r="W42" s="132"/>
      <c r="X42" s="153"/>
      <c r="Y42" s="94"/>
      <c r="Z42" s="132"/>
      <c r="AA42" s="153"/>
      <c r="AB42" s="94"/>
      <c r="AC42" s="133"/>
      <c r="AD42" s="93" t="str">
        <f t="shared" si="8"/>
        <v/>
      </c>
      <c r="AE42" s="94" t="e">
        <f t="shared" si="9"/>
        <v>#VALUE!</v>
      </c>
      <c r="AF42" s="134" t="s">
        <v>85</v>
      </c>
      <c r="AG42" s="135">
        <v>0.01</v>
      </c>
      <c r="AH42" s="136">
        <f t="shared" si="10"/>
        <v>4.7400000000000003E-3</v>
      </c>
      <c r="AI42" s="80"/>
      <c r="AJ42" s="154"/>
      <c r="AK42" s="100" t="str">
        <f t="shared" si="21"/>
        <v/>
      </c>
      <c r="AL42" s="138"/>
      <c r="AM42" s="131">
        <v>45</v>
      </c>
      <c r="AN42" s="103">
        <f t="shared" si="12"/>
        <v>302.49</v>
      </c>
      <c r="AO42" s="139"/>
      <c r="AP42" s="155">
        <v>146.84</v>
      </c>
      <c r="AQ42" s="141">
        <f t="shared" si="15"/>
        <v>987.05848000000003</v>
      </c>
      <c r="AR42" s="142"/>
      <c r="AS42" s="155">
        <v>0.56999999999999995</v>
      </c>
      <c r="AT42" s="143">
        <f t="shared" si="16"/>
        <v>3.8315399999999999</v>
      </c>
      <c r="AU42" s="139"/>
      <c r="AV42" s="131">
        <v>17.63</v>
      </c>
      <c r="AW42" s="107">
        <f t="shared" si="17"/>
        <v>118.50886</v>
      </c>
      <c r="AX42" s="113"/>
      <c r="AY42" s="131">
        <v>154.26</v>
      </c>
      <c r="AZ42" s="144">
        <f t="shared" si="18"/>
        <v>1036.9357199999999</v>
      </c>
      <c r="BA42" s="80"/>
      <c r="BB42" s="155">
        <v>5.79</v>
      </c>
      <c r="BC42" s="145">
        <f t="shared" si="19"/>
        <v>38.920380000000002</v>
      </c>
      <c r="BD42" s="113"/>
      <c r="BE42" s="158">
        <v>0.15</v>
      </c>
      <c r="BF42" s="146">
        <f t="shared" si="20"/>
        <v>1.0083</v>
      </c>
      <c r="BG42" s="147" t="s">
        <v>84</v>
      </c>
      <c r="BH42" s="148"/>
      <c r="BI42" s="149" t="s">
        <v>113</v>
      </c>
      <c r="BJ42" s="150">
        <f>'Degrémont sortie'!BI42</f>
        <v>0</v>
      </c>
      <c r="BK42" s="151">
        <f>'Degrémont sortie'!BJ42</f>
        <v>0</v>
      </c>
    </row>
    <row r="43" spans="1:63" ht="14.25" outlineLevel="1">
      <c r="A43" s="121">
        <f t="shared" si="13"/>
        <v>43495</v>
      </c>
      <c r="B43" s="122">
        <v>882</v>
      </c>
      <c r="C43" s="123">
        <v>8.1</v>
      </c>
      <c r="D43" s="124">
        <v>90.4</v>
      </c>
      <c r="E43" s="125">
        <v>145.30000000000001</v>
      </c>
      <c r="F43" s="126">
        <v>37</v>
      </c>
      <c r="G43" s="127">
        <f t="shared" si="0"/>
        <v>1483.783783783784</v>
      </c>
      <c r="H43" s="128">
        <f t="shared" si="1"/>
        <v>1308.6972972972976</v>
      </c>
      <c r="I43" s="129">
        <v>1</v>
      </c>
      <c r="J43" s="126">
        <v>1375</v>
      </c>
      <c r="K43" s="79">
        <f t="shared" si="2"/>
        <v>1375</v>
      </c>
      <c r="L43" s="128">
        <f t="shared" si="3"/>
        <v>1212.75</v>
      </c>
      <c r="M43" s="130">
        <v>1</v>
      </c>
      <c r="N43" s="126">
        <v>905</v>
      </c>
      <c r="O43" s="80">
        <f t="shared" si="4"/>
        <v>905</v>
      </c>
      <c r="P43" s="81">
        <f t="shared" si="5"/>
        <v>798.21</v>
      </c>
      <c r="Q43" s="129">
        <v>20</v>
      </c>
      <c r="R43" s="131">
        <v>3.63</v>
      </c>
      <c r="S43" s="127">
        <f t="shared" si="6"/>
        <v>72.599999999999994</v>
      </c>
      <c r="T43" s="128">
        <f t="shared" si="7"/>
        <v>64.033199999999994</v>
      </c>
      <c r="U43" s="113"/>
      <c r="V43" s="81">
        <f t="shared" si="14"/>
        <v>0</v>
      </c>
      <c r="W43" s="132"/>
      <c r="X43" s="153"/>
      <c r="Y43" s="94"/>
      <c r="Z43" s="132"/>
      <c r="AA43" s="153"/>
      <c r="AB43" s="94"/>
      <c r="AC43" s="133"/>
      <c r="AD43" s="93" t="str">
        <f t="shared" si="8"/>
        <v/>
      </c>
      <c r="AE43" s="94" t="e">
        <f t="shared" si="9"/>
        <v>#VALUE!</v>
      </c>
      <c r="AF43" s="134" t="s">
        <v>85</v>
      </c>
      <c r="AG43" s="135">
        <v>0.01</v>
      </c>
      <c r="AH43" s="136">
        <f t="shared" si="10"/>
        <v>4.4099999999999999E-3</v>
      </c>
      <c r="AI43" s="80"/>
      <c r="AJ43" s="154"/>
      <c r="AK43" s="100" t="str">
        <f t="shared" si="21"/>
        <v/>
      </c>
      <c r="AL43" s="138"/>
      <c r="AM43" s="113"/>
      <c r="AN43" s="103" t="str">
        <f t="shared" si="12"/>
        <v/>
      </c>
      <c r="AO43" s="139"/>
      <c r="AP43" s="140"/>
      <c r="AQ43" s="141" t="str">
        <f t="shared" si="15"/>
        <v/>
      </c>
      <c r="AR43" s="142"/>
      <c r="AS43" s="140"/>
      <c r="AT43" s="143" t="str">
        <f t="shared" si="16"/>
        <v/>
      </c>
      <c r="AU43" s="139"/>
      <c r="AV43" s="113"/>
      <c r="AW43" s="107" t="str">
        <f t="shared" si="17"/>
        <v/>
      </c>
      <c r="AX43" s="113"/>
      <c r="AY43" s="113"/>
      <c r="AZ43" s="144" t="str">
        <f t="shared" si="18"/>
        <v/>
      </c>
      <c r="BA43" s="80"/>
      <c r="BB43" s="140"/>
      <c r="BC43" s="145" t="str">
        <f t="shared" si="19"/>
        <v/>
      </c>
      <c r="BD43" s="113"/>
      <c r="BE43" s="114"/>
      <c r="BF43" s="146" t="str">
        <f t="shared" si="20"/>
        <v/>
      </c>
      <c r="BG43" s="147" t="s">
        <v>84</v>
      </c>
      <c r="BH43" s="148"/>
      <c r="BI43" s="149" t="s">
        <v>115</v>
      </c>
      <c r="BJ43" s="150">
        <f>'Degrémont sortie'!BI43</f>
        <v>0</v>
      </c>
      <c r="BK43" s="151">
        <f>'Degrémont sortie'!BJ43</f>
        <v>0</v>
      </c>
    </row>
    <row r="44" spans="1:63" ht="14.25" outlineLevel="1">
      <c r="A44" s="152">
        <f t="shared" si="13"/>
        <v>43496</v>
      </c>
      <c r="B44" s="122">
        <v>886</v>
      </c>
      <c r="C44" s="123">
        <v>7.8</v>
      </c>
      <c r="D44" s="124">
        <v>89.5</v>
      </c>
      <c r="E44" s="125">
        <v>146</v>
      </c>
      <c r="F44" s="126">
        <v>34</v>
      </c>
      <c r="G44" s="127">
        <f t="shared" si="0"/>
        <v>1661.7647058823529</v>
      </c>
      <c r="H44" s="128">
        <f t="shared" si="1"/>
        <v>1472.3235294117646</v>
      </c>
      <c r="I44" s="129">
        <v>1</v>
      </c>
      <c r="J44" s="126">
        <v>1454</v>
      </c>
      <c r="K44" s="79">
        <f t="shared" si="2"/>
        <v>1454</v>
      </c>
      <c r="L44" s="128">
        <f t="shared" si="3"/>
        <v>1288.2439999999999</v>
      </c>
      <c r="M44" s="130">
        <v>1</v>
      </c>
      <c r="N44" s="126">
        <v>415</v>
      </c>
      <c r="O44" s="80">
        <f t="shared" si="4"/>
        <v>415</v>
      </c>
      <c r="P44" s="81">
        <f t="shared" si="5"/>
        <v>367.69</v>
      </c>
      <c r="Q44" s="129">
        <v>20</v>
      </c>
      <c r="R44" s="131">
        <v>4.88</v>
      </c>
      <c r="S44" s="127">
        <f t="shared" si="6"/>
        <v>97.6</v>
      </c>
      <c r="T44" s="128">
        <f t="shared" si="7"/>
        <v>86.47359999999999</v>
      </c>
      <c r="U44" s="113"/>
      <c r="V44" s="81">
        <f t="shared" si="14"/>
        <v>0</v>
      </c>
      <c r="W44" s="132"/>
      <c r="X44" s="153"/>
      <c r="Y44" s="94"/>
      <c r="Z44" s="132"/>
      <c r="AA44" s="153"/>
      <c r="AB44" s="94"/>
      <c r="AC44" s="133"/>
      <c r="AD44" s="93" t="str">
        <f t="shared" si="8"/>
        <v/>
      </c>
      <c r="AE44" s="94" t="e">
        <f t="shared" si="9"/>
        <v>#VALUE!</v>
      </c>
      <c r="AF44" s="134" t="s">
        <v>85</v>
      </c>
      <c r="AG44" s="135">
        <v>0.01</v>
      </c>
      <c r="AH44" s="136">
        <f t="shared" si="10"/>
        <v>4.4299999999999999E-3</v>
      </c>
      <c r="AI44" s="80"/>
      <c r="AJ44" s="154"/>
      <c r="AK44" s="100" t="str">
        <f t="shared" si="21"/>
        <v/>
      </c>
      <c r="AL44" s="138"/>
      <c r="AM44" s="113"/>
      <c r="AN44" s="103" t="str">
        <f t="shared" si="12"/>
        <v/>
      </c>
      <c r="AO44" s="139"/>
      <c r="AP44" s="140"/>
      <c r="AQ44" s="141" t="str">
        <f t="shared" si="15"/>
        <v/>
      </c>
      <c r="AR44" s="142"/>
      <c r="AS44" s="140"/>
      <c r="AT44" s="143" t="str">
        <f t="shared" si="16"/>
        <v/>
      </c>
      <c r="AU44" s="139"/>
      <c r="AV44" s="113"/>
      <c r="AW44" s="107" t="str">
        <f t="shared" si="17"/>
        <v/>
      </c>
      <c r="AX44" s="113"/>
      <c r="AY44" s="113"/>
      <c r="AZ44" s="144" t="str">
        <f t="shared" si="18"/>
        <v/>
      </c>
      <c r="BA44" s="80"/>
      <c r="BB44" s="140"/>
      <c r="BC44" s="145" t="str">
        <f t="shared" si="19"/>
        <v/>
      </c>
      <c r="BD44" s="113"/>
      <c r="BE44" s="114"/>
      <c r="BF44" s="146" t="str">
        <f t="shared" si="20"/>
        <v/>
      </c>
      <c r="BG44" s="147" t="s">
        <v>84</v>
      </c>
      <c r="BH44" s="148"/>
      <c r="BI44" s="149" t="s">
        <v>116</v>
      </c>
      <c r="BJ44" s="150">
        <f>'Degrémont sortie'!BI44</f>
        <v>0</v>
      </c>
      <c r="BK44" s="151">
        <f>'Degrémont sortie'!BJ44</f>
        <v>0</v>
      </c>
    </row>
    <row r="45" spans="1:63" ht="15.75" customHeight="1" outlineLevel="1">
      <c r="A45" s="121">
        <f t="shared" si="13"/>
        <v>43497</v>
      </c>
      <c r="B45" s="122">
        <v>899</v>
      </c>
      <c r="C45" s="123">
        <v>7.8</v>
      </c>
      <c r="D45" s="124">
        <v>90.1</v>
      </c>
      <c r="E45" s="125">
        <v>134.80000000000001</v>
      </c>
      <c r="F45" s="126">
        <v>26</v>
      </c>
      <c r="G45" s="127">
        <f t="shared" si="0"/>
        <v>1719.2307692307697</v>
      </c>
      <c r="H45" s="128">
        <f t="shared" si="1"/>
        <v>1545.5884615384621</v>
      </c>
      <c r="I45" s="129">
        <v>1</v>
      </c>
      <c r="J45" s="126">
        <v>2881</v>
      </c>
      <c r="K45" s="79">
        <f t="shared" si="2"/>
        <v>2881</v>
      </c>
      <c r="L45" s="128">
        <f t="shared" si="3"/>
        <v>2590.0189999999998</v>
      </c>
      <c r="M45" s="130">
        <v>1</v>
      </c>
      <c r="N45" s="126">
        <v>792</v>
      </c>
      <c r="O45" s="80">
        <f t="shared" si="4"/>
        <v>792</v>
      </c>
      <c r="P45" s="81">
        <f t="shared" si="5"/>
        <v>712.00800000000004</v>
      </c>
      <c r="Q45" s="129">
        <v>20</v>
      </c>
      <c r="R45" s="131">
        <v>4.3099999999999996</v>
      </c>
      <c r="S45" s="127">
        <f t="shared" si="6"/>
        <v>86.199999999999989</v>
      </c>
      <c r="T45" s="128">
        <f t="shared" si="7"/>
        <v>77.493799999999993</v>
      </c>
      <c r="U45" s="113"/>
      <c r="V45" s="81">
        <f t="shared" si="14"/>
        <v>0</v>
      </c>
      <c r="W45" s="132"/>
      <c r="X45" s="153"/>
      <c r="Y45" s="94"/>
      <c r="Z45" s="132"/>
      <c r="AA45" s="153"/>
      <c r="AB45" s="94"/>
      <c r="AC45" s="133"/>
      <c r="AD45" s="93" t="str">
        <f t="shared" si="8"/>
        <v/>
      </c>
      <c r="AE45" s="94" t="e">
        <f t="shared" si="9"/>
        <v>#VALUE!</v>
      </c>
      <c r="AF45" s="139"/>
      <c r="AG45" s="135">
        <v>0.01</v>
      </c>
      <c r="AH45" s="136">
        <f t="shared" si="10"/>
        <v>8.9899999999999997E-3</v>
      </c>
      <c r="AI45" s="80"/>
      <c r="AJ45" s="154"/>
      <c r="AK45" s="100" t="str">
        <f t="shared" si="21"/>
        <v/>
      </c>
      <c r="AL45" s="138"/>
      <c r="AM45" s="113"/>
      <c r="AN45" s="103" t="str">
        <f t="shared" si="12"/>
        <v/>
      </c>
      <c r="AO45" s="139"/>
      <c r="AP45" s="140"/>
      <c r="AQ45" s="141" t="str">
        <f t="shared" si="15"/>
        <v/>
      </c>
      <c r="AR45" s="142"/>
      <c r="AS45" s="140"/>
      <c r="AT45" s="143" t="str">
        <f t="shared" si="16"/>
        <v/>
      </c>
      <c r="AU45" s="139"/>
      <c r="AV45" s="113"/>
      <c r="AW45" s="107" t="str">
        <f t="shared" si="17"/>
        <v/>
      </c>
      <c r="AX45" s="113"/>
      <c r="AY45" s="113"/>
      <c r="AZ45" s="144" t="str">
        <f t="shared" si="18"/>
        <v/>
      </c>
      <c r="BA45" s="80"/>
      <c r="BB45" s="140"/>
      <c r="BC45" s="145" t="str">
        <f t="shared" si="19"/>
        <v/>
      </c>
      <c r="BD45" s="113"/>
      <c r="BE45" s="114"/>
      <c r="BF45" s="146" t="str">
        <f t="shared" si="20"/>
        <v/>
      </c>
      <c r="BG45" s="147" t="s">
        <v>84</v>
      </c>
      <c r="BH45" s="148"/>
      <c r="BI45" s="156"/>
      <c r="BJ45" s="150">
        <f>'Degrémont sortie'!BI45</f>
        <v>0</v>
      </c>
      <c r="BK45" s="151">
        <f>'Degrémont sortie'!BJ45</f>
        <v>0</v>
      </c>
    </row>
    <row r="46" spans="1:63" ht="15.75" customHeight="1" outlineLevel="1">
      <c r="A46" s="152">
        <f t="shared" si="13"/>
        <v>43498</v>
      </c>
      <c r="B46" s="122">
        <v>857</v>
      </c>
      <c r="C46" s="123">
        <v>7.7</v>
      </c>
      <c r="D46" s="124">
        <v>89.5</v>
      </c>
      <c r="E46" s="125">
        <v>164.1</v>
      </c>
      <c r="F46" s="126">
        <v>27</v>
      </c>
      <c r="G46" s="127">
        <f t="shared" si="0"/>
        <v>2762.962962962963</v>
      </c>
      <c r="H46" s="128">
        <f t="shared" si="1"/>
        <v>2367.8592592592595</v>
      </c>
      <c r="I46" s="129">
        <v>1</v>
      </c>
      <c r="J46" s="126">
        <v>4166</v>
      </c>
      <c r="K46" s="79">
        <f t="shared" si="2"/>
        <v>4166</v>
      </c>
      <c r="L46" s="128">
        <f t="shared" si="3"/>
        <v>3570.2620000000002</v>
      </c>
      <c r="M46" s="130">
        <v>1</v>
      </c>
      <c r="N46" s="126">
        <v>916</v>
      </c>
      <c r="O46" s="80">
        <f t="shared" si="4"/>
        <v>916</v>
      </c>
      <c r="P46" s="81">
        <f t="shared" si="5"/>
        <v>785.01199999999994</v>
      </c>
      <c r="Q46" s="129">
        <v>20</v>
      </c>
      <c r="R46" s="131">
        <v>4.47</v>
      </c>
      <c r="S46" s="127">
        <f t="shared" si="6"/>
        <v>89.399999999999991</v>
      </c>
      <c r="T46" s="128">
        <f t="shared" si="7"/>
        <v>76.615799999999993</v>
      </c>
      <c r="U46" s="113"/>
      <c r="V46" s="81">
        <f t="shared" si="14"/>
        <v>0</v>
      </c>
      <c r="W46" s="132"/>
      <c r="X46" s="153"/>
      <c r="Y46" s="94"/>
      <c r="Z46" s="132"/>
      <c r="AA46" s="153"/>
      <c r="AB46" s="94"/>
      <c r="AC46" s="133"/>
      <c r="AD46" s="93" t="str">
        <f t="shared" si="8"/>
        <v/>
      </c>
      <c r="AE46" s="94" t="e">
        <f t="shared" si="9"/>
        <v>#VALUE!</v>
      </c>
      <c r="AF46" s="139"/>
      <c r="AG46" s="135">
        <v>0.01</v>
      </c>
      <c r="AH46" s="136">
        <f t="shared" si="10"/>
        <v>8.5699999999999995E-3</v>
      </c>
      <c r="AI46" s="80"/>
      <c r="AJ46" s="154"/>
      <c r="AK46" s="100" t="str">
        <f t="shared" si="21"/>
        <v/>
      </c>
      <c r="AL46" s="138"/>
      <c r="AM46" s="113"/>
      <c r="AN46" s="103" t="str">
        <f t="shared" si="12"/>
        <v/>
      </c>
      <c r="AO46" s="139"/>
      <c r="AP46" s="140"/>
      <c r="AQ46" s="141" t="str">
        <f t="shared" si="15"/>
        <v/>
      </c>
      <c r="AR46" s="142"/>
      <c r="AS46" s="140"/>
      <c r="AT46" s="143" t="str">
        <f t="shared" si="16"/>
        <v/>
      </c>
      <c r="AU46" s="139"/>
      <c r="AV46" s="113"/>
      <c r="AW46" s="107" t="str">
        <f t="shared" si="17"/>
        <v/>
      </c>
      <c r="AX46" s="113"/>
      <c r="AY46" s="113"/>
      <c r="AZ46" s="144" t="str">
        <f t="shared" si="18"/>
        <v/>
      </c>
      <c r="BA46" s="80"/>
      <c r="BB46" s="140"/>
      <c r="BC46" s="145" t="str">
        <f t="shared" si="19"/>
        <v/>
      </c>
      <c r="BD46" s="113"/>
      <c r="BE46" s="114"/>
      <c r="BF46" s="146" t="str">
        <f t="shared" si="20"/>
        <v/>
      </c>
      <c r="BG46" s="147" t="s">
        <v>84</v>
      </c>
      <c r="BH46" s="148"/>
      <c r="BI46" s="149" t="s">
        <v>122</v>
      </c>
      <c r="BJ46" s="150">
        <f>'Degrémont sortie'!BI46</f>
        <v>0</v>
      </c>
      <c r="BK46" s="151">
        <f>'Degrémont sortie'!BJ46</f>
        <v>0</v>
      </c>
    </row>
    <row r="47" spans="1:63" ht="15.75" customHeight="1" outlineLevel="1">
      <c r="A47" s="121">
        <f t="shared" si="13"/>
        <v>43499</v>
      </c>
      <c r="B47" s="207"/>
      <c r="C47" s="208"/>
      <c r="D47" s="210"/>
      <c r="E47" s="211"/>
      <c r="F47" s="80"/>
      <c r="G47" s="127">
        <f t="shared" si="0"/>
        <v>0</v>
      </c>
      <c r="H47" s="128">
        <f t="shared" si="1"/>
        <v>0</v>
      </c>
      <c r="I47" s="129">
        <v>1</v>
      </c>
      <c r="J47" s="80"/>
      <c r="K47" s="79">
        <f t="shared" si="2"/>
        <v>0</v>
      </c>
      <c r="L47" s="128">
        <f t="shared" si="3"/>
        <v>0</v>
      </c>
      <c r="M47" s="130">
        <v>1</v>
      </c>
      <c r="N47" s="80"/>
      <c r="O47" s="80" t="str">
        <f t="shared" si="4"/>
        <v/>
      </c>
      <c r="P47" s="81">
        <f t="shared" si="5"/>
        <v>0</v>
      </c>
      <c r="Q47" s="213"/>
      <c r="R47" s="113"/>
      <c r="S47" s="127" t="str">
        <f t="shared" si="6"/>
        <v/>
      </c>
      <c r="T47" s="128">
        <f t="shared" si="7"/>
        <v>0</v>
      </c>
      <c r="U47" s="113"/>
      <c r="V47" s="81">
        <f t="shared" si="14"/>
        <v>0</v>
      </c>
      <c r="W47" s="132"/>
      <c r="X47" s="153"/>
      <c r="Y47" s="94"/>
      <c r="Z47" s="132"/>
      <c r="AA47" s="153"/>
      <c r="AB47" s="94"/>
      <c r="AC47" s="133"/>
      <c r="AD47" s="93" t="str">
        <f t="shared" si="8"/>
        <v/>
      </c>
      <c r="AE47" s="94" t="str">
        <f t="shared" si="9"/>
        <v/>
      </c>
      <c r="AF47" s="139"/>
      <c r="AG47" s="215"/>
      <c r="AH47" s="136" t="str">
        <f t="shared" si="10"/>
        <v/>
      </c>
      <c r="AI47" s="80"/>
      <c r="AJ47" s="154"/>
      <c r="AK47" s="100" t="str">
        <f t="shared" si="21"/>
        <v/>
      </c>
      <c r="AL47" s="138"/>
      <c r="AM47" s="113"/>
      <c r="AN47" s="103" t="str">
        <f t="shared" si="12"/>
        <v/>
      </c>
      <c r="AO47" s="139"/>
      <c r="AP47" s="140"/>
      <c r="AQ47" s="141" t="str">
        <f t="shared" si="15"/>
        <v/>
      </c>
      <c r="AR47" s="142"/>
      <c r="AS47" s="140"/>
      <c r="AT47" s="143" t="str">
        <f t="shared" si="16"/>
        <v/>
      </c>
      <c r="AU47" s="139"/>
      <c r="AV47" s="113"/>
      <c r="AW47" s="107" t="str">
        <f t="shared" si="17"/>
        <v/>
      </c>
      <c r="AX47" s="113"/>
      <c r="AY47" s="113"/>
      <c r="AZ47" s="144" t="str">
        <f t="shared" si="18"/>
        <v/>
      </c>
      <c r="BA47" s="80"/>
      <c r="BB47" s="140"/>
      <c r="BC47" s="145" t="str">
        <f t="shared" si="19"/>
        <v/>
      </c>
      <c r="BD47" s="113"/>
      <c r="BE47" s="114"/>
      <c r="BF47" s="146" t="str">
        <f t="shared" si="20"/>
        <v/>
      </c>
      <c r="BG47" s="147" t="s">
        <v>84</v>
      </c>
      <c r="BH47" s="148"/>
      <c r="BI47" s="156"/>
      <c r="BJ47" s="150">
        <f>'Degrémont sortie'!BI47</f>
        <v>0</v>
      </c>
      <c r="BK47" s="151">
        <f>'Degrémont sortie'!BJ47</f>
        <v>0</v>
      </c>
    </row>
    <row r="48" spans="1:63" ht="15.75" customHeight="1" outlineLevel="1">
      <c r="A48" s="152">
        <f t="shared" si="13"/>
        <v>43500</v>
      </c>
      <c r="B48" s="122">
        <v>868</v>
      </c>
      <c r="C48" s="123">
        <v>7.6</v>
      </c>
      <c r="D48" s="124">
        <v>88.2</v>
      </c>
      <c r="E48" s="125">
        <v>214.4</v>
      </c>
      <c r="F48" s="126">
        <v>32</v>
      </c>
      <c r="G48" s="127">
        <f t="shared" si="0"/>
        <v>3943.75</v>
      </c>
      <c r="H48" s="128">
        <f t="shared" si="1"/>
        <v>3423.1750000000002</v>
      </c>
      <c r="I48" s="129">
        <v>1</v>
      </c>
      <c r="J48" s="126">
        <v>5642</v>
      </c>
      <c r="K48" s="79">
        <f t="shared" si="2"/>
        <v>5642</v>
      </c>
      <c r="L48" s="128">
        <f t="shared" si="3"/>
        <v>4897.2560000000003</v>
      </c>
      <c r="M48" s="130">
        <v>1</v>
      </c>
      <c r="N48" s="126">
        <v>1537</v>
      </c>
      <c r="O48" s="80">
        <f t="shared" si="4"/>
        <v>1537</v>
      </c>
      <c r="P48" s="81">
        <f t="shared" si="5"/>
        <v>1334.116</v>
      </c>
      <c r="Q48" s="129">
        <v>20</v>
      </c>
      <c r="R48" s="131">
        <v>8.39</v>
      </c>
      <c r="S48" s="127">
        <f t="shared" si="6"/>
        <v>167.8</v>
      </c>
      <c r="T48" s="128">
        <f t="shared" si="7"/>
        <v>145.65040000000002</v>
      </c>
      <c r="U48" s="113"/>
      <c r="V48" s="81">
        <f t="shared" si="14"/>
        <v>0</v>
      </c>
      <c r="W48" s="132"/>
      <c r="X48" s="153"/>
      <c r="Y48" s="94"/>
      <c r="Z48" s="132"/>
      <c r="AA48" s="153"/>
      <c r="AB48" s="94"/>
      <c r="AC48" s="133"/>
      <c r="AD48" s="93" t="str">
        <f t="shared" si="8"/>
        <v/>
      </c>
      <c r="AE48" s="94" t="e">
        <f t="shared" si="9"/>
        <v>#VALUE!</v>
      </c>
      <c r="AF48" s="139"/>
      <c r="AG48" s="135">
        <v>0.01</v>
      </c>
      <c r="AH48" s="136">
        <f t="shared" si="10"/>
        <v>8.6800000000000002E-3</v>
      </c>
      <c r="AI48" s="80"/>
      <c r="AJ48" s="154"/>
      <c r="AK48" s="100" t="str">
        <f t="shared" si="21"/>
        <v/>
      </c>
      <c r="AL48" s="138"/>
      <c r="AM48" s="113"/>
      <c r="AN48" s="103" t="str">
        <f t="shared" si="12"/>
        <v/>
      </c>
      <c r="AO48" s="139"/>
      <c r="AP48" s="140"/>
      <c r="AQ48" s="141" t="str">
        <f t="shared" si="15"/>
        <v/>
      </c>
      <c r="AR48" s="142"/>
      <c r="AS48" s="140"/>
      <c r="AT48" s="143" t="str">
        <f t="shared" si="16"/>
        <v/>
      </c>
      <c r="AU48" s="139"/>
      <c r="AV48" s="113"/>
      <c r="AW48" s="107" t="str">
        <f t="shared" si="17"/>
        <v/>
      </c>
      <c r="AX48" s="113"/>
      <c r="AY48" s="113"/>
      <c r="AZ48" s="144" t="str">
        <f t="shared" si="18"/>
        <v/>
      </c>
      <c r="BA48" s="80"/>
      <c r="BB48" s="140"/>
      <c r="BC48" s="145" t="str">
        <f t="shared" si="19"/>
        <v/>
      </c>
      <c r="BD48" s="113"/>
      <c r="BE48" s="114"/>
      <c r="BF48" s="146" t="str">
        <f t="shared" si="20"/>
        <v/>
      </c>
      <c r="BG48" s="147" t="s">
        <v>84</v>
      </c>
      <c r="BH48" s="148"/>
      <c r="BI48" s="149" t="s">
        <v>125</v>
      </c>
      <c r="BJ48" s="150">
        <f>'Degrémont sortie'!BI48</f>
        <v>0</v>
      </c>
      <c r="BK48" s="151">
        <f>'Degrémont sortie'!BJ48</f>
        <v>0</v>
      </c>
    </row>
    <row r="49" spans="1:63" ht="15.75" customHeight="1" outlineLevel="1">
      <c r="A49" s="121">
        <f t="shared" si="13"/>
        <v>43501</v>
      </c>
      <c r="B49" s="122">
        <v>958</v>
      </c>
      <c r="C49" s="123">
        <v>7.6</v>
      </c>
      <c r="D49" s="124">
        <v>87.5</v>
      </c>
      <c r="E49" s="125">
        <v>290</v>
      </c>
      <c r="F49" s="126">
        <v>28</v>
      </c>
      <c r="G49" s="127">
        <f t="shared" si="0"/>
        <v>7232.1428571428569</v>
      </c>
      <c r="H49" s="128">
        <f t="shared" si="1"/>
        <v>6928.3928571428569</v>
      </c>
      <c r="I49" s="129">
        <v>1</v>
      </c>
      <c r="J49" s="126">
        <v>7737</v>
      </c>
      <c r="K49" s="79">
        <f t="shared" si="2"/>
        <v>7737</v>
      </c>
      <c r="L49" s="128">
        <f t="shared" si="3"/>
        <v>7412.0460000000003</v>
      </c>
      <c r="M49" s="130">
        <v>1</v>
      </c>
      <c r="N49" s="126">
        <v>981</v>
      </c>
      <c r="O49" s="80">
        <f t="shared" si="4"/>
        <v>981</v>
      </c>
      <c r="P49" s="81">
        <f t="shared" si="5"/>
        <v>939.798</v>
      </c>
      <c r="Q49" s="129">
        <v>20</v>
      </c>
      <c r="R49" s="131">
        <v>12.3</v>
      </c>
      <c r="S49" s="127">
        <f t="shared" si="6"/>
        <v>246</v>
      </c>
      <c r="T49" s="128">
        <f t="shared" si="7"/>
        <v>235.66800000000001</v>
      </c>
      <c r="U49" s="131">
        <v>59</v>
      </c>
      <c r="V49" s="81">
        <f t="shared" si="14"/>
        <v>56.521999999999998</v>
      </c>
      <c r="W49" s="132"/>
      <c r="X49" s="153"/>
      <c r="Y49" s="94"/>
      <c r="Z49" s="132"/>
      <c r="AA49" s="153"/>
      <c r="AB49" s="94"/>
      <c r="AC49" s="133"/>
      <c r="AD49" s="93" t="str">
        <f t="shared" si="8"/>
        <v/>
      </c>
      <c r="AE49" s="94" t="e">
        <f t="shared" si="9"/>
        <v>#VALUE!</v>
      </c>
      <c r="AF49" s="134" t="s">
        <v>85</v>
      </c>
      <c r="AG49" s="135">
        <v>0.01</v>
      </c>
      <c r="AH49" s="136">
        <f t="shared" si="10"/>
        <v>4.79E-3</v>
      </c>
      <c r="AI49" s="80"/>
      <c r="AJ49" s="154"/>
      <c r="AK49" s="100" t="str">
        <f t="shared" si="21"/>
        <v/>
      </c>
      <c r="AL49" s="138"/>
      <c r="AM49" s="131">
        <v>52</v>
      </c>
      <c r="AN49" s="103">
        <f t="shared" si="12"/>
        <v>379.91199999999998</v>
      </c>
      <c r="AO49" s="139"/>
      <c r="AP49" s="155">
        <v>27.21</v>
      </c>
      <c r="AQ49" s="141">
        <f t="shared" si="15"/>
        <v>198.79626000000002</v>
      </c>
      <c r="AR49" s="142"/>
      <c r="AS49" s="155">
        <v>0.77</v>
      </c>
      <c r="AT49" s="143">
        <f t="shared" si="16"/>
        <v>5.6256200000000005</v>
      </c>
      <c r="AU49" s="139"/>
      <c r="AV49" s="131">
        <v>15.48</v>
      </c>
      <c r="AW49" s="107">
        <f t="shared" si="17"/>
        <v>113.09688</v>
      </c>
      <c r="AX49" s="113"/>
      <c r="AY49" s="131">
        <v>153.4</v>
      </c>
      <c r="AZ49" s="144">
        <f t="shared" si="18"/>
        <v>1120.7404000000001</v>
      </c>
      <c r="BA49" s="80"/>
      <c r="BB49" s="155">
        <v>0.49</v>
      </c>
      <c r="BC49" s="145">
        <f t="shared" si="19"/>
        <v>3.5799400000000001</v>
      </c>
      <c r="BD49" s="131" t="s">
        <v>85</v>
      </c>
      <c r="BE49" s="158">
        <v>0.13</v>
      </c>
      <c r="BF49" s="146">
        <f t="shared" si="20"/>
        <v>0.47489000000000003</v>
      </c>
      <c r="BG49" s="147" t="s">
        <v>84</v>
      </c>
      <c r="BH49" s="148"/>
      <c r="BI49" s="149" t="s">
        <v>115</v>
      </c>
      <c r="BJ49" s="150">
        <f>'Degrémont sortie'!BI49</f>
        <v>0</v>
      </c>
      <c r="BK49" s="151">
        <f>'Degrémont sortie'!BJ49</f>
        <v>0</v>
      </c>
    </row>
    <row r="50" spans="1:63" ht="14.25" outlineLevel="1">
      <c r="A50" s="152">
        <f t="shared" si="13"/>
        <v>43502</v>
      </c>
      <c r="B50" s="183">
        <v>1008</v>
      </c>
      <c r="C50" s="184">
        <v>7.5</v>
      </c>
      <c r="D50" s="185">
        <v>90.4</v>
      </c>
      <c r="E50" s="186">
        <v>288</v>
      </c>
      <c r="F50" s="187">
        <v>30</v>
      </c>
      <c r="G50" s="127">
        <f t="shared" si="0"/>
        <v>6586.666666666667</v>
      </c>
      <c r="H50" s="128">
        <f t="shared" si="1"/>
        <v>6639.36</v>
      </c>
      <c r="I50" s="188">
        <v>1</v>
      </c>
      <c r="J50" s="187">
        <v>7557</v>
      </c>
      <c r="K50" s="79">
        <f t="shared" si="2"/>
        <v>7557</v>
      </c>
      <c r="L50" s="128">
        <f t="shared" si="3"/>
        <v>7617.4560000000001</v>
      </c>
      <c r="M50" s="189">
        <v>1</v>
      </c>
      <c r="N50" s="187">
        <v>1133</v>
      </c>
      <c r="O50" s="80">
        <f t="shared" si="4"/>
        <v>1133</v>
      </c>
      <c r="P50" s="81">
        <f t="shared" si="5"/>
        <v>1142.0640000000001</v>
      </c>
      <c r="Q50" s="188">
        <v>20</v>
      </c>
      <c r="R50" s="190">
        <v>19.8</v>
      </c>
      <c r="S50" s="127">
        <f t="shared" si="6"/>
        <v>396</v>
      </c>
      <c r="T50" s="128">
        <f t="shared" si="7"/>
        <v>399.16800000000001</v>
      </c>
      <c r="U50" s="191"/>
      <c r="V50" s="81">
        <f t="shared" si="14"/>
        <v>0</v>
      </c>
      <c r="W50" s="132"/>
      <c r="X50" s="153"/>
      <c r="Y50" s="94"/>
      <c r="Z50" s="132"/>
      <c r="AA50" s="153"/>
      <c r="AB50" s="94"/>
      <c r="AC50" s="133"/>
      <c r="AD50" s="93" t="str">
        <f t="shared" si="8"/>
        <v/>
      </c>
      <c r="AE50" s="94" t="e">
        <f t="shared" si="9"/>
        <v>#VALUE!</v>
      </c>
      <c r="AF50" s="192" t="s">
        <v>85</v>
      </c>
      <c r="AG50" s="193">
        <v>0.01</v>
      </c>
      <c r="AH50" s="136">
        <f t="shared" si="10"/>
        <v>5.0400000000000002E-3</v>
      </c>
      <c r="AI50" s="80"/>
      <c r="AJ50" s="154"/>
      <c r="AK50" s="100" t="str">
        <f t="shared" si="21"/>
        <v/>
      </c>
      <c r="AL50" s="194"/>
      <c r="AM50" s="191"/>
      <c r="AN50" s="103" t="str">
        <f t="shared" si="12"/>
        <v/>
      </c>
      <c r="AO50" s="195"/>
      <c r="AP50" s="196"/>
      <c r="AQ50" s="141" t="str">
        <f t="shared" si="15"/>
        <v/>
      </c>
      <c r="AR50" s="197"/>
      <c r="AS50" s="196"/>
      <c r="AT50" s="143" t="str">
        <f t="shared" si="16"/>
        <v/>
      </c>
      <c r="AU50" s="195"/>
      <c r="AV50" s="191"/>
      <c r="AW50" s="107" t="str">
        <f t="shared" si="17"/>
        <v/>
      </c>
      <c r="AX50" s="191"/>
      <c r="AY50" s="191"/>
      <c r="AZ50" s="144" t="str">
        <f t="shared" si="18"/>
        <v/>
      </c>
      <c r="BA50" s="198"/>
      <c r="BB50" s="196"/>
      <c r="BC50" s="145" t="str">
        <f t="shared" si="19"/>
        <v/>
      </c>
      <c r="BD50" s="191"/>
      <c r="BE50" s="199"/>
      <c r="BF50" s="146" t="str">
        <f t="shared" si="20"/>
        <v/>
      </c>
      <c r="BG50" s="147" t="s">
        <v>84</v>
      </c>
      <c r="BH50" s="200"/>
      <c r="BI50" s="201" t="s">
        <v>131</v>
      </c>
      <c r="BJ50" s="150">
        <f>'Degrémont sortie'!BI50</f>
        <v>0</v>
      </c>
      <c r="BK50" s="151">
        <f>'Degrémont sortie'!BJ50</f>
        <v>0</v>
      </c>
    </row>
    <row r="51" spans="1:63" ht="14.25" outlineLevel="1">
      <c r="A51" s="121">
        <f t="shared" si="13"/>
        <v>43503</v>
      </c>
      <c r="B51" s="122">
        <v>841</v>
      </c>
      <c r="C51" s="123">
        <v>7.8</v>
      </c>
      <c r="D51" s="124">
        <v>87.4</v>
      </c>
      <c r="E51" s="125">
        <v>543</v>
      </c>
      <c r="F51" s="126">
        <v>35</v>
      </c>
      <c r="G51" s="127">
        <f t="shared" si="0"/>
        <v>13017.142857142857</v>
      </c>
      <c r="H51" s="128">
        <f t="shared" si="1"/>
        <v>10947.417142857143</v>
      </c>
      <c r="I51" s="129">
        <v>1</v>
      </c>
      <c r="J51" s="126">
        <v>11233</v>
      </c>
      <c r="K51" s="79">
        <f t="shared" si="2"/>
        <v>11233</v>
      </c>
      <c r="L51" s="128">
        <f t="shared" si="3"/>
        <v>9446.9529999999995</v>
      </c>
      <c r="M51" s="130">
        <v>1</v>
      </c>
      <c r="N51" s="126">
        <v>782</v>
      </c>
      <c r="O51" s="80">
        <f t="shared" si="4"/>
        <v>782</v>
      </c>
      <c r="P51" s="81">
        <f t="shared" si="5"/>
        <v>657.66200000000003</v>
      </c>
      <c r="Q51" s="129">
        <v>50</v>
      </c>
      <c r="R51" s="131">
        <v>9.6</v>
      </c>
      <c r="S51" s="127">
        <f t="shared" si="6"/>
        <v>480</v>
      </c>
      <c r="T51" s="128">
        <f t="shared" si="7"/>
        <v>403.68</v>
      </c>
      <c r="U51" s="113"/>
      <c r="V51" s="81">
        <f t="shared" si="14"/>
        <v>0</v>
      </c>
      <c r="W51" s="132"/>
      <c r="X51" s="153"/>
      <c r="Y51" s="94"/>
      <c r="Z51" s="132"/>
      <c r="AA51" s="153"/>
      <c r="AB51" s="94"/>
      <c r="AC51" s="133"/>
      <c r="AD51" s="93" t="str">
        <f t="shared" si="8"/>
        <v/>
      </c>
      <c r="AE51" s="94" t="e">
        <f t="shared" si="9"/>
        <v>#VALUE!</v>
      </c>
      <c r="AF51" s="134" t="s">
        <v>85</v>
      </c>
      <c r="AG51" s="135">
        <v>0.01</v>
      </c>
      <c r="AH51" s="136">
        <f t="shared" si="10"/>
        <v>4.2050000000000004E-3</v>
      </c>
      <c r="AI51" s="80"/>
      <c r="AJ51" s="154"/>
      <c r="AK51" s="100" t="str">
        <f t="shared" si="21"/>
        <v/>
      </c>
      <c r="AL51" s="138"/>
      <c r="AM51" s="113"/>
      <c r="AN51" s="103" t="str">
        <f t="shared" si="12"/>
        <v/>
      </c>
      <c r="AO51" s="139"/>
      <c r="AP51" s="140"/>
      <c r="AQ51" s="141" t="str">
        <f t="shared" si="15"/>
        <v/>
      </c>
      <c r="AR51" s="142"/>
      <c r="AS51" s="140"/>
      <c r="AT51" s="143" t="str">
        <f t="shared" si="16"/>
        <v/>
      </c>
      <c r="AU51" s="139"/>
      <c r="AV51" s="113"/>
      <c r="AW51" s="107" t="str">
        <f t="shared" si="17"/>
        <v/>
      </c>
      <c r="AX51" s="113"/>
      <c r="AY51" s="113"/>
      <c r="AZ51" s="144" t="str">
        <f t="shared" si="18"/>
        <v/>
      </c>
      <c r="BA51" s="80"/>
      <c r="BB51" s="140"/>
      <c r="BC51" s="145" t="str">
        <f t="shared" si="19"/>
        <v/>
      </c>
      <c r="BD51" s="113"/>
      <c r="BE51" s="114"/>
      <c r="BF51" s="146" t="str">
        <f t="shared" si="20"/>
        <v/>
      </c>
      <c r="BG51" s="147" t="s">
        <v>84</v>
      </c>
      <c r="BH51" s="148"/>
      <c r="BI51" s="149" t="s">
        <v>132</v>
      </c>
      <c r="BJ51" s="150">
        <f>'Degrémont sortie'!BI51</f>
        <v>0</v>
      </c>
      <c r="BK51" s="151">
        <f>'Degrémont sortie'!BJ51</f>
        <v>0</v>
      </c>
    </row>
    <row r="52" spans="1:63" ht="14.25" outlineLevel="1">
      <c r="A52" s="152">
        <f t="shared" si="13"/>
        <v>43504</v>
      </c>
      <c r="B52" s="122">
        <v>1086</v>
      </c>
      <c r="C52" s="123">
        <v>7.9</v>
      </c>
      <c r="D52" s="124">
        <v>88.4</v>
      </c>
      <c r="E52" s="125">
        <v>188.8</v>
      </c>
      <c r="F52" s="126">
        <v>30</v>
      </c>
      <c r="G52" s="127">
        <f t="shared" si="0"/>
        <v>3346.6666666666665</v>
      </c>
      <c r="H52" s="128">
        <f t="shared" si="1"/>
        <v>3634.48</v>
      </c>
      <c r="I52" s="129">
        <v>1</v>
      </c>
      <c r="J52" s="126">
        <v>4590</v>
      </c>
      <c r="K52" s="79">
        <f t="shared" si="2"/>
        <v>4590</v>
      </c>
      <c r="L52" s="128">
        <f t="shared" si="3"/>
        <v>4984.74</v>
      </c>
      <c r="M52" s="130">
        <v>1</v>
      </c>
      <c r="N52" s="126">
        <v>786</v>
      </c>
      <c r="O52" s="80">
        <f t="shared" si="4"/>
        <v>786</v>
      </c>
      <c r="P52" s="81">
        <f t="shared" si="5"/>
        <v>853.596</v>
      </c>
      <c r="Q52" s="129">
        <v>20</v>
      </c>
      <c r="R52" s="131">
        <v>9.9</v>
      </c>
      <c r="S52" s="127">
        <f t="shared" si="6"/>
        <v>198</v>
      </c>
      <c r="T52" s="128">
        <f t="shared" si="7"/>
        <v>215.02799999999999</v>
      </c>
      <c r="U52" s="113"/>
      <c r="V52" s="81">
        <f t="shared" si="14"/>
        <v>0</v>
      </c>
      <c r="W52" s="132"/>
      <c r="X52" s="153"/>
      <c r="Y52" s="94"/>
      <c r="Z52" s="132"/>
      <c r="AA52" s="153"/>
      <c r="AB52" s="94"/>
      <c r="AC52" s="133"/>
      <c r="AD52" s="93" t="str">
        <f t="shared" si="8"/>
        <v/>
      </c>
      <c r="AE52" s="94" t="e">
        <f t="shared" si="9"/>
        <v>#VALUE!</v>
      </c>
      <c r="AF52" s="134" t="s">
        <v>85</v>
      </c>
      <c r="AG52" s="135">
        <v>0.01</v>
      </c>
      <c r="AH52" s="136">
        <f t="shared" si="10"/>
        <v>5.4299999999999999E-3</v>
      </c>
      <c r="AI52" s="80"/>
      <c r="AJ52" s="154"/>
      <c r="AK52" s="100" t="str">
        <f t="shared" si="21"/>
        <v/>
      </c>
      <c r="AL52" s="138"/>
      <c r="AM52" s="113"/>
      <c r="AN52" s="103" t="str">
        <f t="shared" si="12"/>
        <v/>
      </c>
      <c r="AO52" s="139"/>
      <c r="AP52" s="140"/>
      <c r="AQ52" s="141" t="str">
        <f t="shared" si="15"/>
        <v/>
      </c>
      <c r="AR52" s="142"/>
      <c r="AS52" s="140"/>
      <c r="AT52" s="143" t="str">
        <f t="shared" si="16"/>
        <v/>
      </c>
      <c r="AU52" s="139"/>
      <c r="AV52" s="113"/>
      <c r="AW52" s="107" t="str">
        <f t="shared" si="17"/>
        <v/>
      </c>
      <c r="AX52" s="113"/>
      <c r="AY52" s="113"/>
      <c r="AZ52" s="144" t="str">
        <f t="shared" si="18"/>
        <v/>
      </c>
      <c r="BA52" s="80"/>
      <c r="BB52" s="140"/>
      <c r="BC52" s="145" t="str">
        <f t="shared" si="19"/>
        <v/>
      </c>
      <c r="BD52" s="113"/>
      <c r="BE52" s="114"/>
      <c r="BF52" s="146" t="str">
        <f t="shared" si="20"/>
        <v/>
      </c>
      <c r="BG52" s="147" t="s">
        <v>84</v>
      </c>
      <c r="BH52" s="148"/>
      <c r="BI52" s="149" t="s">
        <v>115</v>
      </c>
      <c r="BJ52" s="150">
        <f>'Degrémont sortie'!BI52</f>
        <v>0</v>
      </c>
      <c r="BK52" s="151">
        <f>'Degrémont sortie'!BJ52</f>
        <v>0</v>
      </c>
    </row>
    <row r="53" spans="1:63" ht="14.25" outlineLevel="1">
      <c r="A53" s="121">
        <f t="shared" si="13"/>
        <v>43505</v>
      </c>
      <c r="B53" s="122">
        <v>736</v>
      </c>
      <c r="C53" s="123">
        <v>8.3000000000000007</v>
      </c>
      <c r="D53" s="124">
        <v>90.3</v>
      </c>
      <c r="E53" s="125">
        <v>290.3</v>
      </c>
      <c r="F53" s="126">
        <v>32</v>
      </c>
      <c r="G53" s="127">
        <f t="shared" si="0"/>
        <v>6250</v>
      </c>
      <c r="H53" s="128">
        <f t="shared" si="1"/>
        <v>4600</v>
      </c>
      <c r="I53" s="129">
        <v>1</v>
      </c>
      <c r="J53" s="126">
        <v>7252</v>
      </c>
      <c r="K53" s="79">
        <f t="shared" si="2"/>
        <v>7252</v>
      </c>
      <c r="L53" s="128">
        <f t="shared" si="3"/>
        <v>5337.4719999999998</v>
      </c>
      <c r="M53" s="130">
        <v>1</v>
      </c>
      <c r="N53" s="126">
        <v>828</v>
      </c>
      <c r="O53" s="80">
        <f t="shared" si="4"/>
        <v>828</v>
      </c>
      <c r="P53" s="81">
        <f t="shared" si="5"/>
        <v>609.40800000000002</v>
      </c>
      <c r="Q53" s="129">
        <v>20</v>
      </c>
      <c r="R53" s="131">
        <v>13.6</v>
      </c>
      <c r="S53" s="127">
        <f t="shared" si="6"/>
        <v>272</v>
      </c>
      <c r="T53" s="128">
        <f t="shared" si="7"/>
        <v>200.19200000000001</v>
      </c>
      <c r="U53" s="113"/>
      <c r="V53" s="81">
        <f t="shared" si="14"/>
        <v>0</v>
      </c>
      <c r="W53" s="132"/>
      <c r="X53" s="153"/>
      <c r="Y53" s="94"/>
      <c r="Z53" s="132"/>
      <c r="AA53" s="153"/>
      <c r="AB53" s="94"/>
      <c r="AC53" s="133"/>
      <c r="AD53" s="93" t="str">
        <f t="shared" si="8"/>
        <v/>
      </c>
      <c r="AE53" s="94" t="e">
        <f t="shared" si="9"/>
        <v>#VALUE!</v>
      </c>
      <c r="AF53" s="134" t="s">
        <v>85</v>
      </c>
      <c r="AG53" s="135">
        <v>0.01</v>
      </c>
      <c r="AH53" s="136">
        <f t="shared" si="10"/>
        <v>3.6800000000000001E-3</v>
      </c>
      <c r="AI53" s="80"/>
      <c r="AJ53" s="154"/>
      <c r="AK53" s="100" t="str">
        <f t="shared" si="21"/>
        <v/>
      </c>
      <c r="AL53" s="138"/>
      <c r="AM53" s="113"/>
      <c r="AN53" s="103" t="str">
        <f t="shared" si="12"/>
        <v/>
      </c>
      <c r="AO53" s="139"/>
      <c r="AP53" s="140"/>
      <c r="AQ53" s="141" t="str">
        <f t="shared" si="15"/>
        <v/>
      </c>
      <c r="AR53" s="142"/>
      <c r="AS53" s="140"/>
      <c r="AT53" s="143" t="str">
        <f t="shared" si="16"/>
        <v/>
      </c>
      <c r="AU53" s="139"/>
      <c r="AV53" s="113"/>
      <c r="AW53" s="107" t="str">
        <f t="shared" si="17"/>
        <v/>
      </c>
      <c r="AX53" s="113"/>
      <c r="AY53" s="113"/>
      <c r="AZ53" s="144" t="str">
        <f t="shared" si="18"/>
        <v/>
      </c>
      <c r="BA53" s="80"/>
      <c r="BB53" s="140"/>
      <c r="BC53" s="145" t="str">
        <f t="shared" si="19"/>
        <v/>
      </c>
      <c r="BD53" s="113"/>
      <c r="BE53" s="114"/>
      <c r="BF53" s="146" t="str">
        <f t="shared" si="20"/>
        <v/>
      </c>
      <c r="BG53" s="147" t="s">
        <v>84</v>
      </c>
      <c r="BH53" s="148"/>
      <c r="BI53" s="156"/>
      <c r="BJ53" s="150">
        <f>'Degrémont sortie'!BI53</f>
        <v>0</v>
      </c>
      <c r="BK53" s="151">
        <f>'Degrémont sortie'!BJ53</f>
        <v>0</v>
      </c>
    </row>
    <row r="54" spans="1:63" ht="14.25" outlineLevel="1">
      <c r="A54" s="152">
        <f t="shared" si="13"/>
        <v>43506</v>
      </c>
      <c r="B54" s="207"/>
      <c r="C54" s="208"/>
      <c r="D54" s="210"/>
      <c r="E54" s="211"/>
      <c r="F54" s="80"/>
      <c r="G54" s="127">
        <f t="shared" si="0"/>
        <v>0</v>
      </c>
      <c r="H54" s="128">
        <f t="shared" si="1"/>
        <v>0</v>
      </c>
      <c r="I54" s="129">
        <v>1</v>
      </c>
      <c r="J54" s="80"/>
      <c r="K54" s="79">
        <f t="shared" si="2"/>
        <v>0</v>
      </c>
      <c r="L54" s="128">
        <f t="shared" si="3"/>
        <v>0</v>
      </c>
      <c r="M54" s="130">
        <v>1</v>
      </c>
      <c r="N54" s="80"/>
      <c r="O54" s="80" t="str">
        <f t="shared" si="4"/>
        <v/>
      </c>
      <c r="P54" s="81">
        <f t="shared" si="5"/>
        <v>0</v>
      </c>
      <c r="Q54" s="129">
        <v>20</v>
      </c>
      <c r="R54" s="113"/>
      <c r="S54" s="127" t="str">
        <f t="shared" si="6"/>
        <v/>
      </c>
      <c r="T54" s="128">
        <f t="shared" si="7"/>
        <v>0</v>
      </c>
      <c r="U54" s="113"/>
      <c r="V54" s="81">
        <f t="shared" si="14"/>
        <v>0</v>
      </c>
      <c r="W54" s="132"/>
      <c r="X54" s="153"/>
      <c r="Y54" s="94"/>
      <c r="Z54" s="132"/>
      <c r="AA54" s="153"/>
      <c r="AB54" s="94"/>
      <c r="AC54" s="133"/>
      <c r="AD54" s="93" t="str">
        <f t="shared" si="8"/>
        <v/>
      </c>
      <c r="AE54" s="94" t="str">
        <f t="shared" si="9"/>
        <v/>
      </c>
      <c r="AF54" s="139"/>
      <c r="AG54" s="215"/>
      <c r="AH54" s="136" t="str">
        <f t="shared" si="10"/>
        <v/>
      </c>
      <c r="AI54" s="80"/>
      <c r="AJ54" s="154"/>
      <c r="AK54" s="100" t="str">
        <f t="shared" si="21"/>
        <v/>
      </c>
      <c r="AL54" s="138"/>
      <c r="AM54" s="113"/>
      <c r="AN54" s="103" t="str">
        <f t="shared" si="12"/>
        <v/>
      </c>
      <c r="AO54" s="139"/>
      <c r="AP54" s="140"/>
      <c r="AQ54" s="141" t="str">
        <f t="shared" si="15"/>
        <v/>
      </c>
      <c r="AR54" s="142"/>
      <c r="AS54" s="140"/>
      <c r="AT54" s="143" t="str">
        <f t="shared" si="16"/>
        <v/>
      </c>
      <c r="AU54" s="139"/>
      <c r="AV54" s="113"/>
      <c r="AW54" s="107" t="str">
        <f t="shared" si="17"/>
        <v/>
      </c>
      <c r="AX54" s="113"/>
      <c r="AY54" s="113"/>
      <c r="AZ54" s="144" t="str">
        <f t="shared" si="18"/>
        <v/>
      </c>
      <c r="BA54" s="80"/>
      <c r="BB54" s="140"/>
      <c r="BC54" s="145" t="str">
        <f t="shared" si="19"/>
        <v/>
      </c>
      <c r="BD54" s="113"/>
      <c r="BE54" s="114"/>
      <c r="BF54" s="146" t="str">
        <f t="shared" si="20"/>
        <v/>
      </c>
      <c r="BG54" s="147" t="s">
        <v>84</v>
      </c>
      <c r="BH54" s="148"/>
      <c r="BI54" s="156"/>
      <c r="BJ54" s="150">
        <f>'Degrémont sortie'!BI54</f>
        <v>0</v>
      </c>
      <c r="BK54" s="151">
        <f>'Degrémont sortie'!BJ54</f>
        <v>0</v>
      </c>
    </row>
    <row r="55" spans="1:63" ht="14.25" outlineLevel="1">
      <c r="A55" s="121">
        <f t="shared" si="13"/>
        <v>43507</v>
      </c>
      <c r="B55" s="122">
        <v>898</v>
      </c>
      <c r="C55" s="123">
        <v>8</v>
      </c>
      <c r="D55" s="124">
        <v>88.8</v>
      </c>
      <c r="E55" s="125">
        <v>252</v>
      </c>
      <c r="F55" s="126">
        <v>27</v>
      </c>
      <c r="G55" s="127">
        <f t="shared" si="0"/>
        <v>6044.4444444444443</v>
      </c>
      <c r="H55" s="128">
        <f t="shared" si="1"/>
        <v>5427.9111111111106</v>
      </c>
      <c r="I55" s="129">
        <v>1</v>
      </c>
      <c r="J55" s="126">
        <v>6490</v>
      </c>
      <c r="K55" s="79">
        <f t="shared" si="2"/>
        <v>6490</v>
      </c>
      <c r="L55" s="128">
        <f t="shared" si="3"/>
        <v>5828.02</v>
      </c>
      <c r="M55" s="130">
        <v>1</v>
      </c>
      <c r="N55" s="126">
        <v>624</v>
      </c>
      <c r="O55" s="80">
        <f t="shared" si="4"/>
        <v>624</v>
      </c>
      <c r="P55" s="81">
        <f t="shared" si="5"/>
        <v>560.35199999999998</v>
      </c>
      <c r="Q55" s="129">
        <v>20</v>
      </c>
      <c r="R55" s="131">
        <v>16.600000000000001</v>
      </c>
      <c r="S55" s="127">
        <f t="shared" si="6"/>
        <v>332</v>
      </c>
      <c r="T55" s="128">
        <f t="shared" si="7"/>
        <v>298.13600000000002</v>
      </c>
      <c r="U55" s="113"/>
      <c r="V55" s="81">
        <f t="shared" si="14"/>
        <v>0</v>
      </c>
      <c r="W55" s="132"/>
      <c r="X55" s="153"/>
      <c r="Y55" s="94"/>
      <c r="Z55" s="132"/>
      <c r="AA55" s="153"/>
      <c r="AB55" s="94"/>
      <c r="AC55" s="133"/>
      <c r="AD55" s="93" t="str">
        <f t="shared" si="8"/>
        <v/>
      </c>
      <c r="AE55" s="94" t="e">
        <f t="shared" si="9"/>
        <v>#VALUE!</v>
      </c>
      <c r="AF55" s="134" t="s">
        <v>85</v>
      </c>
      <c r="AG55" s="135">
        <v>0.01</v>
      </c>
      <c r="AH55" s="136">
        <f t="shared" si="10"/>
        <v>4.4900000000000001E-3</v>
      </c>
      <c r="AI55" s="80"/>
      <c r="AJ55" s="154"/>
      <c r="AK55" s="100" t="str">
        <f t="shared" si="21"/>
        <v/>
      </c>
      <c r="AL55" s="138"/>
      <c r="AM55" s="113"/>
      <c r="AN55" s="103" t="str">
        <f t="shared" si="12"/>
        <v/>
      </c>
      <c r="AO55" s="139"/>
      <c r="AP55" s="140"/>
      <c r="AQ55" s="141" t="str">
        <f t="shared" si="15"/>
        <v/>
      </c>
      <c r="AR55" s="142"/>
      <c r="AS55" s="140"/>
      <c r="AT55" s="143" t="str">
        <f t="shared" si="16"/>
        <v/>
      </c>
      <c r="AU55" s="139"/>
      <c r="AV55" s="113"/>
      <c r="AW55" s="107" t="str">
        <f t="shared" si="17"/>
        <v/>
      </c>
      <c r="AX55" s="113"/>
      <c r="AY55" s="113"/>
      <c r="AZ55" s="144" t="str">
        <f t="shared" si="18"/>
        <v/>
      </c>
      <c r="BA55" s="80"/>
      <c r="BB55" s="140"/>
      <c r="BC55" s="145" t="str">
        <f t="shared" si="19"/>
        <v/>
      </c>
      <c r="BD55" s="113"/>
      <c r="BE55" s="114"/>
      <c r="BF55" s="146" t="str">
        <f t="shared" si="20"/>
        <v/>
      </c>
      <c r="BG55" s="147" t="s">
        <v>84</v>
      </c>
      <c r="BH55" s="148"/>
      <c r="BI55" s="149" t="s">
        <v>138</v>
      </c>
      <c r="BJ55" s="150">
        <f>'Degrémont sortie'!BI55</f>
        <v>0</v>
      </c>
      <c r="BK55" s="151">
        <f>'Degrémont sortie'!BJ55</f>
        <v>0</v>
      </c>
    </row>
    <row r="56" spans="1:63" ht="14.25" outlineLevel="1">
      <c r="A56" s="152">
        <f t="shared" si="13"/>
        <v>43508</v>
      </c>
      <c r="B56" s="122">
        <v>1108</v>
      </c>
      <c r="C56" s="123">
        <v>8.1999999999999993</v>
      </c>
      <c r="D56" s="124">
        <v>88.3</v>
      </c>
      <c r="E56" s="125">
        <v>264.8</v>
      </c>
      <c r="F56" s="126">
        <v>32</v>
      </c>
      <c r="G56" s="127">
        <f t="shared" si="0"/>
        <v>5515.625</v>
      </c>
      <c r="H56" s="128">
        <f t="shared" si="1"/>
        <v>6111.3125</v>
      </c>
      <c r="I56" s="129">
        <v>1</v>
      </c>
      <c r="J56" s="126">
        <v>6509</v>
      </c>
      <c r="K56" s="79">
        <f t="shared" si="2"/>
        <v>6509</v>
      </c>
      <c r="L56" s="128">
        <f t="shared" si="3"/>
        <v>7211.9719999999998</v>
      </c>
      <c r="M56" s="130">
        <v>1</v>
      </c>
      <c r="N56" s="126">
        <v>879</v>
      </c>
      <c r="O56" s="80">
        <f t="shared" si="4"/>
        <v>879</v>
      </c>
      <c r="P56" s="81">
        <f t="shared" si="5"/>
        <v>973.93200000000002</v>
      </c>
      <c r="Q56" s="129">
        <v>20</v>
      </c>
      <c r="R56" s="131">
        <v>11</v>
      </c>
      <c r="S56" s="127">
        <f t="shared" si="6"/>
        <v>220</v>
      </c>
      <c r="T56" s="128">
        <f t="shared" si="7"/>
        <v>243.76</v>
      </c>
      <c r="U56" s="131">
        <v>77</v>
      </c>
      <c r="V56" s="81">
        <f t="shared" si="14"/>
        <v>85.316000000000003</v>
      </c>
      <c r="W56" s="132"/>
      <c r="X56" s="153"/>
      <c r="Y56" s="94"/>
      <c r="Z56" s="132"/>
      <c r="AA56" s="153"/>
      <c r="AB56" s="94"/>
      <c r="AC56" s="133"/>
      <c r="AD56" s="93" t="str">
        <f t="shared" si="8"/>
        <v/>
      </c>
      <c r="AE56" s="94" t="e">
        <f t="shared" si="9"/>
        <v>#VALUE!</v>
      </c>
      <c r="AF56" s="134" t="s">
        <v>85</v>
      </c>
      <c r="AG56" s="135">
        <v>0.01</v>
      </c>
      <c r="AH56" s="136">
        <f t="shared" si="10"/>
        <v>5.5399999999999998E-3</v>
      </c>
      <c r="AI56" s="80"/>
      <c r="AJ56" s="154"/>
      <c r="AK56" s="100" t="str">
        <f t="shared" si="21"/>
        <v/>
      </c>
      <c r="AL56" s="138"/>
      <c r="AM56" s="131">
        <v>4.0999999999999996</v>
      </c>
      <c r="AN56" s="103">
        <f t="shared" si="12"/>
        <v>31.446999999999996</v>
      </c>
      <c r="AO56" s="139"/>
      <c r="AP56" s="155">
        <v>55.69</v>
      </c>
      <c r="AQ56" s="141">
        <f t="shared" si="15"/>
        <v>427.14229999999998</v>
      </c>
      <c r="AR56" s="142"/>
      <c r="AS56" s="155">
        <v>0.95</v>
      </c>
      <c r="AT56" s="143">
        <f t="shared" si="16"/>
        <v>7.2864999999999993</v>
      </c>
      <c r="AU56" s="139"/>
      <c r="AV56" s="131">
        <v>29.19</v>
      </c>
      <c r="AW56" s="107">
        <f t="shared" si="17"/>
        <v>223.88730000000001</v>
      </c>
      <c r="AX56" s="113"/>
      <c r="AY56" s="131">
        <v>294.8</v>
      </c>
      <c r="AZ56" s="144">
        <f t="shared" si="18"/>
        <v>2261.116</v>
      </c>
      <c r="BA56" s="80"/>
      <c r="BB56" s="155">
        <v>1.75</v>
      </c>
      <c r="BC56" s="145">
        <f t="shared" si="19"/>
        <v>13.422499999999999</v>
      </c>
      <c r="BD56" s="131" t="s">
        <v>85</v>
      </c>
      <c r="BE56" s="158">
        <v>0.13</v>
      </c>
      <c r="BF56" s="146">
        <f t="shared" si="20"/>
        <v>0.49854999999999999</v>
      </c>
      <c r="BG56" s="147" t="s">
        <v>84</v>
      </c>
      <c r="BH56" s="148"/>
      <c r="BI56" s="149" t="s">
        <v>139</v>
      </c>
      <c r="BJ56" s="150">
        <f>'Degrémont sortie'!BI56</f>
        <v>0</v>
      </c>
      <c r="BK56" s="151">
        <f>'Degrémont sortie'!BJ56</f>
        <v>0</v>
      </c>
    </row>
    <row r="57" spans="1:63" ht="15.75" customHeight="1" outlineLevel="1">
      <c r="A57" s="121">
        <f t="shared" si="13"/>
        <v>43509</v>
      </c>
      <c r="B57" s="122">
        <v>1035</v>
      </c>
      <c r="C57" s="123">
        <v>8</v>
      </c>
      <c r="D57" s="124">
        <v>90.4</v>
      </c>
      <c r="E57" s="125">
        <v>250.7</v>
      </c>
      <c r="F57" s="126">
        <v>28</v>
      </c>
      <c r="G57" s="127">
        <f t="shared" si="0"/>
        <v>5724.9999999999991</v>
      </c>
      <c r="H57" s="128">
        <f t="shared" si="1"/>
        <v>5925.3749999999991</v>
      </c>
      <c r="I57" s="129">
        <v>1</v>
      </c>
      <c r="J57" s="126">
        <v>6518</v>
      </c>
      <c r="K57" s="79">
        <f t="shared" si="2"/>
        <v>6518</v>
      </c>
      <c r="L57" s="128">
        <f t="shared" si="3"/>
        <v>6746.13</v>
      </c>
      <c r="M57" s="130">
        <v>1</v>
      </c>
      <c r="N57" s="126">
        <v>993</v>
      </c>
      <c r="O57" s="80">
        <f t="shared" si="4"/>
        <v>993</v>
      </c>
      <c r="P57" s="81">
        <f t="shared" si="5"/>
        <v>1027.7550000000001</v>
      </c>
      <c r="Q57" s="129">
        <v>20</v>
      </c>
      <c r="R57" s="131">
        <v>14.9</v>
      </c>
      <c r="S57" s="127">
        <f t="shared" si="6"/>
        <v>298</v>
      </c>
      <c r="T57" s="128">
        <f t="shared" si="7"/>
        <v>308.43</v>
      </c>
      <c r="U57" s="113"/>
      <c r="V57" s="81">
        <f t="shared" si="14"/>
        <v>0</v>
      </c>
      <c r="W57" s="132"/>
      <c r="X57" s="153"/>
      <c r="Y57" s="94"/>
      <c r="Z57" s="132"/>
      <c r="AA57" s="153"/>
      <c r="AB57" s="94"/>
      <c r="AC57" s="133"/>
      <c r="AD57" s="93" t="str">
        <f t="shared" si="8"/>
        <v/>
      </c>
      <c r="AE57" s="94" t="e">
        <f t="shared" si="9"/>
        <v>#VALUE!</v>
      </c>
      <c r="AF57" s="134" t="s">
        <v>85</v>
      </c>
      <c r="AG57" s="135">
        <v>0.01</v>
      </c>
      <c r="AH57" s="136">
        <f t="shared" si="10"/>
        <v>5.1749999999999999E-3</v>
      </c>
      <c r="AI57" s="80"/>
      <c r="AJ57" s="154"/>
      <c r="AK57" s="100" t="str">
        <f t="shared" si="21"/>
        <v/>
      </c>
      <c r="AL57" s="138"/>
      <c r="AM57" s="113"/>
      <c r="AN57" s="103" t="str">
        <f t="shared" si="12"/>
        <v/>
      </c>
      <c r="AO57" s="139"/>
      <c r="AP57" s="140"/>
      <c r="AQ57" s="141" t="str">
        <f t="shared" si="15"/>
        <v/>
      </c>
      <c r="AR57" s="142"/>
      <c r="AS57" s="140"/>
      <c r="AT57" s="143" t="str">
        <f t="shared" si="16"/>
        <v/>
      </c>
      <c r="AU57" s="139"/>
      <c r="AV57" s="113"/>
      <c r="AW57" s="107" t="str">
        <f t="shared" si="17"/>
        <v/>
      </c>
      <c r="AX57" s="113"/>
      <c r="AY57" s="113"/>
      <c r="AZ57" s="144" t="str">
        <f t="shared" si="18"/>
        <v/>
      </c>
      <c r="BA57" s="80"/>
      <c r="BB57" s="140"/>
      <c r="BC57" s="145" t="str">
        <f t="shared" si="19"/>
        <v/>
      </c>
      <c r="BD57" s="113"/>
      <c r="BE57" s="114"/>
      <c r="BF57" s="146" t="str">
        <f t="shared" si="20"/>
        <v/>
      </c>
      <c r="BG57" s="147" t="s">
        <v>84</v>
      </c>
      <c r="BH57" s="148"/>
      <c r="BI57" s="149" t="s">
        <v>141</v>
      </c>
      <c r="BJ57" s="150">
        <f>'Degrémont sortie'!BI57</f>
        <v>0</v>
      </c>
      <c r="BK57" s="151">
        <f>'Degrémont sortie'!BJ57</f>
        <v>0</v>
      </c>
    </row>
    <row r="58" spans="1:63" ht="15.75" customHeight="1" outlineLevel="1">
      <c r="A58" s="152">
        <f t="shared" si="13"/>
        <v>43510</v>
      </c>
      <c r="B58" s="122">
        <v>1048</v>
      </c>
      <c r="C58" s="123">
        <v>8</v>
      </c>
      <c r="D58" s="124">
        <v>89.3</v>
      </c>
      <c r="E58" s="125">
        <v>344.1</v>
      </c>
      <c r="F58" s="126">
        <v>27</v>
      </c>
      <c r="G58" s="127">
        <f t="shared" si="0"/>
        <v>9437.0370370370365</v>
      </c>
      <c r="H58" s="128">
        <f t="shared" si="1"/>
        <v>9890.0148148148128</v>
      </c>
      <c r="I58" s="129">
        <v>1</v>
      </c>
      <c r="J58" s="126">
        <v>9456</v>
      </c>
      <c r="K58" s="79">
        <f t="shared" si="2"/>
        <v>9456</v>
      </c>
      <c r="L58" s="128">
        <f t="shared" si="3"/>
        <v>9909.8880000000008</v>
      </c>
      <c r="M58" s="130">
        <v>1</v>
      </c>
      <c r="N58" s="126">
        <v>674</v>
      </c>
      <c r="O58" s="80">
        <f t="shared" si="4"/>
        <v>674</v>
      </c>
      <c r="P58" s="81">
        <f t="shared" si="5"/>
        <v>706.35199999999998</v>
      </c>
      <c r="Q58" s="129">
        <v>20</v>
      </c>
      <c r="R58" s="131">
        <v>21.8</v>
      </c>
      <c r="S58" s="127">
        <f t="shared" si="6"/>
        <v>436</v>
      </c>
      <c r="T58" s="128">
        <f t="shared" si="7"/>
        <v>456.928</v>
      </c>
      <c r="U58" s="113"/>
      <c r="V58" s="81">
        <f t="shared" si="14"/>
        <v>0</v>
      </c>
      <c r="W58" s="132"/>
      <c r="X58" s="153"/>
      <c r="Y58" s="94"/>
      <c r="Z58" s="132"/>
      <c r="AA58" s="153"/>
      <c r="AB58" s="94"/>
      <c r="AC58" s="133"/>
      <c r="AD58" s="93" t="str">
        <f t="shared" si="8"/>
        <v/>
      </c>
      <c r="AE58" s="94" t="e">
        <f t="shared" si="9"/>
        <v>#VALUE!</v>
      </c>
      <c r="AF58" s="134" t="s">
        <v>85</v>
      </c>
      <c r="AG58" s="135">
        <v>0.01</v>
      </c>
      <c r="AH58" s="136">
        <f t="shared" si="10"/>
        <v>5.2399999999999999E-3</v>
      </c>
      <c r="AI58" s="80"/>
      <c r="AJ58" s="154"/>
      <c r="AK58" s="100" t="str">
        <f t="shared" si="21"/>
        <v/>
      </c>
      <c r="AL58" s="138"/>
      <c r="AM58" s="113"/>
      <c r="AN58" s="103" t="str">
        <f t="shared" si="12"/>
        <v/>
      </c>
      <c r="AO58" s="139"/>
      <c r="AP58" s="140"/>
      <c r="AQ58" s="141" t="str">
        <f t="shared" si="15"/>
        <v/>
      </c>
      <c r="AR58" s="142"/>
      <c r="AS58" s="140"/>
      <c r="AT58" s="143" t="str">
        <f t="shared" si="16"/>
        <v/>
      </c>
      <c r="AU58" s="139"/>
      <c r="AV58" s="113"/>
      <c r="AW58" s="107" t="str">
        <f t="shared" si="17"/>
        <v/>
      </c>
      <c r="AX58" s="113"/>
      <c r="AY58" s="113"/>
      <c r="AZ58" s="144" t="str">
        <f t="shared" si="18"/>
        <v/>
      </c>
      <c r="BA58" s="80"/>
      <c r="BB58" s="140"/>
      <c r="BC58" s="145" t="str">
        <f t="shared" si="19"/>
        <v/>
      </c>
      <c r="BD58" s="113"/>
      <c r="BE58" s="114"/>
      <c r="BF58" s="146" t="str">
        <f t="shared" si="20"/>
        <v/>
      </c>
      <c r="BG58" s="147" t="s">
        <v>84</v>
      </c>
      <c r="BH58" s="148"/>
      <c r="BI58" s="149" t="s">
        <v>143</v>
      </c>
      <c r="BJ58" s="150">
        <f>'Degrémont sortie'!BI58</f>
        <v>0</v>
      </c>
      <c r="BK58" s="151">
        <f>'Degrémont sortie'!BJ58</f>
        <v>0</v>
      </c>
    </row>
    <row r="59" spans="1:63" ht="15.75" customHeight="1" outlineLevel="1">
      <c r="A59" s="121">
        <f t="shared" si="13"/>
        <v>43511</v>
      </c>
      <c r="B59" s="122">
        <v>824</v>
      </c>
      <c r="C59" s="123">
        <v>7.8</v>
      </c>
      <c r="D59" s="124">
        <v>87.1</v>
      </c>
      <c r="E59" s="125">
        <v>387.3</v>
      </c>
      <c r="F59" s="126">
        <v>34</v>
      </c>
      <c r="G59" s="127">
        <f t="shared" si="0"/>
        <v>8829.4117647058847</v>
      </c>
      <c r="H59" s="128">
        <f t="shared" si="1"/>
        <v>7275.4352941176494</v>
      </c>
      <c r="I59" s="129">
        <v>1</v>
      </c>
      <c r="J59" s="126">
        <v>9302</v>
      </c>
      <c r="K59" s="79">
        <f t="shared" si="2"/>
        <v>9302</v>
      </c>
      <c r="L59" s="128">
        <f t="shared" si="3"/>
        <v>7664.848</v>
      </c>
      <c r="M59" s="130">
        <v>1</v>
      </c>
      <c r="N59" s="126">
        <v>587</v>
      </c>
      <c r="O59" s="80">
        <f t="shared" si="4"/>
        <v>587</v>
      </c>
      <c r="P59" s="81">
        <f t="shared" si="5"/>
        <v>483.68799999999999</v>
      </c>
      <c r="Q59" s="129">
        <v>20</v>
      </c>
      <c r="R59" s="131">
        <v>19.3</v>
      </c>
      <c r="S59" s="127">
        <f t="shared" si="6"/>
        <v>386</v>
      </c>
      <c r="T59" s="128">
        <f t="shared" si="7"/>
        <v>318.06400000000002</v>
      </c>
      <c r="U59" s="113"/>
      <c r="V59" s="81">
        <f t="shared" si="14"/>
        <v>0</v>
      </c>
      <c r="W59" s="132"/>
      <c r="X59" s="153"/>
      <c r="Y59" s="94"/>
      <c r="Z59" s="132"/>
      <c r="AA59" s="153"/>
      <c r="AB59" s="94"/>
      <c r="AC59" s="133"/>
      <c r="AD59" s="93" t="str">
        <f t="shared" si="8"/>
        <v/>
      </c>
      <c r="AE59" s="94" t="e">
        <f t="shared" si="9"/>
        <v>#VALUE!</v>
      </c>
      <c r="AF59" s="134" t="s">
        <v>85</v>
      </c>
      <c r="AG59" s="135">
        <v>0.01</v>
      </c>
      <c r="AH59" s="136">
        <f t="shared" si="10"/>
        <v>4.1200000000000004E-3</v>
      </c>
      <c r="AI59" s="80"/>
      <c r="AJ59" s="154"/>
      <c r="AK59" s="100" t="str">
        <f t="shared" si="21"/>
        <v/>
      </c>
      <c r="AL59" s="138"/>
      <c r="AM59" s="113"/>
      <c r="AN59" s="103" t="str">
        <f t="shared" si="12"/>
        <v/>
      </c>
      <c r="AO59" s="139"/>
      <c r="AP59" s="140"/>
      <c r="AQ59" s="141" t="str">
        <f t="shared" si="15"/>
        <v/>
      </c>
      <c r="AR59" s="142"/>
      <c r="AS59" s="140"/>
      <c r="AT59" s="143" t="str">
        <f t="shared" si="16"/>
        <v/>
      </c>
      <c r="AU59" s="139"/>
      <c r="AV59" s="113"/>
      <c r="AW59" s="107" t="str">
        <f t="shared" si="17"/>
        <v/>
      </c>
      <c r="AX59" s="113"/>
      <c r="AY59" s="113"/>
      <c r="AZ59" s="144" t="str">
        <f t="shared" si="18"/>
        <v/>
      </c>
      <c r="BA59" s="80"/>
      <c r="BB59" s="140"/>
      <c r="BC59" s="145" t="str">
        <f t="shared" si="19"/>
        <v/>
      </c>
      <c r="BD59" s="113"/>
      <c r="BE59" s="114"/>
      <c r="BF59" s="146" t="str">
        <f t="shared" si="20"/>
        <v/>
      </c>
      <c r="BG59" s="147" t="s">
        <v>84</v>
      </c>
      <c r="BH59" s="148"/>
      <c r="BI59" s="156"/>
      <c r="BJ59" s="150">
        <f>'Degrémont sortie'!BI59</f>
        <v>0</v>
      </c>
      <c r="BK59" s="151">
        <f>'Degrémont sortie'!BJ59</f>
        <v>0</v>
      </c>
    </row>
    <row r="60" spans="1:63" ht="15.75" customHeight="1" outlineLevel="1">
      <c r="A60" s="152">
        <f t="shared" si="13"/>
        <v>43512</v>
      </c>
      <c r="B60" s="122">
        <v>944</v>
      </c>
      <c r="C60" s="123">
        <v>7.5</v>
      </c>
      <c r="D60" s="124">
        <v>86.9</v>
      </c>
      <c r="E60" s="125">
        <v>105</v>
      </c>
      <c r="F60" s="126">
        <v>50</v>
      </c>
      <c r="G60" s="127">
        <f t="shared" si="0"/>
        <v>361.99999999999983</v>
      </c>
      <c r="H60" s="128">
        <f t="shared" si="1"/>
        <v>341.72799999999984</v>
      </c>
      <c r="I60" s="129">
        <v>1</v>
      </c>
      <c r="J60" s="126">
        <v>1322</v>
      </c>
      <c r="K60" s="79">
        <f t="shared" si="2"/>
        <v>1322</v>
      </c>
      <c r="L60" s="128">
        <f t="shared" si="3"/>
        <v>1247.9680000000001</v>
      </c>
      <c r="M60" s="130">
        <v>1</v>
      </c>
      <c r="N60" s="126">
        <v>912</v>
      </c>
      <c r="O60" s="80">
        <f t="shared" si="4"/>
        <v>912</v>
      </c>
      <c r="P60" s="81">
        <f t="shared" si="5"/>
        <v>860.928</v>
      </c>
      <c r="Q60" s="129">
        <v>20</v>
      </c>
      <c r="R60" s="131">
        <v>1.42</v>
      </c>
      <c r="S60" s="127">
        <f t="shared" si="6"/>
        <v>28.4</v>
      </c>
      <c r="T60" s="128">
        <f t="shared" si="7"/>
        <v>26.8096</v>
      </c>
      <c r="U60" s="113"/>
      <c r="V60" s="81">
        <f t="shared" si="14"/>
        <v>0</v>
      </c>
      <c r="W60" s="132"/>
      <c r="X60" s="153"/>
      <c r="Y60" s="94"/>
      <c r="Z60" s="132"/>
      <c r="AA60" s="153"/>
      <c r="AB60" s="94"/>
      <c r="AC60" s="133"/>
      <c r="AD60" s="93" t="str">
        <f t="shared" si="8"/>
        <v/>
      </c>
      <c r="AE60" s="94" t="e">
        <f t="shared" si="9"/>
        <v>#VALUE!</v>
      </c>
      <c r="AF60" s="134" t="s">
        <v>85</v>
      </c>
      <c r="AG60" s="135">
        <v>0.01</v>
      </c>
      <c r="AH60" s="136">
        <f t="shared" si="10"/>
        <v>4.7199999999999994E-3</v>
      </c>
      <c r="AI60" s="80"/>
      <c r="AJ60" s="154"/>
      <c r="AK60" s="100" t="str">
        <f t="shared" si="21"/>
        <v/>
      </c>
      <c r="AL60" s="138"/>
      <c r="AM60" s="113"/>
      <c r="AN60" s="103" t="str">
        <f t="shared" si="12"/>
        <v/>
      </c>
      <c r="AO60" s="139"/>
      <c r="AP60" s="140"/>
      <c r="AQ60" s="141" t="str">
        <f t="shared" si="15"/>
        <v/>
      </c>
      <c r="AR60" s="142"/>
      <c r="AS60" s="140"/>
      <c r="AT60" s="143" t="str">
        <f t="shared" si="16"/>
        <v/>
      </c>
      <c r="AU60" s="139"/>
      <c r="AV60" s="113"/>
      <c r="AW60" s="107" t="str">
        <f t="shared" si="17"/>
        <v/>
      </c>
      <c r="AX60" s="113"/>
      <c r="AY60" s="113"/>
      <c r="AZ60" s="144" t="str">
        <f t="shared" si="18"/>
        <v/>
      </c>
      <c r="BA60" s="80"/>
      <c r="BB60" s="140"/>
      <c r="BC60" s="145" t="str">
        <f t="shared" si="19"/>
        <v/>
      </c>
      <c r="BD60" s="113"/>
      <c r="BE60" s="114"/>
      <c r="BF60" s="146" t="str">
        <f t="shared" si="20"/>
        <v/>
      </c>
      <c r="BG60" s="147" t="s">
        <v>84</v>
      </c>
      <c r="BH60" s="148"/>
      <c r="BI60" s="156"/>
      <c r="BJ60" s="150">
        <f>'Degrémont sortie'!BI60</f>
        <v>0</v>
      </c>
      <c r="BK60" s="151">
        <f>'Degrémont sortie'!BJ60</f>
        <v>0</v>
      </c>
    </row>
    <row r="61" spans="1:63" ht="15.75" customHeight="1" outlineLevel="1">
      <c r="A61" s="121">
        <f t="shared" si="13"/>
        <v>43513</v>
      </c>
      <c r="B61" s="207"/>
      <c r="C61" s="208"/>
      <c r="D61" s="210"/>
      <c r="E61" s="211"/>
      <c r="F61" s="80"/>
      <c r="G61" s="127">
        <f t="shared" si="0"/>
        <v>0</v>
      </c>
      <c r="H61" s="128">
        <f t="shared" si="1"/>
        <v>0</v>
      </c>
      <c r="I61" s="129">
        <v>1</v>
      </c>
      <c r="J61" s="80"/>
      <c r="K61" s="79">
        <f t="shared" si="2"/>
        <v>0</v>
      </c>
      <c r="L61" s="128">
        <f t="shared" si="3"/>
        <v>0</v>
      </c>
      <c r="M61" s="130">
        <v>1</v>
      </c>
      <c r="N61" s="80"/>
      <c r="O61" s="80" t="str">
        <f t="shared" si="4"/>
        <v/>
      </c>
      <c r="P61" s="81">
        <f t="shared" si="5"/>
        <v>0</v>
      </c>
      <c r="Q61" s="129">
        <v>20</v>
      </c>
      <c r="R61" s="113"/>
      <c r="S61" s="127" t="str">
        <f t="shared" si="6"/>
        <v/>
      </c>
      <c r="T61" s="128">
        <f t="shared" si="7"/>
        <v>0</v>
      </c>
      <c r="U61" s="113"/>
      <c r="V61" s="81">
        <f t="shared" si="14"/>
        <v>0</v>
      </c>
      <c r="W61" s="132"/>
      <c r="X61" s="153"/>
      <c r="Y61" s="94"/>
      <c r="Z61" s="132"/>
      <c r="AA61" s="153"/>
      <c r="AB61" s="94"/>
      <c r="AC61" s="133"/>
      <c r="AD61" s="93" t="str">
        <f t="shared" si="8"/>
        <v/>
      </c>
      <c r="AE61" s="94" t="str">
        <f t="shared" si="9"/>
        <v/>
      </c>
      <c r="AF61" s="139"/>
      <c r="AG61" s="215"/>
      <c r="AH61" s="136" t="str">
        <f t="shared" si="10"/>
        <v/>
      </c>
      <c r="AI61" s="80"/>
      <c r="AJ61" s="154"/>
      <c r="AK61" s="100" t="str">
        <f t="shared" si="21"/>
        <v/>
      </c>
      <c r="AL61" s="138"/>
      <c r="AM61" s="113"/>
      <c r="AN61" s="103" t="str">
        <f t="shared" si="12"/>
        <v/>
      </c>
      <c r="AO61" s="139"/>
      <c r="AP61" s="140"/>
      <c r="AQ61" s="141" t="str">
        <f t="shared" si="15"/>
        <v/>
      </c>
      <c r="AR61" s="142"/>
      <c r="AS61" s="140"/>
      <c r="AT61" s="143" t="str">
        <f t="shared" si="16"/>
        <v/>
      </c>
      <c r="AU61" s="139"/>
      <c r="AV61" s="113"/>
      <c r="AW61" s="107" t="str">
        <f t="shared" si="17"/>
        <v/>
      </c>
      <c r="AX61" s="113"/>
      <c r="AY61" s="113"/>
      <c r="AZ61" s="144" t="str">
        <f t="shared" si="18"/>
        <v/>
      </c>
      <c r="BA61" s="80"/>
      <c r="BB61" s="140"/>
      <c r="BC61" s="145" t="str">
        <f t="shared" si="19"/>
        <v/>
      </c>
      <c r="BD61" s="113"/>
      <c r="BE61" s="114"/>
      <c r="BF61" s="146" t="str">
        <f t="shared" si="20"/>
        <v/>
      </c>
      <c r="BG61" s="147" t="s">
        <v>84</v>
      </c>
      <c r="BH61" s="148"/>
      <c r="BI61" s="156"/>
      <c r="BJ61" s="150">
        <f>'Degrémont sortie'!BI61</f>
        <v>0</v>
      </c>
      <c r="BK61" s="151">
        <f>'Degrémont sortie'!BJ61</f>
        <v>0</v>
      </c>
    </row>
    <row r="62" spans="1:63" ht="14.25" outlineLevel="1">
      <c r="A62" s="152">
        <f t="shared" si="13"/>
        <v>43514</v>
      </c>
      <c r="B62" s="122">
        <v>888</v>
      </c>
      <c r="C62" s="123">
        <v>8</v>
      </c>
      <c r="D62" s="124">
        <v>89.7</v>
      </c>
      <c r="E62" s="125">
        <v>252.6</v>
      </c>
      <c r="F62" s="126">
        <v>27</v>
      </c>
      <c r="G62" s="127">
        <f t="shared" si="0"/>
        <v>6033.3333333333321</v>
      </c>
      <c r="H62" s="128">
        <f t="shared" si="1"/>
        <v>5357.5999999999995</v>
      </c>
      <c r="I62" s="129">
        <v>1</v>
      </c>
      <c r="J62" s="126">
        <v>6873</v>
      </c>
      <c r="K62" s="79">
        <f t="shared" si="2"/>
        <v>6873</v>
      </c>
      <c r="L62" s="128">
        <f t="shared" si="3"/>
        <v>6103.2240000000002</v>
      </c>
      <c r="M62" s="130">
        <v>1</v>
      </c>
      <c r="N62" s="126">
        <v>920</v>
      </c>
      <c r="O62" s="80">
        <f t="shared" si="4"/>
        <v>920</v>
      </c>
      <c r="P62" s="81">
        <f t="shared" si="5"/>
        <v>816.96</v>
      </c>
      <c r="Q62" s="129">
        <v>20</v>
      </c>
      <c r="R62" s="131">
        <v>11</v>
      </c>
      <c r="S62" s="127">
        <f t="shared" si="6"/>
        <v>220</v>
      </c>
      <c r="T62" s="128">
        <f t="shared" si="7"/>
        <v>195.36</v>
      </c>
      <c r="U62" s="113"/>
      <c r="V62" s="81">
        <f t="shared" si="14"/>
        <v>0</v>
      </c>
      <c r="W62" s="132"/>
      <c r="X62" s="153"/>
      <c r="Y62" s="94"/>
      <c r="Z62" s="132"/>
      <c r="AA62" s="153"/>
      <c r="AB62" s="94"/>
      <c r="AC62" s="133"/>
      <c r="AD62" s="93" t="str">
        <f t="shared" si="8"/>
        <v/>
      </c>
      <c r="AE62" s="94" t="e">
        <f t="shared" si="9"/>
        <v>#VALUE!</v>
      </c>
      <c r="AF62" s="134" t="s">
        <v>85</v>
      </c>
      <c r="AG62" s="135">
        <v>0.01</v>
      </c>
      <c r="AH62" s="136">
        <f t="shared" si="10"/>
        <v>4.4400000000000004E-3</v>
      </c>
      <c r="AI62" s="80"/>
      <c r="AJ62" s="154"/>
      <c r="AK62" s="100" t="str">
        <f t="shared" si="21"/>
        <v/>
      </c>
      <c r="AL62" s="138"/>
      <c r="AM62" s="113"/>
      <c r="AN62" s="103" t="str">
        <f t="shared" si="12"/>
        <v/>
      </c>
      <c r="AO62" s="139"/>
      <c r="AP62" s="140"/>
      <c r="AQ62" s="141" t="str">
        <f t="shared" si="15"/>
        <v/>
      </c>
      <c r="AR62" s="142"/>
      <c r="AS62" s="140"/>
      <c r="AT62" s="143" t="str">
        <f t="shared" si="16"/>
        <v/>
      </c>
      <c r="AU62" s="139"/>
      <c r="AV62" s="113"/>
      <c r="AW62" s="107" t="str">
        <f t="shared" si="17"/>
        <v/>
      </c>
      <c r="AX62" s="113"/>
      <c r="AY62" s="113"/>
      <c r="AZ62" s="144" t="str">
        <f t="shared" si="18"/>
        <v/>
      </c>
      <c r="BA62" s="80"/>
      <c r="BB62" s="140"/>
      <c r="BC62" s="145" t="str">
        <f t="shared" si="19"/>
        <v/>
      </c>
      <c r="BD62" s="113"/>
      <c r="BE62" s="114"/>
      <c r="BF62" s="146" t="str">
        <f t="shared" si="20"/>
        <v/>
      </c>
      <c r="BG62" s="147" t="s">
        <v>84</v>
      </c>
      <c r="BH62" s="148"/>
      <c r="BI62" s="149" t="s">
        <v>146</v>
      </c>
      <c r="BJ62" s="150">
        <f>'Degrémont sortie'!BI62</f>
        <v>0</v>
      </c>
      <c r="BK62" s="151">
        <f>'Degrémont sortie'!BJ62</f>
        <v>0</v>
      </c>
    </row>
    <row r="63" spans="1:63" ht="14.25" outlineLevel="1">
      <c r="A63" s="121">
        <f t="shared" si="13"/>
        <v>43515</v>
      </c>
      <c r="B63" s="122">
        <v>904</v>
      </c>
      <c r="C63" s="123">
        <v>8.1</v>
      </c>
      <c r="D63" s="124">
        <v>89.2</v>
      </c>
      <c r="E63" s="125">
        <v>213.5</v>
      </c>
      <c r="F63" s="126">
        <v>31</v>
      </c>
      <c r="G63" s="127">
        <f t="shared" si="0"/>
        <v>4009.6774193548385</v>
      </c>
      <c r="H63" s="128">
        <f t="shared" si="1"/>
        <v>3624.748387096774</v>
      </c>
      <c r="I63" s="129">
        <v>1</v>
      </c>
      <c r="J63" s="126">
        <v>4691</v>
      </c>
      <c r="K63" s="79">
        <f t="shared" si="2"/>
        <v>4691</v>
      </c>
      <c r="L63" s="128">
        <f t="shared" si="3"/>
        <v>4240.6639999999998</v>
      </c>
      <c r="M63" s="130">
        <v>1</v>
      </c>
      <c r="N63" s="126">
        <v>634</v>
      </c>
      <c r="O63" s="80">
        <f t="shared" si="4"/>
        <v>634</v>
      </c>
      <c r="P63" s="81">
        <f t="shared" si="5"/>
        <v>573.13599999999997</v>
      </c>
      <c r="Q63" s="129">
        <v>20</v>
      </c>
      <c r="R63" s="131">
        <v>12.6</v>
      </c>
      <c r="S63" s="127">
        <f t="shared" si="6"/>
        <v>252</v>
      </c>
      <c r="T63" s="128">
        <f t="shared" si="7"/>
        <v>227.80799999999999</v>
      </c>
      <c r="U63" s="131">
        <v>42</v>
      </c>
      <c r="V63" s="81">
        <f t="shared" si="14"/>
        <v>37.968000000000004</v>
      </c>
      <c r="W63" s="132"/>
      <c r="X63" s="153"/>
      <c r="Y63" s="94"/>
      <c r="Z63" s="132"/>
      <c r="AA63" s="153"/>
      <c r="AB63" s="94"/>
      <c r="AC63" s="133"/>
      <c r="AD63" s="93" t="str">
        <f t="shared" si="8"/>
        <v/>
      </c>
      <c r="AE63" s="94" t="e">
        <f t="shared" si="9"/>
        <v>#VALUE!</v>
      </c>
      <c r="AF63" s="134" t="s">
        <v>85</v>
      </c>
      <c r="AG63" s="135">
        <v>0.01</v>
      </c>
      <c r="AH63" s="136">
        <f t="shared" si="10"/>
        <v>4.5200000000000006E-3</v>
      </c>
      <c r="AI63" s="80"/>
      <c r="AJ63" s="154"/>
      <c r="AK63" s="100" t="str">
        <f t="shared" si="21"/>
        <v/>
      </c>
      <c r="AL63" s="138"/>
      <c r="AM63" s="131">
        <v>65</v>
      </c>
      <c r="AN63" s="103">
        <f t="shared" si="12"/>
        <v>506.935</v>
      </c>
      <c r="AO63" s="139"/>
      <c r="AP63" s="155">
        <v>49.6</v>
      </c>
      <c r="AQ63" s="141">
        <f t="shared" si="15"/>
        <v>386.83040000000005</v>
      </c>
      <c r="AR63" s="142"/>
      <c r="AS63" s="155">
        <v>0.96</v>
      </c>
      <c r="AT63" s="143">
        <f t="shared" si="16"/>
        <v>7.4870400000000004</v>
      </c>
      <c r="AU63" s="139"/>
      <c r="AV63" s="131">
        <v>26.52</v>
      </c>
      <c r="AW63" s="107">
        <f t="shared" si="17"/>
        <v>206.82948000000002</v>
      </c>
      <c r="AX63" s="113"/>
      <c r="AY63" s="131">
        <v>252.8</v>
      </c>
      <c r="AZ63" s="144">
        <f t="shared" si="18"/>
        <v>1971.5872000000002</v>
      </c>
      <c r="BA63" s="80"/>
      <c r="BB63" s="155">
        <v>1.76</v>
      </c>
      <c r="BC63" s="145">
        <f t="shared" si="19"/>
        <v>13.726240000000001</v>
      </c>
      <c r="BD63" s="131" t="s">
        <v>85</v>
      </c>
      <c r="BE63" s="158">
        <v>0.13</v>
      </c>
      <c r="BF63" s="146">
        <f t="shared" si="20"/>
        <v>0.50693500000000002</v>
      </c>
      <c r="BG63" s="147" t="s">
        <v>84</v>
      </c>
      <c r="BH63" s="148"/>
      <c r="BI63" s="149" t="s">
        <v>147</v>
      </c>
      <c r="BJ63" s="150">
        <f>'Degrémont sortie'!BI63</f>
        <v>0</v>
      </c>
      <c r="BK63" s="151">
        <f>'Degrémont sortie'!BJ63</f>
        <v>0</v>
      </c>
    </row>
    <row r="64" spans="1:63" ht="14.25" outlineLevel="1">
      <c r="A64" s="152">
        <f t="shared" si="13"/>
        <v>43516</v>
      </c>
      <c r="B64" s="122">
        <v>1048</v>
      </c>
      <c r="C64" s="123">
        <v>8.1</v>
      </c>
      <c r="D64" s="124">
        <v>88.2</v>
      </c>
      <c r="E64" s="125">
        <v>234.5</v>
      </c>
      <c r="F64" s="126">
        <v>27</v>
      </c>
      <c r="G64" s="127">
        <f t="shared" si="0"/>
        <v>5418.5185185185182</v>
      </c>
      <c r="H64" s="128">
        <f t="shared" si="1"/>
        <v>5678.6074074074068</v>
      </c>
      <c r="I64" s="129">
        <v>1</v>
      </c>
      <c r="J64" s="126">
        <v>5946</v>
      </c>
      <c r="K64" s="79">
        <f t="shared" si="2"/>
        <v>5946</v>
      </c>
      <c r="L64" s="128">
        <f t="shared" si="3"/>
        <v>6231.4080000000004</v>
      </c>
      <c r="M64" s="130">
        <v>1</v>
      </c>
      <c r="N64" s="126">
        <v>641</v>
      </c>
      <c r="O64" s="80">
        <f t="shared" si="4"/>
        <v>641</v>
      </c>
      <c r="P64" s="81">
        <f t="shared" si="5"/>
        <v>671.76800000000003</v>
      </c>
      <c r="Q64" s="129">
        <v>20</v>
      </c>
      <c r="R64" s="131">
        <v>16.3</v>
      </c>
      <c r="S64" s="127">
        <f t="shared" si="6"/>
        <v>326</v>
      </c>
      <c r="T64" s="128">
        <f t="shared" si="7"/>
        <v>341.64800000000002</v>
      </c>
      <c r="U64" s="113"/>
      <c r="V64" s="81">
        <f t="shared" si="14"/>
        <v>0</v>
      </c>
      <c r="W64" s="132"/>
      <c r="X64" s="153"/>
      <c r="Y64" s="94"/>
      <c r="Z64" s="132"/>
      <c r="AA64" s="153"/>
      <c r="AB64" s="94"/>
      <c r="AC64" s="133"/>
      <c r="AD64" s="93" t="str">
        <f t="shared" si="8"/>
        <v/>
      </c>
      <c r="AE64" s="94" t="e">
        <f t="shared" si="9"/>
        <v>#VALUE!</v>
      </c>
      <c r="AF64" s="134" t="s">
        <v>85</v>
      </c>
      <c r="AG64" s="135">
        <v>0.01</v>
      </c>
      <c r="AH64" s="136">
        <f t="shared" si="10"/>
        <v>5.2399999999999999E-3</v>
      </c>
      <c r="AI64" s="80"/>
      <c r="AJ64" s="154"/>
      <c r="AK64" s="100" t="str">
        <f t="shared" si="21"/>
        <v/>
      </c>
      <c r="AL64" s="138"/>
      <c r="AM64" s="113"/>
      <c r="AN64" s="103" t="str">
        <f t="shared" si="12"/>
        <v/>
      </c>
      <c r="AO64" s="139"/>
      <c r="AP64" s="140"/>
      <c r="AQ64" s="141" t="str">
        <f t="shared" si="15"/>
        <v/>
      </c>
      <c r="AR64" s="142"/>
      <c r="AS64" s="140"/>
      <c r="AT64" s="143" t="str">
        <f t="shared" si="16"/>
        <v/>
      </c>
      <c r="AU64" s="139"/>
      <c r="AV64" s="113"/>
      <c r="AW64" s="107" t="str">
        <f t="shared" si="17"/>
        <v/>
      </c>
      <c r="AX64" s="113"/>
      <c r="AY64" s="113"/>
      <c r="AZ64" s="144" t="str">
        <f t="shared" si="18"/>
        <v/>
      </c>
      <c r="BA64" s="80"/>
      <c r="BB64" s="140"/>
      <c r="BC64" s="145" t="str">
        <f t="shared" si="19"/>
        <v/>
      </c>
      <c r="BD64" s="113"/>
      <c r="BE64" s="114"/>
      <c r="BF64" s="146" t="str">
        <f t="shared" si="20"/>
        <v/>
      </c>
      <c r="BG64" s="147" t="s">
        <v>84</v>
      </c>
      <c r="BH64" s="148"/>
      <c r="BI64" s="156"/>
      <c r="BJ64" s="150">
        <f>'Degrémont sortie'!BI64</f>
        <v>0</v>
      </c>
      <c r="BK64" s="151">
        <f>'Degrémont sortie'!BJ64</f>
        <v>0</v>
      </c>
    </row>
    <row r="65" spans="1:63" ht="14.25" outlineLevel="1">
      <c r="A65" s="121">
        <f t="shared" si="13"/>
        <v>43517</v>
      </c>
      <c r="B65" s="122">
        <v>1118</v>
      </c>
      <c r="C65" s="123">
        <v>7.9</v>
      </c>
      <c r="D65" s="124">
        <v>88.9</v>
      </c>
      <c r="E65" s="125">
        <v>252.8</v>
      </c>
      <c r="F65" s="126">
        <v>29</v>
      </c>
      <c r="G65" s="127">
        <f t="shared" si="0"/>
        <v>5651.7241379310344</v>
      </c>
      <c r="H65" s="128">
        <f t="shared" si="1"/>
        <v>6318.627586206896</v>
      </c>
      <c r="I65" s="129">
        <v>1</v>
      </c>
      <c r="J65" s="126">
        <v>5690</v>
      </c>
      <c r="K65" s="79">
        <f t="shared" si="2"/>
        <v>5690</v>
      </c>
      <c r="L65" s="128">
        <f t="shared" si="3"/>
        <v>6361.42</v>
      </c>
      <c r="M65" s="130">
        <v>1</v>
      </c>
      <c r="N65" s="126">
        <v>843</v>
      </c>
      <c r="O65" s="80">
        <f t="shared" si="4"/>
        <v>843</v>
      </c>
      <c r="P65" s="81">
        <f t="shared" si="5"/>
        <v>942.47400000000005</v>
      </c>
      <c r="Q65" s="129">
        <v>20</v>
      </c>
      <c r="R65" s="131">
        <v>13.8</v>
      </c>
      <c r="S65" s="127">
        <f t="shared" si="6"/>
        <v>276</v>
      </c>
      <c r="T65" s="128">
        <f t="shared" si="7"/>
        <v>308.56799999999998</v>
      </c>
      <c r="U65" s="113"/>
      <c r="V65" s="81">
        <f t="shared" si="14"/>
        <v>0</v>
      </c>
      <c r="W65" s="132"/>
      <c r="X65" s="153"/>
      <c r="Y65" s="94"/>
      <c r="Z65" s="132"/>
      <c r="AA65" s="153"/>
      <c r="AB65" s="94"/>
      <c r="AC65" s="133"/>
      <c r="AD65" s="93" t="str">
        <f t="shared" si="8"/>
        <v/>
      </c>
      <c r="AE65" s="94" t="e">
        <f t="shared" si="9"/>
        <v>#VALUE!</v>
      </c>
      <c r="AF65" s="134" t="s">
        <v>85</v>
      </c>
      <c r="AG65" s="135">
        <v>0.01</v>
      </c>
      <c r="AH65" s="136">
        <f t="shared" si="10"/>
        <v>5.5899999999999995E-3</v>
      </c>
      <c r="AI65" s="80"/>
      <c r="AJ65" s="154"/>
      <c r="AK65" s="100" t="str">
        <f t="shared" si="21"/>
        <v/>
      </c>
      <c r="AL65" s="138"/>
      <c r="AM65" s="113"/>
      <c r="AN65" s="103" t="str">
        <f t="shared" si="12"/>
        <v/>
      </c>
      <c r="AO65" s="139"/>
      <c r="AP65" s="140"/>
      <c r="AQ65" s="141" t="str">
        <f t="shared" si="15"/>
        <v/>
      </c>
      <c r="AR65" s="142"/>
      <c r="AS65" s="140"/>
      <c r="AT65" s="143" t="str">
        <f t="shared" si="16"/>
        <v/>
      </c>
      <c r="AU65" s="139"/>
      <c r="AV65" s="113"/>
      <c r="AW65" s="107" t="str">
        <f t="shared" si="17"/>
        <v/>
      </c>
      <c r="AX65" s="113"/>
      <c r="AY65" s="113"/>
      <c r="AZ65" s="144" t="str">
        <f t="shared" si="18"/>
        <v/>
      </c>
      <c r="BA65" s="80"/>
      <c r="BB65" s="140"/>
      <c r="BC65" s="145" t="str">
        <f t="shared" si="19"/>
        <v/>
      </c>
      <c r="BD65" s="113"/>
      <c r="BE65" s="114"/>
      <c r="BF65" s="146" t="str">
        <f t="shared" si="20"/>
        <v/>
      </c>
      <c r="BG65" s="147" t="s">
        <v>84</v>
      </c>
      <c r="BH65" s="148"/>
      <c r="BI65" s="149" t="s">
        <v>148</v>
      </c>
      <c r="BJ65" s="150">
        <f>'Degrémont sortie'!BI65</f>
        <v>0</v>
      </c>
      <c r="BK65" s="151">
        <f>'Degrémont sortie'!BJ65</f>
        <v>0</v>
      </c>
    </row>
    <row r="66" spans="1:63" ht="14.25" outlineLevel="1">
      <c r="A66" s="152">
        <f t="shared" si="13"/>
        <v>43518</v>
      </c>
      <c r="B66" s="122">
        <v>860</v>
      </c>
      <c r="C66" s="123">
        <v>7.4</v>
      </c>
      <c r="D66" s="124">
        <v>87.6</v>
      </c>
      <c r="E66" s="125">
        <v>187.4</v>
      </c>
      <c r="F66" s="126">
        <v>33</v>
      </c>
      <c r="G66" s="127">
        <f t="shared" si="0"/>
        <v>3024.2424242424245</v>
      </c>
      <c r="H66" s="128">
        <f t="shared" si="1"/>
        <v>2600.848484848485</v>
      </c>
      <c r="I66" s="129">
        <v>1</v>
      </c>
      <c r="J66" s="126">
        <v>4238</v>
      </c>
      <c r="K66" s="79">
        <f t="shared" si="2"/>
        <v>4238</v>
      </c>
      <c r="L66" s="128">
        <f t="shared" si="3"/>
        <v>3644.68</v>
      </c>
      <c r="M66" s="130">
        <v>1</v>
      </c>
      <c r="N66" s="126">
        <v>918</v>
      </c>
      <c r="O66" s="80">
        <f t="shared" si="4"/>
        <v>918</v>
      </c>
      <c r="P66" s="81">
        <f t="shared" si="5"/>
        <v>789.48</v>
      </c>
      <c r="Q66" s="129">
        <v>20</v>
      </c>
      <c r="R66" s="131">
        <v>9.4499999999999993</v>
      </c>
      <c r="S66" s="127">
        <f t="shared" si="6"/>
        <v>189</v>
      </c>
      <c r="T66" s="128">
        <f t="shared" si="7"/>
        <v>162.54</v>
      </c>
      <c r="U66" s="113"/>
      <c r="V66" s="81">
        <f t="shared" si="14"/>
        <v>0</v>
      </c>
      <c r="W66" s="132"/>
      <c r="X66" s="153"/>
      <c r="Y66" s="94"/>
      <c r="Z66" s="132"/>
      <c r="AA66" s="153"/>
      <c r="AB66" s="94"/>
      <c r="AC66" s="133"/>
      <c r="AD66" s="93" t="str">
        <f t="shared" si="8"/>
        <v/>
      </c>
      <c r="AE66" s="94" t="e">
        <f t="shared" si="9"/>
        <v>#VALUE!</v>
      </c>
      <c r="AF66" s="134" t="s">
        <v>85</v>
      </c>
      <c r="AG66" s="135">
        <v>0.01</v>
      </c>
      <c r="AH66" s="136">
        <f t="shared" si="10"/>
        <v>4.3E-3</v>
      </c>
      <c r="AI66" s="80"/>
      <c r="AJ66" s="154"/>
      <c r="AK66" s="100" t="str">
        <f t="shared" si="21"/>
        <v/>
      </c>
      <c r="AL66" s="138"/>
      <c r="AM66" s="113"/>
      <c r="AN66" s="103" t="str">
        <f t="shared" si="12"/>
        <v/>
      </c>
      <c r="AO66" s="139"/>
      <c r="AP66" s="140"/>
      <c r="AQ66" s="141" t="str">
        <f t="shared" si="15"/>
        <v/>
      </c>
      <c r="AR66" s="142"/>
      <c r="AS66" s="140"/>
      <c r="AT66" s="143" t="str">
        <f t="shared" si="16"/>
        <v/>
      </c>
      <c r="AU66" s="139"/>
      <c r="AV66" s="113"/>
      <c r="AW66" s="107" t="str">
        <f t="shared" si="17"/>
        <v/>
      </c>
      <c r="AX66" s="113"/>
      <c r="AY66" s="113"/>
      <c r="AZ66" s="144" t="str">
        <f t="shared" si="18"/>
        <v/>
      </c>
      <c r="BA66" s="80"/>
      <c r="BB66" s="140"/>
      <c r="BC66" s="145" t="str">
        <f t="shared" si="19"/>
        <v/>
      </c>
      <c r="BD66" s="113"/>
      <c r="BE66" s="114"/>
      <c r="BF66" s="146" t="str">
        <f t="shared" si="20"/>
        <v/>
      </c>
      <c r="BG66" s="147" t="s">
        <v>84</v>
      </c>
      <c r="BH66" s="148"/>
      <c r="BI66" s="156"/>
      <c r="BJ66" s="150">
        <f>'Degrémont sortie'!BI66</f>
        <v>0</v>
      </c>
      <c r="BK66" s="151">
        <f>'Degrémont sortie'!BJ66</f>
        <v>0</v>
      </c>
    </row>
    <row r="67" spans="1:63" ht="14.25" outlineLevel="1">
      <c r="A67" s="121">
        <f t="shared" si="13"/>
        <v>43519</v>
      </c>
      <c r="B67" s="122">
        <v>416</v>
      </c>
      <c r="C67" s="123">
        <v>7.3</v>
      </c>
      <c r="D67" s="124">
        <v>87.6</v>
      </c>
      <c r="E67" s="125">
        <v>245.2</v>
      </c>
      <c r="F67" s="126">
        <v>36</v>
      </c>
      <c r="G67" s="127">
        <f t="shared" si="0"/>
        <v>4377.7777777777774</v>
      </c>
      <c r="H67" s="128">
        <f t="shared" si="1"/>
        <v>1821.1555555555556</v>
      </c>
      <c r="I67" s="129">
        <v>1</v>
      </c>
      <c r="J67" s="126">
        <v>5256</v>
      </c>
      <c r="K67" s="79">
        <f t="shared" si="2"/>
        <v>5256</v>
      </c>
      <c r="L67" s="128">
        <f t="shared" si="3"/>
        <v>2186.4960000000001</v>
      </c>
      <c r="M67" s="130">
        <v>1</v>
      </c>
      <c r="N67" s="126">
        <v>1098</v>
      </c>
      <c r="O67" s="80">
        <f t="shared" si="4"/>
        <v>1098</v>
      </c>
      <c r="P67" s="81">
        <f t="shared" si="5"/>
        <v>456.76799999999997</v>
      </c>
      <c r="Q67" s="129">
        <v>20</v>
      </c>
      <c r="R67" s="131">
        <v>12.6</v>
      </c>
      <c r="S67" s="127">
        <f t="shared" si="6"/>
        <v>252</v>
      </c>
      <c r="T67" s="128">
        <f t="shared" si="7"/>
        <v>104.83199999999999</v>
      </c>
      <c r="U67" s="113"/>
      <c r="V67" s="81">
        <f t="shared" si="14"/>
        <v>0</v>
      </c>
      <c r="W67" s="132"/>
      <c r="X67" s="153"/>
      <c r="Y67" s="94"/>
      <c r="Z67" s="132"/>
      <c r="AA67" s="153"/>
      <c r="AB67" s="94"/>
      <c r="AC67" s="133"/>
      <c r="AD67" s="93" t="str">
        <f t="shared" si="8"/>
        <v/>
      </c>
      <c r="AE67" s="94" t="e">
        <f t="shared" si="9"/>
        <v>#VALUE!</v>
      </c>
      <c r="AF67" s="134" t="s">
        <v>85</v>
      </c>
      <c r="AG67" s="135">
        <v>0.01</v>
      </c>
      <c r="AH67" s="136">
        <f t="shared" si="10"/>
        <v>2.0800000000000003E-3</v>
      </c>
      <c r="AI67" s="80"/>
      <c r="AJ67" s="154"/>
      <c r="AK67" s="100" t="str">
        <f t="shared" si="21"/>
        <v/>
      </c>
      <c r="AL67" s="138"/>
      <c r="AM67" s="113"/>
      <c r="AN67" s="103" t="str">
        <f t="shared" si="12"/>
        <v/>
      </c>
      <c r="AO67" s="139"/>
      <c r="AP67" s="140"/>
      <c r="AQ67" s="141" t="str">
        <f t="shared" si="15"/>
        <v/>
      </c>
      <c r="AR67" s="142"/>
      <c r="AS67" s="140"/>
      <c r="AT67" s="143" t="str">
        <f t="shared" si="16"/>
        <v/>
      </c>
      <c r="AU67" s="139"/>
      <c r="AV67" s="113"/>
      <c r="AW67" s="107" t="str">
        <f t="shared" si="17"/>
        <v/>
      </c>
      <c r="AX67" s="113"/>
      <c r="AY67" s="113"/>
      <c r="AZ67" s="144" t="str">
        <f t="shared" si="18"/>
        <v/>
      </c>
      <c r="BA67" s="80"/>
      <c r="BB67" s="140"/>
      <c r="BC67" s="145" t="str">
        <f t="shared" si="19"/>
        <v/>
      </c>
      <c r="BD67" s="113"/>
      <c r="BE67" s="114"/>
      <c r="BF67" s="146" t="str">
        <f t="shared" si="20"/>
        <v/>
      </c>
      <c r="BG67" s="147" t="s">
        <v>84</v>
      </c>
      <c r="BH67" s="148"/>
      <c r="BI67" s="156"/>
      <c r="BJ67" s="150">
        <f>'Degrémont sortie'!BI67</f>
        <v>0</v>
      </c>
      <c r="BK67" s="151">
        <f>'Degrémont sortie'!BJ67</f>
        <v>0</v>
      </c>
    </row>
    <row r="68" spans="1:63" ht="14.25" outlineLevel="1">
      <c r="A68" s="152">
        <f t="shared" si="13"/>
        <v>43520</v>
      </c>
      <c r="B68" s="122">
        <v>374</v>
      </c>
      <c r="C68" s="123">
        <v>7.7</v>
      </c>
      <c r="D68" s="124">
        <v>88.6</v>
      </c>
      <c r="E68" s="125">
        <v>175.4</v>
      </c>
      <c r="F68" s="126">
        <v>31</v>
      </c>
      <c r="G68" s="127">
        <f t="shared" si="0"/>
        <v>2800.0000000000005</v>
      </c>
      <c r="H68" s="128">
        <f t="shared" si="1"/>
        <v>1047.2</v>
      </c>
      <c r="I68" s="129">
        <v>1</v>
      </c>
      <c r="J68" s="126">
        <v>4030</v>
      </c>
      <c r="K68" s="79">
        <f t="shared" si="2"/>
        <v>4030</v>
      </c>
      <c r="L68" s="128">
        <f t="shared" si="3"/>
        <v>1507.22</v>
      </c>
      <c r="M68" s="130">
        <v>1</v>
      </c>
      <c r="N68" s="126">
        <v>692</v>
      </c>
      <c r="O68" s="80">
        <f t="shared" si="4"/>
        <v>692</v>
      </c>
      <c r="P68" s="81">
        <f t="shared" si="5"/>
        <v>258.80799999999999</v>
      </c>
      <c r="Q68" s="129">
        <v>20</v>
      </c>
      <c r="R68" s="131">
        <v>6.32</v>
      </c>
      <c r="S68" s="127">
        <f t="shared" si="6"/>
        <v>126.4</v>
      </c>
      <c r="T68" s="128">
        <f t="shared" si="7"/>
        <v>47.273600000000002</v>
      </c>
      <c r="U68" s="113"/>
      <c r="V68" s="81">
        <f t="shared" si="14"/>
        <v>0</v>
      </c>
      <c r="W68" s="132"/>
      <c r="X68" s="153"/>
      <c r="Y68" s="94"/>
      <c r="Z68" s="132"/>
      <c r="AA68" s="153"/>
      <c r="AB68" s="94"/>
      <c r="AC68" s="133"/>
      <c r="AD68" s="93" t="str">
        <f t="shared" si="8"/>
        <v/>
      </c>
      <c r="AE68" s="94" t="e">
        <f t="shared" si="9"/>
        <v>#VALUE!</v>
      </c>
      <c r="AF68" s="134" t="s">
        <v>85</v>
      </c>
      <c r="AG68" s="135">
        <v>0.01</v>
      </c>
      <c r="AH68" s="136">
        <f t="shared" si="10"/>
        <v>1.8700000000000001E-3</v>
      </c>
      <c r="AI68" s="80"/>
      <c r="AJ68" s="154"/>
      <c r="AK68" s="100" t="str">
        <f t="shared" si="21"/>
        <v/>
      </c>
      <c r="AL68" s="138"/>
      <c r="AM68" s="113"/>
      <c r="AN68" s="103" t="str">
        <f t="shared" si="12"/>
        <v/>
      </c>
      <c r="AO68" s="139"/>
      <c r="AP68" s="140"/>
      <c r="AQ68" s="141" t="str">
        <f t="shared" si="15"/>
        <v/>
      </c>
      <c r="AR68" s="142"/>
      <c r="AS68" s="140"/>
      <c r="AT68" s="143" t="str">
        <f t="shared" si="16"/>
        <v/>
      </c>
      <c r="AU68" s="139"/>
      <c r="AV68" s="113"/>
      <c r="AW68" s="107" t="str">
        <f t="shared" si="17"/>
        <v/>
      </c>
      <c r="AX68" s="113"/>
      <c r="AY68" s="113"/>
      <c r="AZ68" s="144" t="str">
        <f t="shared" si="18"/>
        <v/>
      </c>
      <c r="BA68" s="80"/>
      <c r="BB68" s="140"/>
      <c r="BC68" s="145" t="str">
        <f t="shared" si="19"/>
        <v/>
      </c>
      <c r="BD68" s="113"/>
      <c r="BE68" s="114"/>
      <c r="BF68" s="146" t="str">
        <f t="shared" si="20"/>
        <v/>
      </c>
      <c r="BG68" s="147" t="s">
        <v>84</v>
      </c>
      <c r="BH68" s="148"/>
      <c r="BI68" s="156"/>
      <c r="BJ68" s="150">
        <f>'Degrémont sortie'!BI68</f>
        <v>0</v>
      </c>
      <c r="BK68" s="151">
        <f>'Degrémont sortie'!BJ68</f>
        <v>0</v>
      </c>
    </row>
    <row r="69" spans="1:63" ht="15.75" customHeight="1" outlineLevel="1">
      <c r="A69" s="121">
        <f t="shared" si="13"/>
        <v>43521</v>
      </c>
      <c r="B69" s="122">
        <v>814</v>
      </c>
      <c r="C69" s="123">
        <v>7.7</v>
      </c>
      <c r="D69" s="124">
        <v>89</v>
      </c>
      <c r="E69" s="125">
        <v>104</v>
      </c>
      <c r="F69" s="126">
        <v>46</v>
      </c>
      <c r="G69" s="127">
        <f t="shared" si="0"/>
        <v>326.08695652173913</v>
      </c>
      <c r="H69" s="128">
        <f t="shared" si="1"/>
        <v>265.43478260869563</v>
      </c>
      <c r="I69" s="129">
        <v>1</v>
      </c>
      <c r="J69" s="126">
        <v>746</v>
      </c>
      <c r="K69" s="79">
        <f t="shared" si="2"/>
        <v>746</v>
      </c>
      <c r="L69" s="128">
        <f t="shared" si="3"/>
        <v>607.24400000000003</v>
      </c>
      <c r="M69" s="130">
        <v>1</v>
      </c>
      <c r="N69" s="126">
        <v>418</v>
      </c>
      <c r="O69" s="80">
        <f t="shared" si="4"/>
        <v>418</v>
      </c>
      <c r="P69" s="81">
        <f t="shared" si="5"/>
        <v>340.25200000000001</v>
      </c>
      <c r="Q69" s="129">
        <v>10</v>
      </c>
      <c r="R69" s="131">
        <v>1.1499999999999999</v>
      </c>
      <c r="S69" s="127">
        <f t="shared" si="6"/>
        <v>11.5</v>
      </c>
      <c r="T69" s="128">
        <f t="shared" si="7"/>
        <v>9.3610000000000007</v>
      </c>
      <c r="U69" s="113"/>
      <c r="V69" s="81">
        <f t="shared" si="14"/>
        <v>0</v>
      </c>
      <c r="W69" s="132"/>
      <c r="X69" s="153"/>
      <c r="Y69" s="94"/>
      <c r="Z69" s="132"/>
      <c r="AA69" s="153"/>
      <c r="AB69" s="94"/>
      <c r="AC69" s="133"/>
      <c r="AD69" s="93" t="str">
        <f t="shared" si="8"/>
        <v/>
      </c>
      <c r="AE69" s="94" t="e">
        <f t="shared" si="9"/>
        <v>#VALUE!</v>
      </c>
      <c r="AF69" s="134" t="s">
        <v>85</v>
      </c>
      <c r="AG69" s="135">
        <v>0.01</v>
      </c>
      <c r="AH69" s="136">
        <f t="shared" si="10"/>
        <v>4.0700000000000007E-3</v>
      </c>
      <c r="AI69" s="80"/>
      <c r="AJ69" s="154"/>
      <c r="AK69" s="100" t="str">
        <f t="shared" si="21"/>
        <v/>
      </c>
      <c r="AL69" s="138"/>
      <c r="AM69" s="113"/>
      <c r="AN69" s="103" t="str">
        <f t="shared" si="12"/>
        <v/>
      </c>
      <c r="AO69" s="139"/>
      <c r="AP69" s="140"/>
      <c r="AQ69" s="141" t="str">
        <f t="shared" si="15"/>
        <v/>
      </c>
      <c r="AR69" s="142"/>
      <c r="AS69" s="140"/>
      <c r="AT69" s="143" t="str">
        <f t="shared" si="16"/>
        <v/>
      </c>
      <c r="AU69" s="139"/>
      <c r="AV69" s="113"/>
      <c r="AW69" s="107" t="str">
        <f t="shared" si="17"/>
        <v/>
      </c>
      <c r="AX69" s="113"/>
      <c r="AY69" s="113"/>
      <c r="AZ69" s="144" t="str">
        <f t="shared" si="18"/>
        <v/>
      </c>
      <c r="BA69" s="80"/>
      <c r="BB69" s="140"/>
      <c r="BC69" s="145" t="str">
        <f t="shared" si="19"/>
        <v/>
      </c>
      <c r="BD69" s="113"/>
      <c r="BE69" s="114"/>
      <c r="BF69" s="146" t="str">
        <f t="shared" si="20"/>
        <v/>
      </c>
      <c r="BG69" s="147" t="s">
        <v>84</v>
      </c>
      <c r="BH69" s="148"/>
      <c r="BI69" s="149" t="s">
        <v>92</v>
      </c>
      <c r="BJ69" s="150" t="str">
        <f>'Degrémont sortie'!BI69</f>
        <v>MES de type papier grossier</v>
      </c>
      <c r="BK69" s="151">
        <f>'Degrémont sortie'!BJ69</f>
        <v>0</v>
      </c>
    </row>
    <row r="70" spans="1:63" ht="15.75" customHeight="1" outlineLevel="1">
      <c r="A70" s="152">
        <f t="shared" si="13"/>
        <v>43522</v>
      </c>
      <c r="B70" s="122">
        <v>965</v>
      </c>
      <c r="C70" s="123">
        <v>8</v>
      </c>
      <c r="D70" s="124">
        <v>88.9</v>
      </c>
      <c r="E70" s="125">
        <v>123</v>
      </c>
      <c r="F70" s="126">
        <v>50</v>
      </c>
      <c r="G70" s="127">
        <f t="shared" si="0"/>
        <v>681.99999999999989</v>
      </c>
      <c r="H70" s="128">
        <f t="shared" si="1"/>
        <v>658.12999999999988</v>
      </c>
      <c r="I70" s="129">
        <v>1</v>
      </c>
      <c r="J70" s="126">
        <v>1681</v>
      </c>
      <c r="K70" s="79">
        <f t="shared" si="2"/>
        <v>1681</v>
      </c>
      <c r="L70" s="128">
        <f t="shared" si="3"/>
        <v>1622.165</v>
      </c>
      <c r="M70" s="130">
        <v>1</v>
      </c>
      <c r="N70" s="126">
        <v>811</v>
      </c>
      <c r="O70" s="80">
        <f t="shared" si="4"/>
        <v>811</v>
      </c>
      <c r="P70" s="81">
        <f t="shared" si="5"/>
        <v>782.61500000000001</v>
      </c>
      <c r="Q70" s="129">
        <v>20</v>
      </c>
      <c r="R70" s="131">
        <v>2.33</v>
      </c>
      <c r="S70" s="127">
        <f t="shared" si="6"/>
        <v>46.6</v>
      </c>
      <c r="T70" s="128">
        <f t="shared" si="7"/>
        <v>44.969000000000001</v>
      </c>
      <c r="U70" s="131">
        <v>41</v>
      </c>
      <c r="V70" s="81">
        <f t="shared" si="14"/>
        <v>39.564999999999998</v>
      </c>
      <c r="W70" s="132"/>
      <c r="X70" s="153"/>
      <c r="Y70" s="94"/>
      <c r="Z70" s="132"/>
      <c r="AA70" s="153"/>
      <c r="AB70" s="94"/>
      <c r="AC70" s="133"/>
      <c r="AD70" s="93" t="str">
        <f t="shared" si="8"/>
        <v/>
      </c>
      <c r="AE70" s="94" t="e">
        <f t="shared" si="9"/>
        <v>#VALUE!</v>
      </c>
      <c r="AF70" s="134" t="s">
        <v>85</v>
      </c>
      <c r="AG70" s="135">
        <v>0.02</v>
      </c>
      <c r="AH70" s="136">
        <f t="shared" si="10"/>
        <v>9.6500000000000006E-3</v>
      </c>
      <c r="AI70" s="80"/>
      <c r="AJ70" s="154"/>
      <c r="AK70" s="100" t="str">
        <f t="shared" si="21"/>
        <v/>
      </c>
      <c r="AL70" s="138"/>
      <c r="AM70" s="131">
        <v>20</v>
      </c>
      <c r="AN70" s="103">
        <f t="shared" si="12"/>
        <v>149.86000000000001</v>
      </c>
      <c r="AO70" s="139"/>
      <c r="AP70" s="155">
        <v>27.36</v>
      </c>
      <c r="AQ70" s="141">
        <f t="shared" si="15"/>
        <v>205.00847999999999</v>
      </c>
      <c r="AR70" s="142"/>
      <c r="AS70" s="155">
        <v>0.52</v>
      </c>
      <c r="AT70" s="143">
        <f t="shared" si="16"/>
        <v>3.8963600000000005</v>
      </c>
      <c r="AU70" s="139"/>
      <c r="AV70" s="131">
        <v>14.65</v>
      </c>
      <c r="AW70" s="107">
        <f t="shared" si="17"/>
        <v>109.77245000000001</v>
      </c>
      <c r="AX70" s="113"/>
      <c r="AY70" s="131">
        <v>131.80000000000001</v>
      </c>
      <c r="AZ70" s="144">
        <f t="shared" si="18"/>
        <v>987.57740000000013</v>
      </c>
      <c r="BA70" s="80"/>
      <c r="BB70" s="155">
        <v>0.4</v>
      </c>
      <c r="BC70" s="145">
        <f t="shared" si="19"/>
        <v>2.9972000000000003</v>
      </c>
      <c r="BD70" s="131" t="s">
        <v>85</v>
      </c>
      <c r="BE70" s="158">
        <v>0.13</v>
      </c>
      <c r="BF70" s="146">
        <f t="shared" si="20"/>
        <v>0.48704500000000006</v>
      </c>
      <c r="BG70" s="147" t="s">
        <v>84</v>
      </c>
      <c r="BH70" s="148"/>
      <c r="BI70" s="149" t="s">
        <v>92</v>
      </c>
      <c r="BJ70" s="150">
        <f>'Degrémont sortie'!BI70</f>
        <v>0</v>
      </c>
      <c r="BK70" s="151">
        <f>'Degrémont sortie'!BJ70</f>
        <v>0</v>
      </c>
    </row>
    <row r="71" spans="1:63" ht="15.75" customHeight="1" outlineLevel="1">
      <c r="A71" s="121">
        <f t="shared" si="13"/>
        <v>43523</v>
      </c>
      <c r="B71" s="122">
        <v>994</v>
      </c>
      <c r="C71" s="123">
        <v>7.8</v>
      </c>
      <c r="D71" s="124">
        <v>88.9</v>
      </c>
      <c r="E71" s="125">
        <v>123.3</v>
      </c>
      <c r="F71" s="126">
        <v>37</v>
      </c>
      <c r="G71" s="127">
        <f t="shared" si="0"/>
        <v>929.72972972972957</v>
      </c>
      <c r="H71" s="128">
        <f t="shared" si="1"/>
        <v>924.1513513513512</v>
      </c>
      <c r="I71" s="129">
        <v>1</v>
      </c>
      <c r="J71" s="126">
        <v>1686</v>
      </c>
      <c r="K71" s="79">
        <f t="shared" si="2"/>
        <v>1686</v>
      </c>
      <c r="L71" s="128">
        <f t="shared" si="3"/>
        <v>1675.884</v>
      </c>
      <c r="M71" s="130">
        <v>1</v>
      </c>
      <c r="N71" s="126">
        <v>646</v>
      </c>
      <c r="O71" s="80">
        <f t="shared" si="4"/>
        <v>646</v>
      </c>
      <c r="P71" s="81">
        <f t="shared" si="5"/>
        <v>642.12400000000002</v>
      </c>
      <c r="Q71" s="129">
        <v>10</v>
      </c>
      <c r="R71" s="131">
        <v>4.34</v>
      </c>
      <c r="S71" s="127">
        <f t="shared" si="6"/>
        <v>43.4</v>
      </c>
      <c r="T71" s="128">
        <f t="shared" si="7"/>
        <v>43.139600000000002</v>
      </c>
      <c r="U71" s="113"/>
      <c r="V71" s="81">
        <f t="shared" si="14"/>
        <v>0</v>
      </c>
      <c r="W71" s="132"/>
      <c r="X71" s="153"/>
      <c r="Y71" s="94"/>
      <c r="Z71" s="132"/>
      <c r="AA71" s="153"/>
      <c r="AB71" s="94"/>
      <c r="AC71" s="133"/>
      <c r="AD71" s="93" t="str">
        <f t="shared" si="8"/>
        <v/>
      </c>
      <c r="AE71" s="94" t="e">
        <f t="shared" si="9"/>
        <v>#VALUE!</v>
      </c>
      <c r="AF71" s="134" t="s">
        <v>85</v>
      </c>
      <c r="AG71" s="135">
        <v>0.01</v>
      </c>
      <c r="AH71" s="136">
        <f t="shared" si="10"/>
        <v>4.9699999999999996E-3</v>
      </c>
      <c r="AI71" s="80"/>
      <c r="AJ71" s="154"/>
      <c r="AK71" s="100" t="str">
        <f t="shared" si="21"/>
        <v/>
      </c>
      <c r="AL71" s="138"/>
      <c r="AM71" s="113"/>
      <c r="AN71" s="103" t="str">
        <f t="shared" si="12"/>
        <v/>
      </c>
      <c r="AO71" s="139"/>
      <c r="AP71" s="140"/>
      <c r="AQ71" s="141" t="str">
        <f t="shared" si="15"/>
        <v/>
      </c>
      <c r="AR71" s="142"/>
      <c r="AS71" s="140"/>
      <c r="AT71" s="143" t="str">
        <f t="shared" si="16"/>
        <v/>
      </c>
      <c r="AU71" s="139"/>
      <c r="AV71" s="113"/>
      <c r="AW71" s="107" t="str">
        <f t="shared" si="17"/>
        <v/>
      </c>
      <c r="AX71" s="113"/>
      <c r="AY71" s="113"/>
      <c r="AZ71" s="144" t="str">
        <f t="shared" si="18"/>
        <v/>
      </c>
      <c r="BA71" s="80"/>
      <c r="BB71" s="140"/>
      <c r="BC71" s="145" t="str">
        <f t="shared" si="19"/>
        <v/>
      </c>
      <c r="BD71" s="113"/>
      <c r="BE71" s="114"/>
      <c r="BF71" s="146" t="str">
        <f t="shared" si="20"/>
        <v/>
      </c>
      <c r="BG71" s="147" t="s">
        <v>84</v>
      </c>
      <c r="BH71" s="148"/>
      <c r="BI71" s="156"/>
      <c r="BJ71" s="150">
        <f>'Degrémont sortie'!BI71</f>
        <v>0</v>
      </c>
      <c r="BK71" s="151">
        <f>'Degrémont sortie'!BJ71</f>
        <v>0</v>
      </c>
    </row>
    <row r="72" spans="1:63" ht="15.75" customHeight="1" outlineLevel="1">
      <c r="A72" s="152">
        <f t="shared" si="13"/>
        <v>43524</v>
      </c>
      <c r="B72" s="122">
        <v>1151</v>
      </c>
      <c r="C72" s="123">
        <v>7.9</v>
      </c>
      <c r="D72" s="124">
        <v>89.1</v>
      </c>
      <c r="E72" s="125">
        <v>123.6</v>
      </c>
      <c r="F72" s="126">
        <v>45</v>
      </c>
      <c r="G72" s="127">
        <f t="shared" si="0"/>
        <v>766.66666666666663</v>
      </c>
      <c r="H72" s="128">
        <f t="shared" si="1"/>
        <v>882.43333333333328</v>
      </c>
      <c r="I72" s="129">
        <v>1</v>
      </c>
      <c r="J72" s="126">
        <v>1351</v>
      </c>
      <c r="K72" s="79">
        <f t="shared" si="2"/>
        <v>1351</v>
      </c>
      <c r="L72" s="128">
        <f t="shared" si="3"/>
        <v>1555.001</v>
      </c>
      <c r="M72" s="130">
        <v>1</v>
      </c>
      <c r="N72" s="126">
        <v>490</v>
      </c>
      <c r="O72" s="80">
        <f t="shared" si="4"/>
        <v>490</v>
      </c>
      <c r="P72" s="81">
        <f t="shared" si="5"/>
        <v>563.99</v>
      </c>
      <c r="Q72" s="129">
        <v>10</v>
      </c>
      <c r="R72" s="131">
        <v>2.86</v>
      </c>
      <c r="S72" s="127">
        <f t="shared" si="6"/>
        <v>28.599999999999998</v>
      </c>
      <c r="T72" s="128">
        <f t="shared" si="7"/>
        <v>32.918599999999998</v>
      </c>
      <c r="U72" s="113"/>
      <c r="V72" s="81">
        <f t="shared" si="14"/>
        <v>0</v>
      </c>
      <c r="W72" s="132"/>
      <c r="X72" s="153"/>
      <c r="Y72" s="94"/>
      <c r="Z72" s="132"/>
      <c r="AA72" s="153"/>
      <c r="AB72" s="94"/>
      <c r="AC72" s="133"/>
      <c r="AD72" s="93" t="str">
        <f t="shared" si="8"/>
        <v/>
      </c>
      <c r="AE72" s="94" t="e">
        <f t="shared" si="9"/>
        <v>#VALUE!</v>
      </c>
      <c r="AF72" s="134" t="s">
        <v>85</v>
      </c>
      <c r="AG72" s="135">
        <v>0.01</v>
      </c>
      <c r="AH72" s="136">
        <f t="shared" si="10"/>
        <v>5.7549999999999997E-3</v>
      </c>
      <c r="AI72" s="80"/>
      <c r="AJ72" s="154"/>
      <c r="AK72" s="100" t="str">
        <f t="shared" si="21"/>
        <v/>
      </c>
      <c r="AL72" s="138"/>
      <c r="AM72" s="113"/>
      <c r="AN72" s="103" t="str">
        <f t="shared" si="12"/>
        <v/>
      </c>
      <c r="AO72" s="139"/>
      <c r="AP72" s="140"/>
      <c r="AQ72" s="141" t="str">
        <f t="shared" si="15"/>
        <v/>
      </c>
      <c r="AR72" s="142"/>
      <c r="AS72" s="140"/>
      <c r="AT72" s="143" t="str">
        <f t="shared" si="16"/>
        <v/>
      </c>
      <c r="AU72" s="139"/>
      <c r="AV72" s="113"/>
      <c r="AW72" s="107" t="str">
        <f t="shared" si="17"/>
        <v/>
      </c>
      <c r="AX72" s="113"/>
      <c r="AY72" s="113"/>
      <c r="AZ72" s="144" t="str">
        <f t="shared" si="18"/>
        <v/>
      </c>
      <c r="BA72" s="80"/>
      <c r="BB72" s="140"/>
      <c r="BC72" s="145" t="str">
        <f t="shared" si="19"/>
        <v/>
      </c>
      <c r="BD72" s="113"/>
      <c r="BE72" s="114"/>
      <c r="BF72" s="146" t="str">
        <f t="shared" si="20"/>
        <v/>
      </c>
      <c r="BG72" s="147" t="s">
        <v>84</v>
      </c>
      <c r="BH72" s="148"/>
      <c r="BI72" s="156"/>
      <c r="BJ72" s="150">
        <f>'Degrémont sortie'!BI72</f>
        <v>0</v>
      </c>
      <c r="BK72" s="151">
        <f>'Degrémont sortie'!BJ72</f>
        <v>0</v>
      </c>
    </row>
    <row r="73" spans="1:63" ht="15.75" customHeight="1" outlineLevel="1">
      <c r="A73" s="121">
        <f t="shared" si="13"/>
        <v>43525</v>
      </c>
      <c r="B73" s="122">
        <v>902</v>
      </c>
      <c r="C73" s="123">
        <v>7.6</v>
      </c>
      <c r="D73" s="124">
        <v>90.5</v>
      </c>
      <c r="E73" s="125">
        <v>141</v>
      </c>
      <c r="F73" s="126">
        <v>32</v>
      </c>
      <c r="G73" s="127">
        <f t="shared" si="0"/>
        <v>1578.125</v>
      </c>
      <c r="H73" s="128">
        <f t="shared" si="1"/>
        <v>1423.46875</v>
      </c>
      <c r="I73" s="129">
        <v>1</v>
      </c>
      <c r="J73" s="126">
        <v>2533</v>
      </c>
      <c r="K73" s="79">
        <f t="shared" si="2"/>
        <v>2533</v>
      </c>
      <c r="L73" s="128">
        <f t="shared" si="3"/>
        <v>2284.7660000000001</v>
      </c>
      <c r="M73" s="130">
        <v>1</v>
      </c>
      <c r="N73" s="126">
        <v>702</v>
      </c>
      <c r="O73" s="80">
        <f t="shared" si="4"/>
        <v>702</v>
      </c>
      <c r="P73" s="81">
        <f t="shared" si="5"/>
        <v>633.20399999999995</v>
      </c>
      <c r="Q73" s="129">
        <v>20</v>
      </c>
      <c r="R73" s="131">
        <v>3.49</v>
      </c>
      <c r="S73" s="127">
        <f t="shared" si="6"/>
        <v>69.800000000000011</v>
      </c>
      <c r="T73" s="128">
        <f t="shared" si="7"/>
        <v>62.959600000000016</v>
      </c>
      <c r="U73" s="113"/>
      <c r="V73" s="81">
        <f t="shared" si="14"/>
        <v>0</v>
      </c>
      <c r="W73" s="132"/>
      <c r="X73" s="153"/>
      <c r="Y73" s="94"/>
      <c r="Z73" s="132"/>
      <c r="AA73" s="153"/>
      <c r="AB73" s="94"/>
      <c r="AC73" s="133"/>
      <c r="AD73" s="93" t="str">
        <f t="shared" si="8"/>
        <v/>
      </c>
      <c r="AE73" s="94" t="e">
        <f t="shared" si="9"/>
        <v>#VALUE!</v>
      </c>
      <c r="AF73" s="134" t="s">
        <v>85</v>
      </c>
      <c r="AG73" s="135">
        <v>0.01</v>
      </c>
      <c r="AH73" s="136">
        <f t="shared" si="10"/>
        <v>4.5100000000000001E-3</v>
      </c>
      <c r="AI73" s="80"/>
      <c r="AJ73" s="154"/>
      <c r="AK73" s="100" t="str">
        <f t="shared" si="21"/>
        <v/>
      </c>
      <c r="AL73" s="138"/>
      <c r="AM73" s="113"/>
      <c r="AN73" s="103" t="str">
        <f t="shared" si="12"/>
        <v/>
      </c>
      <c r="AO73" s="139"/>
      <c r="AP73" s="140"/>
      <c r="AQ73" s="141" t="str">
        <f t="shared" si="15"/>
        <v/>
      </c>
      <c r="AR73" s="142"/>
      <c r="AS73" s="140"/>
      <c r="AT73" s="143" t="str">
        <f t="shared" si="16"/>
        <v/>
      </c>
      <c r="AU73" s="139"/>
      <c r="AV73" s="113"/>
      <c r="AW73" s="107" t="str">
        <f t="shared" si="17"/>
        <v/>
      </c>
      <c r="AX73" s="113"/>
      <c r="AY73" s="113"/>
      <c r="AZ73" s="144" t="str">
        <f t="shared" si="18"/>
        <v/>
      </c>
      <c r="BA73" s="80"/>
      <c r="BB73" s="140"/>
      <c r="BC73" s="145" t="str">
        <f t="shared" si="19"/>
        <v/>
      </c>
      <c r="BD73" s="113"/>
      <c r="BE73" s="114"/>
      <c r="BF73" s="146" t="str">
        <f t="shared" si="20"/>
        <v/>
      </c>
      <c r="BG73" s="147" t="s">
        <v>84</v>
      </c>
      <c r="BH73" s="148"/>
      <c r="BI73" s="156"/>
      <c r="BJ73" s="150">
        <f>'Degrémont sortie'!BI73</f>
        <v>0</v>
      </c>
      <c r="BK73" s="151">
        <f>'Degrémont sortie'!BJ73</f>
        <v>0</v>
      </c>
    </row>
    <row r="74" spans="1:63" ht="14.25" outlineLevel="1">
      <c r="A74" s="152">
        <f t="shared" si="13"/>
        <v>43526</v>
      </c>
      <c r="B74" s="373"/>
      <c r="C74" s="374"/>
      <c r="D74" s="375"/>
      <c r="E74" s="376"/>
      <c r="F74" s="198"/>
      <c r="G74" s="127">
        <f t="shared" si="0"/>
        <v>0</v>
      </c>
      <c r="H74" s="128">
        <f t="shared" si="1"/>
        <v>0</v>
      </c>
      <c r="I74" s="188">
        <v>1</v>
      </c>
      <c r="J74" s="198"/>
      <c r="K74" s="79">
        <f t="shared" si="2"/>
        <v>0</v>
      </c>
      <c r="L74" s="128">
        <f t="shared" si="3"/>
        <v>0</v>
      </c>
      <c r="M74" s="189">
        <v>1</v>
      </c>
      <c r="N74" s="198"/>
      <c r="O74" s="80" t="str">
        <f t="shared" si="4"/>
        <v/>
      </c>
      <c r="P74" s="81">
        <f t="shared" si="5"/>
        <v>0</v>
      </c>
      <c r="Q74" s="379"/>
      <c r="R74" s="191"/>
      <c r="S74" s="127" t="str">
        <f t="shared" si="6"/>
        <v/>
      </c>
      <c r="T74" s="128">
        <f t="shared" si="7"/>
        <v>0</v>
      </c>
      <c r="U74" s="191"/>
      <c r="V74" s="81">
        <f t="shared" si="14"/>
        <v>0</v>
      </c>
      <c r="W74" s="132"/>
      <c r="X74" s="153"/>
      <c r="Y74" s="94"/>
      <c r="Z74" s="132"/>
      <c r="AA74" s="153"/>
      <c r="AB74" s="94"/>
      <c r="AC74" s="133"/>
      <c r="AD74" s="93" t="str">
        <f t="shared" si="8"/>
        <v/>
      </c>
      <c r="AE74" s="94" t="str">
        <f t="shared" si="9"/>
        <v/>
      </c>
      <c r="AF74" s="195"/>
      <c r="AG74" s="382"/>
      <c r="AH74" s="136" t="str">
        <f t="shared" si="10"/>
        <v/>
      </c>
      <c r="AI74" s="80"/>
      <c r="AJ74" s="154"/>
      <c r="AK74" s="100" t="str">
        <f t="shared" si="21"/>
        <v/>
      </c>
      <c r="AL74" s="194"/>
      <c r="AM74" s="191"/>
      <c r="AN74" s="103" t="str">
        <f t="shared" si="12"/>
        <v/>
      </c>
      <c r="AO74" s="195"/>
      <c r="AP74" s="196"/>
      <c r="AQ74" s="141" t="str">
        <f t="shared" si="15"/>
        <v/>
      </c>
      <c r="AR74" s="197"/>
      <c r="AS74" s="196"/>
      <c r="AT74" s="143" t="str">
        <f t="shared" si="16"/>
        <v/>
      </c>
      <c r="AU74" s="195"/>
      <c r="AV74" s="191"/>
      <c r="AW74" s="107" t="str">
        <f t="shared" si="17"/>
        <v/>
      </c>
      <c r="AX74" s="191"/>
      <c r="AY74" s="191"/>
      <c r="AZ74" s="144" t="str">
        <f t="shared" si="18"/>
        <v/>
      </c>
      <c r="BA74" s="198"/>
      <c r="BB74" s="196"/>
      <c r="BC74" s="145" t="str">
        <f t="shared" si="19"/>
        <v/>
      </c>
      <c r="BD74" s="191"/>
      <c r="BE74" s="199"/>
      <c r="BF74" s="146" t="str">
        <f t="shared" si="20"/>
        <v/>
      </c>
      <c r="BG74" s="147" t="s">
        <v>84</v>
      </c>
      <c r="BH74" s="200"/>
      <c r="BI74" s="201" t="s">
        <v>152</v>
      </c>
      <c r="BJ74" s="150">
        <f>'Degrémont sortie'!BI74</f>
        <v>0</v>
      </c>
      <c r="BK74" s="151">
        <f>'Degrémont sortie'!BJ74</f>
        <v>0</v>
      </c>
    </row>
    <row r="75" spans="1:63" ht="14.25" outlineLevel="1">
      <c r="A75" s="121">
        <f t="shared" si="13"/>
        <v>43527</v>
      </c>
      <c r="B75" s="207"/>
      <c r="C75" s="208"/>
      <c r="D75" s="210"/>
      <c r="E75" s="211"/>
      <c r="F75" s="80"/>
      <c r="G75" s="127">
        <f t="shared" si="0"/>
        <v>0</v>
      </c>
      <c r="H75" s="128">
        <f t="shared" si="1"/>
        <v>0</v>
      </c>
      <c r="I75" s="129">
        <v>1</v>
      </c>
      <c r="J75" s="80"/>
      <c r="K75" s="79">
        <f t="shared" si="2"/>
        <v>0</v>
      </c>
      <c r="L75" s="128">
        <f t="shared" si="3"/>
        <v>0</v>
      </c>
      <c r="M75" s="130">
        <v>1</v>
      </c>
      <c r="N75" s="80"/>
      <c r="O75" s="80" t="str">
        <f t="shared" si="4"/>
        <v/>
      </c>
      <c r="P75" s="81">
        <f t="shared" si="5"/>
        <v>0</v>
      </c>
      <c r="Q75" s="213"/>
      <c r="R75" s="113"/>
      <c r="S75" s="127" t="str">
        <f t="shared" si="6"/>
        <v/>
      </c>
      <c r="T75" s="128">
        <f t="shared" si="7"/>
        <v>0</v>
      </c>
      <c r="U75" s="113"/>
      <c r="V75" s="81">
        <f t="shared" si="14"/>
        <v>0</v>
      </c>
      <c r="W75" s="132"/>
      <c r="X75" s="153"/>
      <c r="Y75" s="94"/>
      <c r="Z75" s="132"/>
      <c r="AA75" s="153"/>
      <c r="AB75" s="94"/>
      <c r="AC75" s="133"/>
      <c r="AD75" s="93" t="str">
        <f t="shared" si="8"/>
        <v/>
      </c>
      <c r="AE75" s="94" t="str">
        <f t="shared" si="9"/>
        <v/>
      </c>
      <c r="AF75" s="139"/>
      <c r="AG75" s="215"/>
      <c r="AH75" s="136" t="str">
        <f t="shared" si="10"/>
        <v/>
      </c>
      <c r="AI75" s="80"/>
      <c r="AJ75" s="154"/>
      <c r="AK75" s="100" t="str">
        <f t="shared" si="21"/>
        <v/>
      </c>
      <c r="AL75" s="138"/>
      <c r="AM75" s="113"/>
      <c r="AN75" s="103" t="str">
        <f t="shared" si="12"/>
        <v/>
      </c>
      <c r="AO75" s="139"/>
      <c r="AP75" s="140"/>
      <c r="AQ75" s="141" t="str">
        <f t="shared" si="15"/>
        <v/>
      </c>
      <c r="AR75" s="142"/>
      <c r="AS75" s="140"/>
      <c r="AT75" s="143" t="str">
        <f t="shared" si="16"/>
        <v/>
      </c>
      <c r="AU75" s="139"/>
      <c r="AV75" s="113"/>
      <c r="AW75" s="107" t="str">
        <f t="shared" si="17"/>
        <v/>
      </c>
      <c r="AX75" s="113"/>
      <c r="AY75" s="113"/>
      <c r="AZ75" s="144" t="str">
        <f t="shared" si="18"/>
        <v/>
      </c>
      <c r="BA75" s="80"/>
      <c r="BB75" s="140"/>
      <c r="BC75" s="145" t="str">
        <f t="shared" si="19"/>
        <v/>
      </c>
      <c r="BD75" s="113"/>
      <c r="BE75" s="114"/>
      <c r="BF75" s="146" t="str">
        <f t="shared" si="20"/>
        <v/>
      </c>
      <c r="BG75" s="147" t="s">
        <v>84</v>
      </c>
      <c r="BH75" s="148"/>
      <c r="BI75" s="156"/>
      <c r="BJ75" s="150">
        <f>'Degrémont sortie'!BI75</f>
        <v>0</v>
      </c>
      <c r="BK75" s="151">
        <f>'Degrémont sortie'!BJ75</f>
        <v>0</v>
      </c>
    </row>
    <row r="76" spans="1:63" ht="14.25" outlineLevel="1">
      <c r="A76" s="152">
        <f t="shared" si="13"/>
        <v>43528</v>
      </c>
      <c r="B76" s="122">
        <v>722</v>
      </c>
      <c r="C76" s="123">
        <v>7.4</v>
      </c>
      <c r="D76" s="124">
        <v>90.3</v>
      </c>
      <c r="E76" s="125">
        <v>123.4</v>
      </c>
      <c r="F76" s="126">
        <v>47</v>
      </c>
      <c r="G76" s="127">
        <f t="shared" si="0"/>
        <v>704.25531914893634</v>
      </c>
      <c r="H76" s="128">
        <f t="shared" si="1"/>
        <v>508.47234042553202</v>
      </c>
      <c r="I76" s="129">
        <v>1</v>
      </c>
      <c r="J76" s="126">
        <v>1323</v>
      </c>
      <c r="K76" s="79">
        <f t="shared" si="2"/>
        <v>1323</v>
      </c>
      <c r="L76" s="128">
        <f t="shared" si="3"/>
        <v>955.20600000000002</v>
      </c>
      <c r="M76" s="130">
        <v>1</v>
      </c>
      <c r="N76" s="126">
        <v>530</v>
      </c>
      <c r="O76" s="80">
        <f t="shared" si="4"/>
        <v>530</v>
      </c>
      <c r="P76" s="81">
        <f t="shared" si="5"/>
        <v>382.66</v>
      </c>
      <c r="Q76" s="129">
        <v>10</v>
      </c>
      <c r="R76" s="131">
        <v>3.79</v>
      </c>
      <c r="S76" s="127">
        <f t="shared" si="6"/>
        <v>37.9</v>
      </c>
      <c r="T76" s="128">
        <f t="shared" si="7"/>
        <v>27.363799999999998</v>
      </c>
      <c r="U76" s="113"/>
      <c r="V76" s="81">
        <f t="shared" si="14"/>
        <v>0</v>
      </c>
      <c r="W76" s="132"/>
      <c r="X76" s="153"/>
      <c r="Y76" s="94"/>
      <c r="Z76" s="132"/>
      <c r="AA76" s="153"/>
      <c r="AB76" s="94"/>
      <c r="AC76" s="133"/>
      <c r="AD76" s="93" t="str">
        <f t="shared" si="8"/>
        <v/>
      </c>
      <c r="AE76" s="94" t="e">
        <f t="shared" si="9"/>
        <v>#VALUE!</v>
      </c>
      <c r="AF76" s="134" t="s">
        <v>85</v>
      </c>
      <c r="AG76" s="135">
        <v>0.01</v>
      </c>
      <c r="AH76" s="136">
        <f t="shared" si="10"/>
        <v>3.6099999999999999E-3</v>
      </c>
      <c r="AI76" s="80"/>
      <c r="AJ76" s="154"/>
      <c r="AK76" s="100" t="str">
        <f t="shared" si="21"/>
        <v/>
      </c>
      <c r="AL76" s="138"/>
      <c r="AM76" s="113"/>
      <c r="AN76" s="103" t="str">
        <f t="shared" si="12"/>
        <v/>
      </c>
      <c r="AO76" s="139"/>
      <c r="AP76" s="140"/>
      <c r="AQ76" s="141" t="str">
        <f t="shared" si="15"/>
        <v/>
      </c>
      <c r="AR76" s="142"/>
      <c r="AS76" s="140"/>
      <c r="AT76" s="143" t="str">
        <f t="shared" si="16"/>
        <v/>
      </c>
      <c r="AU76" s="139"/>
      <c r="AV76" s="113"/>
      <c r="AW76" s="107" t="str">
        <f t="shared" si="17"/>
        <v/>
      </c>
      <c r="AX76" s="113"/>
      <c r="AY76" s="113"/>
      <c r="AZ76" s="144" t="str">
        <f t="shared" si="18"/>
        <v/>
      </c>
      <c r="BA76" s="80"/>
      <c r="BB76" s="140"/>
      <c r="BC76" s="145" t="str">
        <f t="shared" si="19"/>
        <v/>
      </c>
      <c r="BD76" s="113"/>
      <c r="BE76" s="114"/>
      <c r="BF76" s="146" t="str">
        <f t="shared" si="20"/>
        <v/>
      </c>
      <c r="BG76" s="147" t="s">
        <v>84</v>
      </c>
      <c r="BH76" s="148"/>
      <c r="BI76" s="156"/>
      <c r="BJ76" s="150">
        <f>'Degrémont sortie'!BI76</f>
        <v>0</v>
      </c>
      <c r="BK76" s="151">
        <f>'Degrémont sortie'!BJ76</f>
        <v>0</v>
      </c>
    </row>
    <row r="77" spans="1:63" ht="14.25" outlineLevel="1">
      <c r="A77" s="121">
        <f t="shared" si="13"/>
        <v>43529</v>
      </c>
      <c r="B77" s="122">
        <v>1142</v>
      </c>
      <c r="C77" s="123">
        <v>7.5</v>
      </c>
      <c r="D77" s="124">
        <v>90.7</v>
      </c>
      <c r="E77" s="125">
        <v>115.1</v>
      </c>
      <c r="F77" s="126">
        <v>42</v>
      </c>
      <c r="G77" s="127">
        <f t="shared" si="0"/>
        <v>580.95238095238074</v>
      </c>
      <c r="H77" s="128">
        <f t="shared" si="1"/>
        <v>663.44761904761879</v>
      </c>
      <c r="I77" s="129">
        <v>1</v>
      </c>
      <c r="J77" s="126">
        <v>1141</v>
      </c>
      <c r="K77" s="79">
        <f t="shared" si="2"/>
        <v>1141</v>
      </c>
      <c r="L77" s="128">
        <f t="shared" si="3"/>
        <v>1303.0219999999999</v>
      </c>
      <c r="M77" s="130">
        <v>1</v>
      </c>
      <c r="N77" s="126">
        <v>443</v>
      </c>
      <c r="O77" s="80">
        <f t="shared" si="4"/>
        <v>443</v>
      </c>
      <c r="P77" s="81">
        <f t="shared" si="5"/>
        <v>505.90600000000001</v>
      </c>
      <c r="Q77" s="129">
        <v>10</v>
      </c>
      <c r="R77" s="131">
        <v>3.65</v>
      </c>
      <c r="S77" s="127">
        <f t="shared" si="6"/>
        <v>36.5</v>
      </c>
      <c r="T77" s="128">
        <f t="shared" si="7"/>
        <v>41.683</v>
      </c>
      <c r="U77" s="131">
        <v>47</v>
      </c>
      <c r="V77" s="81">
        <f t="shared" si="14"/>
        <v>53.673999999999999</v>
      </c>
      <c r="W77" s="132"/>
      <c r="X77" s="153"/>
      <c r="Y77" s="94"/>
      <c r="Z77" s="132"/>
      <c r="AA77" s="153"/>
      <c r="AB77" s="94"/>
      <c r="AC77" s="133"/>
      <c r="AD77" s="93" t="str">
        <f t="shared" si="8"/>
        <v/>
      </c>
      <c r="AE77" s="94" t="e">
        <f t="shared" si="9"/>
        <v>#VALUE!</v>
      </c>
      <c r="AF77" s="134" t="s">
        <v>85</v>
      </c>
      <c r="AG77" s="135">
        <v>0.01</v>
      </c>
      <c r="AH77" s="136">
        <f t="shared" si="10"/>
        <v>5.7099999999999998E-3</v>
      </c>
      <c r="AI77" s="80"/>
      <c r="AJ77" s="154"/>
      <c r="AK77" s="100" t="str">
        <f t="shared" si="21"/>
        <v/>
      </c>
      <c r="AL77" s="138"/>
      <c r="AM77" s="131">
        <v>9.8000000000000007</v>
      </c>
      <c r="AN77" s="103">
        <f t="shared" si="12"/>
        <v>67.002600000000001</v>
      </c>
      <c r="AO77" s="139"/>
      <c r="AP77" s="155">
        <v>26.81</v>
      </c>
      <c r="AQ77" s="141">
        <f t="shared" si="15"/>
        <v>183.29996999999997</v>
      </c>
      <c r="AR77" s="142"/>
      <c r="AS77" s="155">
        <v>0.2</v>
      </c>
      <c r="AT77" s="143">
        <f t="shared" si="16"/>
        <v>1.3673999999999999</v>
      </c>
      <c r="AU77" s="139"/>
      <c r="AV77" s="131">
        <v>5.0599999999999996</v>
      </c>
      <c r="AW77" s="107">
        <f t="shared" si="17"/>
        <v>34.595219999999998</v>
      </c>
      <c r="AX77" s="113"/>
      <c r="AY77" s="131">
        <v>36.549999999999997</v>
      </c>
      <c r="AZ77" s="144">
        <f t="shared" si="18"/>
        <v>249.89234999999996</v>
      </c>
      <c r="BA77" s="80"/>
      <c r="BB77" s="155">
        <v>0.15</v>
      </c>
      <c r="BC77" s="145">
        <f t="shared" si="19"/>
        <v>1.02555</v>
      </c>
      <c r="BD77" s="131" t="s">
        <v>85</v>
      </c>
      <c r="BE77" s="158">
        <v>0.13</v>
      </c>
      <c r="BF77" s="146">
        <f t="shared" si="20"/>
        <v>0.44440499999999999</v>
      </c>
      <c r="BG77" s="147" t="s">
        <v>84</v>
      </c>
      <c r="BH77" s="148"/>
      <c r="BI77" s="156"/>
      <c r="BJ77" s="150">
        <f>'Degrémont sortie'!BI77</f>
        <v>0</v>
      </c>
      <c r="BK77" s="151">
        <f>'Degrémont sortie'!BJ77</f>
        <v>0</v>
      </c>
    </row>
    <row r="78" spans="1:63" ht="14.25" outlineLevel="1">
      <c r="A78" s="152">
        <f t="shared" si="13"/>
        <v>43530</v>
      </c>
      <c r="B78" s="122">
        <v>961</v>
      </c>
      <c r="C78" s="123">
        <v>7.3</v>
      </c>
      <c r="D78" s="124">
        <v>90.3</v>
      </c>
      <c r="E78" s="125">
        <v>103.7</v>
      </c>
      <c r="F78" s="126">
        <v>42</v>
      </c>
      <c r="G78" s="127">
        <f t="shared" si="0"/>
        <v>319.04761904761915</v>
      </c>
      <c r="H78" s="128">
        <f t="shared" si="1"/>
        <v>306.60476190476203</v>
      </c>
      <c r="I78" s="129">
        <v>1</v>
      </c>
      <c r="J78" s="126">
        <v>870</v>
      </c>
      <c r="K78" s="79">
        <f t="shared" si="2"/>
        <v>870</v>
      </c>
      <c r="L78" s="128">
        <f t="shared" si="3"/>
        <v>836.07</v>
      </c>
      <c r="M78" s="130">
        <v>1</v>
      </c>
      <c r="N78" s="126">
        <v>494</v>
      </c>
      <c r="O78" s="80">
        <f t="shared" si="4"/>
        <v>494</v>
      </c>
      <c r="P78" s="81">
        <f t="shared" si="5"/>
        <v>474.73399999999998</v>
      </c>
      <c r="Q78" s="129">
        <v>10</v>
      </c>
      <c r="R78" s="131">
        <v>2.09</v>
      </c>
      <c r="S78" s="127">
        <f t="shared" si="6"/>
        <v>20.9</v>
      </c>
      <c r="T78" s="128">
        <f t="shared" si="7"/>
        <v>20.084899999999998</v>
      </c>
      <c r="U78" s="113"/>
      <c r="V78" s="81">
        <f t="shared" si="14"/>
        <v>0</v>
      </c>
      <c r="W78" s="132"/>
      <c r="X78" s="153"/>
      <c r="Y78" s="94"/>
      <c r="Z78" s="132"/>
      <c r="AA78" s="153"/>
      <c r="AB78" s="94"/>
      <c r="AC78" s="133"/>
      <c r="AD78" s="93" t="str">
        <f t="shared" si="8"/>
        <v/>
      </c>
      <c r="AE78" s="94" t="e">
        <f t="shared" si="9"/>
        <v>#VALUE!</v>
      </c>
      <c r="AF78" s="134" t="s">
        <v>85</v>
      </c>
      <c r="AG78" s="135">
        <v>0.01</v>
      </c>
      <c r="AH78" s="136">
        <f t="shared" si="10"/>
        <v>4.8049999999999994E-3</v>
      </c>
      <c r="AI78" s="80"/>
      <c r="AJ78" s="154"/>
      <c r="AK78" s="100" t="str">
        <f t="shared" si="21"/>
        <v/>
      </c>
      <c r="AL78" s="138"/>
      <c r="AM78" s="113"/>
      <c r="AN78" s="103" t="str">
        <f t="shared" si="12"/>
        <v/>
      </c>
      <c r="AO78" s="139"/>
      <c r="AP78" s="140"/>
      <c r="AQ78" s="141" t="str">
        <f t="shared" si="15"/>
        <v/>
      </c>
      <c r="AR78" s="142"/>
      <c r="AS78" s="140"/>
      <c r="AT78" s="143" t="str">
        <f t="shared" si="16"/>
        <v/>
      </c>
      <c r="AU78" s="139"/>
      <c r="AV78" s="113"/>
      <c r="AW78" s="107" t="str">
        <f t="shared" si="17"/>
        <v/>
      </c>
      <c r="AX78" s="113"/>
      <c r="AY78" s="113"/>
      <c r="AZ78" s="144" t="str">
        <f t="shared" si="18"/>
        <v/>
      </c>
      <c r="BA78" s="80"/>
      <c r="BB78" s="140"/>
      <c r="BC78" s="145" t="str">
        <f t="shared" si="19"/>
        <v/>
      </c>
      <c r="BD78" s="113"/>
      <c r="BE78" s="114"/>
      <c r="BF78" s="146" t="str">
        <f t="shared" si="20"/>
        <v/>
      </c>
      <c r="BG78" s="147" t="s">
        <v>84</v>
      </c>
      <c r="BH78" s="148"/>
      <c r="BI78" s="156"/>
      <c r="BJ78" s="150">
        <f>'Degrémont sortie'!BI78</f>
        <v>0</v>
      </c>
      <c r="BK78" s="151">
        <f>'Degrémont sortie'!BJ78</f>
        <v>0</v>
      </c>
    </row>
    <row r="79" spans="1:63" ht="14.25" outlineLevel="1">
      <c r="A79" s="121">
        <f t="shared" si="13"/>
        <v>43531</v>
      </c>
      <c r="B79" s="122">
        <v>878</v>
      </c>
      <c r="C79" s="123">
        <v>7.5</v>
      </c>
      <c r="D79" s="124">
        <v>89.2</v>
      </c>
      <c r="E79" s="125">
        <v>146.1</v>
      </c>
      <c r="F79" s="126">
        <v>40</v>
      </c>
      <c r="G79" s="127">
        <f t="shared" si="0"/>
        <v>1422.4999999999998</v>
      </c>
      <c r="H79" s="128">
        <f t="shared" si="1"/>
        <v>1248.9549999999997</v>
      </c>
      <c r="I79" s="129">
        <v>1</v>
      </c>
      <c r="J79" s="126">
        <v>1986</v>
      </c>
      <c r="K79" s="79">
        <f t="shared" si="2"/>
        <v>1986</v>
      </c>
      <c r="L79" s="128">
        <f t="shared" si="3"/>
        <v>1743.7080000000001</v>
      </c>
      <c r="M79" s="130">
        <v>1</v>
      </c>
      <c r="N79" s="126">
        <v>392</v>
      </c>
      <c r="O79" s="80">
        <f t="shared" si="4"/>
        <v>392</v>
      </c>
      <c r="P79" s="81">
        <f t="shared" si="5"/>
        <v>344.17599999999999</v>
      </c>
      <c r="Q79" s="129">
        <v>10</v>
      </c>
      <c r="R79" s="131">
        <v>7.79</v>
      </c>
      <c r="S79" s="127">
        <f t="shared" si="6"/>
        <v>77.900000000000006</v>
      </c>
      <c r="T79" s="128">
        <f t="shared" si="7"/>
        <v>68.396200000000007</v>
      </c>
      <c r="U79" s="113"/>
      <c r="V79" s="81">
        <f t="shared" si="14"/>
        <v>0</v>
      </c>
      <c r="W79" s="132"/>
      <c r="X79" s="153"/>
      <c r="Y79" s="94"/>
      <c r="Z79" s="132"/>
      <c r="AA79" s="153"/>
      <c r="AB79" s="94"/>
      <c r="AC79" s="133"/>
      <c r="AD79" s="93" t="str">
        <f t="shared" si="8"/>
        <v/>
      </c>
      <c r="AE79" s="94" t="e">
        <f t="shared" si="9"/>
        <v>#VALUE!</v>
      </c>
      <c r="AF79" s="134" t="s">
        <v>85</v>
      </c>
      <c r="AG79" s="135">
        <v>0.01</v>
      </c>
      <c r="AH79" s="136">
        <f t="shared" si="10"/>
        <v>4.3899999999999998E-3</v>
      </c>
      <c r="AI79" s="80"/>
      <c r="AJ79" s="154"/>
      <c r="AK79" s="100" t="str">
        <f t="shared" si="21"/>
        <v/>
      </c>
      <c r="AL79" s="138"/>
      <c r="AM79" s="113"/>
      <c r="AN79" s="103" t="str">
        <f t="shared" si="12"/>
        <v/>
      </c>
      <c r="AO79" s="139"/>
      <c r="AP79" s="140"/>
      <c r="AQ79" s="141" t="str">
        <f t="shared" si="15"/>
        <v/>
      </c>
      <c r="AR79" s="142"/>
      <c r="AS79" s="140"/>
      <c r="AT79" s="143" t="str">
        <f t="shared" si="16"/>
        <v/>
      </c>
      <c r="AU79" s="139"/>
      <c r="AV79" s="113"/>
      <c r="AW79" s="107" t="str">
        <f t="shared" si="17"/>
        <v/>
      </c>
      <c r="AX79" s="113"/>
      <c r="AY79" s="113"/>
      <c r="AZ79" s="144" t="str">
        <f t="shared" si="18"/>
        <v/>
      </c>
      <c r="BA79" s="80"/>
      <c r="BB79" s="140"/>
      <c r="BC79" s="145" t="str">
        <f t="shared" si="19"/>
        <v/>
      </c>
      <c r="BD79" s="113"/>
      <c r="BE79" s="114"/>
      <c r="BF79" s="146" t="str">
        <f t="shared" si="20"/>
        <v/>
      </c>
      <c r="BG79" s="147" t="s">
        <v>84</v>
      </c>
      <c r="BH79" s="148"/>
      <c r="BI79" s="156"/>
      <c r="BJ79" s="150">
        <f>'Degrémont sortie'!BI79</f>
        <v>0</v>
      </c>
      <c r="BK79" s="151">
        <f>'Degrémont sortie'!BJ79</f>
        <v>0</v>
      </c>
    </row>
    <row r="80" spans="1:63" ht="25.5" outlineLevel="1">
      <c r="A80" s="152">
        <f t="shared" si="13"/>
        <v>43532</v>
      </c>
      <c r="B80" s="122">
        <v>1036</v>
      </c>
      <c r="C80" s="123">
        <v>7.2</v>
      </c>
      <c r="D80" s="124">
        <v>89.8</v>
      </c>
      <c r="E80" s="125">
        <v>133.9</v>
      </c>
      <c r="F80" s="126">
        <v>33</v>
      </c>
      <c r="G80" s="127">
        <f t="shared" si="0"/>
        <v>1336.3636363636365</v>
      </c>
      <c r="H80" s="128">
        <f t="shared" si="1"/>
        <v>1384.4727272727273</v>
      </c>
      <c r="I80" s="129">
        <v>1</v>
      </c>
      <c r="J80" s="126">
        <v>1934</v>
      </c>
      <c r="K80" s="79">
        <f t="shared" si="2"/>
        <v>1934</v>
      </c>
      <c r="L80" s="128">
        <f t="shared" si="3"/>
        <v>2003.624</v>
      </c>
      <c r="M80" s="130">
        <v>1</v>
      </c>
      <c r="N80" s="126">
        <v>438</v>
      </c>
      <c r="O80" s="80">
        <f t="shared" si="4"/>
        <v>438</v>
      </c>
      <c r="P80" s="81">
        <f t="shared" si="5"/>
        <v>453.76799999999997</v>
      </c>
      <c r="Q80" s="129">
        <v>10</v>
      </c>
      <c r="R80" s="131">
        <v>8.17</v>
      </c>
      <c r="S80" s="127">
        <f t="shared" si="6"/>
        <v>81.7</v>
      </c>
      <c r="T80" s="128">
        <f t="shared" si="7"/>
        <v>84.641199999999998</v>
      </c>
      <c r="U80" s="113"/>
      <c r="V80" s="81">
        <f t="shared" si="14"/>
        <v>0</v>
      </c>
      <c r="W80" s="132"/>
      <c r="X80" s="153"/>
      <c r="Y80" s="94"/>
      <c r="Z80" s="132"/>
      <c r="AA80" s="153"/>
      <c r="AB80" s="94"/>
      <c r="AC80" s="133"/>
      <c r="AD80" s="93" t="str">
        <f t="shared" si="8"/>
        <v/>
      </c>
      <c r="AE80" s="94" t="e">
        <f t="shared" si="9"/>
        <v>#VALUE!</v>
      </c>
      <c r="AF80" s="134" t="s">
        <v>85</v>
      </c>
      <c r="AG80" s="135">
        <v>0.01</v>
      </c>
      <c r="AH80" s="136">
        <f t="shared" si="10"/>
        <v>5.1799999999999997E-3</v>
      </c>
      <c r="AI80" s="80"/>
      <c r="AJ80" s="154"/>
      <c r="AK80" s="100" t="str">
        <f t="shared" si="21"/>
        <v/>
      </c>
      <c r="AL80" s="138"/>
      <c r="AM80" s="113"/>
      <c r="AN80" s="103" t="str">
        <f t="shared" si="12"/>
        <v/>
      </c>
      <c r="AO80" s="139"/>
      <c r="AP80" s="140"/>
      <c r="AQ80" s="141" t="str">
        <f t="shared" si="15"/>
        <v/>
      </c>
      <c r="AR80" s="142"/>
      <c r="AS80" s="140"/>
      <c r="AT80" s="143" t="str">
        <f t="shared" si="16"/>
        <v/>
      </c>
      <c r="AU80" s="139"/>
      <c r="AV80" s="113"/>
      <c r="AW80" s="107" t="str">
        <f t="shared" si="17"/>
        <v/>
      </c>
      <c r="AX80" s="113"/>
      <c r="AY80" s="113"/>
      <c r="AZ80" s="144" t="str">
        <f t="shared" si="18"/>
        <v/>
      </c>
      <c r="BA80" s="80"/>
      <c r="BB80" s="140"/>
      <c r="BC80" s="145" t="str">
        <f t="shared" si="19"/>
        <v/>
      </c>
      <c r="BD80" s="113"/>
      <c r="BE80" s="114"/>
      <c r="BF80" s="146" t="str">
        <f t="shared" si="20"/>
        <v/>
      </c>
      <c r="BG80" s="147" t="s">
        <v>84</v>
      </c>
      <c r="BH80" s="148"/>
      <c r="BI80" s="149" t="s">
        <v>158</v>
      </c>
      <c r="BJ80" s="150">
        <f>'Degrémont sortie'!BI80</f>
        <v>0</v>
      </c>
      <c r="BK80" s="151">
        <f>'Degrémont sortie'!BJ80</f>
        <v>0</v>
      </c>
    </row>
    <row r="81" spans="1:63" ht="15.75" customHeight="1" outlineLevel="1">
      <c r="A81" s="121">
        <f t="shared" si="13"/>
        <v>43533</v>
      </c>
      <c r="B81" s="122">
        <v>837</v>
      </c>
      <c r="C81" s="123">
        <v>7.7</v>
      </c>
      <c r="D81" s="124">
        <v>90</v>
      </c>
      <c r="E81" s="125">
        <v>122</v>
      </c>
      <c r="F81" s="126">
        <v>39</v>
      </c>
      <c r="G81" s="127">
        <f t="shared" si="0"/>
        <v>820.51282051282055</v>
      </c>
      <c r="H81" s="128">
        <f t="shared" si="1"/>
        <v>686.76923076923072</v>
      </c>
      <c r="I81" s="129">
        <v>1</v>
      </c>
      <c r="J81" s="126">
        <v>1632</v>
      </c>
      <c r="K81" s="79">
        <f t="shared" si="2"/>
        <v>1632</v>
      </c>
      <c r="L81" s="128">
        <f t="shared" si="3"/>
        <v>1365.9839999999999</v>
      </c>
      <c r="M81" s="130">
        <v>1</v>
      </c>
      <c r="N81" s="126">
        <v>689</v>
      </c>
      <c r="O81" s="80">
        <f t="shared" si="4"/>
        <v>689</v>
      </c>
      <c r="P81" s="81">
        <f t="shared" si="5"/>
        <v>576.69299999999998</v>
      </c>
      <c r="Q81" s="129">
        <v>10</v>
      </c>
      <c r="R81" s="131">
        <v>6.16</v>
      </c>
      <c r="S81" s="127">
        <f t="shared" si="6"/>
        <v>61.6</v>
      </c>
      <c r="T81" s="128">
        <f t="shared" si="7"/>
        <v>51.559200000000004</v>
      </c>
      <c r="U81" s="113"/>
      <c r="V81" s="81">
        <f t="shared" si="14"/>
        <v>0</v>
      </c>
      <c r="W81" s="132"/>
      <c r="X81" s="153"/>
      <c r="Y81" s="94"/>
      <c r="Z81" s="132"/>
      <c r="AA81" s="153"/>
      <c r="AB81" s="94"/>
      <c r="AC81" s="133"/>
      <c r="AD81" s="93" t="str">
        <f t="shared" si="8"/>
        <v/>
      </c>
      <c r="AE81" s="94" t="e">
        <f t="shared" si="9"/>
        <v>#VALUE!</v>
      </c>
      <c r="AF81" s="134" t="s">
        <v>85</v>
      </c>
      <c r="AG81" s="135">
        <v>0.02</v>
      </c>
      <c r="AH81" s="136">
        <f t="shared" si="10"/>
        <v>8.3700000000000007E-3</v>
      </c>
      <c r="AI81" s="80"/>
      <c r="AJ81" s="154"/>
      <c r="AK81" s="100" t="str">
        <f t="shared" si="21"/>
        <v/>
      </c>
      <c r="AL81" s="138"/>
      <c r="AM81" s="113"/>
      <c r="AN81" s="103" t="str">
        <f t="shared" si="12"/>
        <v/>
      </c>
      <c r="AO81" s="139"/>
      <c r="AP81" s="140"/>
      <c r="AQ81" s="141" t="str">
        <f t="shared" si="15"/>
        <v/>
      </c>
      <c r="AR81" s="142"/>
      <c r="AS81" s="140"/>
      <c r="AT81" s="143" t="str">
        <f t="shared" si="16"/>
        <v/>
      </c>
      <c r="AU81" s="139"/>
      <c r="AV81" s="113"/>
      <c r="AW81" s="107" t="str">
        <f t="shared" si="17"/>
        <v/>
      </c>
      <c r="AX81" s="113"/>
      <c r="AY81" s="113"/>
      <c r="AZ81" s="144" t="str">
        <f t="shared" si="18"/>
        <v/>
      </c>
      <c r="BA81" s="80"/>
      <c r="BB81" s="140"/>
      <c r="BC81" s="145" t="str">
        <f t="shared" si="19"/>
        <v/>
      </c>
      <c r="BD81" s="113"/>
      <c r="BE81" s="114"/>
      <c r="BF81" s="146" t="str">
        <f t="shared" si="20"/>
        <v/>
      </c>
      <c r="BG81" s="147" t="s">
        <v>84</v>
      </c>
      <c r="BH81" s="148"/>
      <c r="BI81" s="156"/>
      <c r="BJ81" s="150">
        <f>'Degrémont sortie'!BI81</f>
        <v>0</v>
      </c>
      <c r="BK81" s="151">
        <f>'Degrémont sortie'!BJ81</f>
        <v>0</v>
      </c>
    </row>
    <row r="82" spans="1:63" ht="15.75" customHeight="1" outlineLevel="1">
      <c r="A82" s="152">
        <f t="shared" si="13"/>
        <v>43534</v>
      </c>
      <c r="B82" s="122">
        <v>417</v>
      </c>
      <c r="C82" s="123">
        <v>8</v>
      </c>
      <c r="D82" s="124">
        <v>89.6</v>
      </c>
      <c r="E82" s="125">
        <v>108</v>
      </c>
      <c r="F82" s="126">
        <v>40</v>
      </c>
      <c r="G82" s="127">
        <f t="shared" si="0"/>
        <v>460.00000000000017</v>
      </c>
      <c r="H82" s="128">
        <f t="shared" si="1"/>
        <v>191.82000000000005</v>
      </c>
      <c r="I82" s="129">
        <v>1</v>
      </c>
      <c r="J82" s="126">
        <v>1042</v>
      </c>
      <c r="K82" s="79">
        <f t="shared" si="2"/>
        <v>1042</v>
      </c>
      <c r="L82" s="128">
        <f t="shared" si="3"/>
        <v>434.51400000000001</v>
      </c>
      <c r="M82" s="130">
        <v>1</v>
      </c>
      <c r="N82" s="126">
        <v>503</v>
      </c>
      <c r="O82" s="80">
        <f t="shared" si="4"/>
        <v>503</v>
      </c>
      <c r="P82" s="81">
        <f t="shared" si="5"/>
        <v>209.751</v>
      </c>
      <c r="Q82" s="129">
        <v>10</v>
      </c>
      <c r="R82" s="131">
        <v>4.3099999999999996</v>
      </c>
      <c r="S82" s="127">
        <f t="shared" si="6"/>
        <v>43.099999999999994</v>
      </c>
      <c r="T82" s="128">
        <f t="shared" si="7"/>
        <v>17.972699999999996</v>
      </c>
      <c r="U82" s="113"/>
      <c r="V82" s="81">
        <f t="shared" si="14"/>
        <v>0</v>
      </c>
      <c r="W82" s="132"/>
      <c r="X82" s="153"/>
      <c r="Y82" s="94"/>
      <c r="Z82" s="132"/>
      <c r="AA82" s="153"/>
      <c r="AB82" s="94"/>
      <c r="AC82" s="133"/>
      <c r="AD82" s="93" t="str">
        <f t="shared" si="8"/>
        <v/>
      </c>
      <c r="AE82" s="94" t="e">
        <f t="shared" si="9"/>
        <v>#VALUE!</v>
      </c>
      <c r="AF82" s="134" t="s">
        <v>85</v>
      </c>
      <c r="AG82" s="135">
        <v>0.01</v>
      </c>
      <c r="AH82" s="136">
        <f t="shared" si="10"/>
        <v>2.085E-3</v>
      </c>
      <c r="AI82" s="80"/>
      <c r="AJ82" s="154"/>
      <c r="AK82" s="100" t="str">
        <f t="shared" si="21"/>
        <v/>
      </c>
      <c r="AL82" s="138"/>
      <c r="AM82" s="113"/>
      <c r="AN82" s="103" t="str">
        <f t="shared" si="12"/>
        <v/>
      </c>
      <c r="AO82" s="139"/>
      <c r="AP82" s="140"/>
      <c r="AQ82" s="141" t="str">
        <f t="shared" si="15"/>
        <v/>
      </c>
      <c r="AR82" s="142"/>
      <c r="AS82" s="140"/>
      <c r="AT82" s="143" t="str">
        <f t="shared" si="16"/>
        <v/>
      </c>
      <c r="AU82" s="139"/>
      <c r="AV82" s="113"/>
      <c r="AW82" s="107" t="str">
        <f t="shared" si="17"/>
        <v/>
      </c>
      <c r="AX82" s="113"/>
      <c r="AY82" s="113"/>
      <c r="AZ82" s="144" t="str">
        <f t="shared" si="18"/>
        <v/>
      </c>
      <c r="BA82" s="80"/>
      <c r="BB82" s="140"/>
      <c r="BC82" s="145" t="str">
        <f t="shared" si="19"/>
        <v/>
      </c>
      <c r="BD82" s="113"/>
      <c r="BE82" s="114"/>
      <c r="BF82" s="146" t="str">
        <f t="shared" si="20"/>
        <v/>
      </c>
      <c r="BG82" s="147" t="s">
        <v>84</v>
      </c>
      <c r="BH82" s="148"/>
      <c r="BI82" s="149" t="s">
        <v>159</v>
      </c>
      <c r="BJ82" s="150">
        <f>'Degrémont sortie'!BI82</f>
        <v>0</v>
      </c>
      <c r="BK82" s="151">
        <f>'Degrémont sortie'!BJ82</f>
        <v>0</v>
      </c>
    </row>
    <row r="83" spans="1:63" ht="15.75" customHeight="1" outlineLevel="1">
      <c r="A83" s="121">
        <f t="shared" si="13"/>
        <v>43535</v>
      </c>
      <c r="B83" s="122">
        <v>902</v>
      </c>
      <c r="C83" s="123">
        <v>7.4</v>
      </c>
      <c r="D83" s="124">
        <v>90.3</v>
      </c>
      <c r="E83" s="125">
        <v>111.4</v>
      </c>
      <c r="F83" s="126">
        <v>48</v>
      </c>
      <c r="G83" s="127">
        <f t="shared" si="0"/>
        <v>439.58333333333348</v>
      </c>
      <c r="H83" s="128">
        <f t="shared" si="1"/>
        <v>396.50416666666678</v>
      </c>
      <c r="I83" s="129">
        <v>1</v>
      </c>
      <c r="J83" s="126">
        <v>895</v>
      </c>
      <c r="K83" s="79">
        <f t="shared" si="2"/>
        <v>895</v>
      </c>
      <c r="L83" s="128">
        <f t="shared" si="3"/>
        <v>807.29</v>
      </c>
      <c r="M83" s="130">
        <v>1</v>
      </c>
      <c r="N83" s="126">
        <v>401</v>
      </c>
      <c r="O83" s="80">
        <f t="shared" si="4"/>
        <v>401</v>
      </c>
      <c r="P83" s="81">
        <f t="shared" si="5"/>
        <v>361.702</v>
      </c>
      <c r="Q83" s="129">
        <v>10</v>
      </c>
      <c r="R83" s="131">
        <v>3.79</v>
      </c>
      <c r="S83" s="127">
        <f t="shared" si="6"/>
        <v>37.9</v>
      </c>
      <c r="T83" s="128">
        <f t="shared" si="7"/>
        <v>34.185799999999993</v>
      </c>
      <c r="U83" s="113"/>
      <c r="V83" s="81">
        <f t="shared" si="14"/>
        <v>0</v>
      </c>
      <c r="W83" s="132"/>
      <c r="X83" s="153"/>
      <c r="Y83" s="94"/>
      <c r="Z83" s="132"/>
      <c r="AA83" s="153"/>
      <c r="AB83" s="94"/>
      <c r="AC83" s="133"/>
      <c r="AD83" s="93" t="str">
        <f t="shared" si="8"/>
        <v/>
      </c>
      <c r="AE83" s="94" t="e">
        <f t="shared" si="9"/>
        <v>#VALUE!</v>
      </c>
      <c r="AF83" s="134" t="s">
        <v>85</v>
      </c>
      <c r="AG83" s="135">
        <v>0.01</v>
      </c>
      <c r="AH83" s="136">
        <f t="shared" si="10"/>
        <v>4.5100000000000001E-3</v>
      </c>
      <c r="AI83" s="80"/>
      <c r="AJ83" s="154"/>
      <c r="AK83" s="100" t="str">
        <f t="shared" si="21"/>
        <v/>
      </c>
      <c r="AL83" s="138"/>
      <c r="AM83" s="113"/>
      <c r="AN83" s="103" t="str">
        <f t="shared" si="12"/>
        <v/>
      </c>
      <c r="AO83" s="139"/>
      <c r="AP83" s="140"/>
      <c r="AQ83" s="141" t="str">
        <f t="shared" si="15"/>
        <v/>
      </c>
      <c r="AR83" s="142"/>
      <c r="AS83" s="140"/>
      <c r="AT83" s="143" t="str">
        <f t="shared" si="16"/>
        <v/>
      </c>
      <c r="AU83" s="139"/>
      <c r="AV83" s="113"/>
      <c r="AW83" s="107" t="str">
        <f t="shared" si="17"/>
        <v/>
      </c>
      <c r="AX83" s="113"/>
      <c r="AY83" s="113"/>
      <c r="AZ83" s="144" t="str">
        <f t="shared" si="18"/>
        <v/>
      </c>
      <c r="BA83" s="80"/>
      <c r="BB83" s="140"/>
      <c r="BC83" s="145" t="str">
        <f t="shared" si="19"/>
        <v/>
      </c>
      <c r="BD83" s="113"/>
      <c r="BE83" s="114"/>
      <c r="BF83" s="146" t="str">
        <f t="shared" si="20"/>
        <v/>
      </c>
      <c r="BG83" s="147" t="s">
        <v>84</v>
      </c>
      <c r="BH83" s="148"/>
      <c r="BI83" s="149" t="s">
        <v>164</v>
      </c>
      <c r="BJ83" s="150">
        <f>'Degrémont sortie'!BI83</f>
        <v>0</v>
      </c>
      <c r="BK83" s="151">
        <f>'Degrémont sortie'!BJ83</f>
        <v>0</v>
      </c>
    </row>
    <row r="84" spans="1:63" ht="15.75" customHeight="1" outlineLevel="1">
      <c r="A84" s="152">
        <f t="shared" si="13"/>
        <v>43536</v>
      </c>
      <c r="B84" s="122">
        <v>965</v>
      </c>
      <c r="C84" s="123">
        <v>7.45</v>
      </c>
      <c r="D84" s="124">
        <v>88.7</v>
      </c>
      <c r="E84" s="125">
        <v>121.6</v>
      </c>
      <c r="F84" s="126">
        <v>50</v>
      </c>
      <c r="G84" s="127">
        <f t="shared" si="0"/>
        <v>657.99999999999989</v>
      </c>
      <c r="H84" s="128">
        <f t="shared" si="1"/>
        <v>634.96999999999991</v>
      </c>
      <c r="I84" s="129">
        <v>1</v>
      </c>
      <c r="J84" s="126">
        <v>1303</v>
      </c>
      <c r="K84" s="79">
        <f t="shared" si="2"/>
        <v>1303</v>
      </c>
      <c r="L84" s="128">
        <f t="shared" si="3"/>
        <v>1257.395</v>
      </c>
      <c r="M84" s="130">
        <v>1</v>
      </c>
      <c r="N84" s="126">
        <v>592</v>
      </c>
      <c r="O84" s="80">
        <f t="shared" si="4"/>
        <v>592</v>
      </c>
      <c r="P84" s="81">
        <f t="shared" si="5"/>
        <v>571.28</v>
      </c>
      <c r="Q84" s="129">
        <v>5</v>
      </c>
      <c r="R84" s="131">
        <v>8.57</v>
      </c>
      <c r="S84" s="127">
        <f t="shared" si="6"/>
        <v>42.85</v>
      </c>
      <c r="T84" s="128">
        <f t="shared" si="7"/>
        <v>41.350250000000003</v>
      </c>
      <c r="U84" s="131">
        <v>14</v>
      </c>
      <c r="V84" s="81">
        <f t="shared" si="14"/>
        <v>13.51</v>
      </c>
      <c r="W84" s="132"/>
      <c r="X84" s="153"/>
      <c r="Y84" s="94"/>
      <c r="Z84" s="132"/>
      <c r="AA84" s="153"/>
      <c r="AB84" s="94"/>
      <c r="AC84" s="133"/>
      <c r="AD84" s="93" t="str">
        <f t="shared" si="8"/>
        <v/>
      </c>
      <c r="AE84" s="94" t="e">
        <f t="shared" si="9"/>
        <v>#VALUE!</v>
      </c>
      <c r="AF84" s="134" t="s">
        <v>85</v>
      </c>
      <c r="AG84" s="135">
        <v>0.01</v>
      </c>
      <c r="AH84" s="136">
        <f t="shared" si="10"/>
        <v>4.8250000000000003E-3</v>
      </c>
      <c r="AI84" s="80"/>
      <c r="AJ84" s="154"/>
      <c r="AK84" s="100" t="str">
        <f t="shared" si="21"/>
        <v/>
      </c>
      <c r="AL84" s="138"/>
      <c r="AM84" s="131">
        <v>7</v>
      </c>
      <c r="AN84" s="103">
        <f t="shared" si="12"/>
        <v>56.868000000000002</v>
      </c>
      <c r="AO84" s="139"/>
      <c r="AP84" s="155">
        <v>17.510000000000002</v>
      </c>
      <c r="AQ84" s="141">
        <f t="shared" si="15"/>
        <v>142.25124000000002</v>
      </c>
      <c r="AR84" s="142"/>
      <c r="AS84" s="155">
        <v>0.13</v>
      </c>
      <c r="AT84" s="143">
        <f t="shared" si="16"/>
        <v>1.0561200000000002</v>
      </c>
      <c r="AU84" s="139"/>
      <c r="AV84" s="131">
        <v>4.6100000000000003</v>
      </c>
      <c r="AW84" s="107">
        <f t="shared" si="17"/>
        <v>37.451640000000005</v>
      </c>
      <c r="AX84" s="113"/>
      <c r="AY84" s="131">
        <v>30.12</v>
      </c>
      <c r="AZ84" s="144">
        <f t="shared" si="18"/>
        <v>244.69488000000001</v>
      </c>
      <c r="BA84" s="126" t="s">
        <v>85</v>
      </c>
      <c r="BB84" s="155">
        <v>0.13</v>
      </c>
      <c r="BC84" s="145">
        <f t="shared" si="19"/>
        <v>0.52806000000000008</v>
      </c>
      <c r="BD84" s="131" t="s">
        <v>85</v>
      </c>
      <c r="BE84" s="158">
        <v>0.13</v>
      </c>
      <c r="BF84" s="146">
        <f t="shared" si="20"/>
        <v>0.52806000000000008</v>
      </c>
      <c r="BG84" s="147" t="s">
        <v>84</v>
      </c>
      <c r="BH84" s="148"/>
      <c r="BI84" s="149" t="s">
        <v>166</v>
      </c>
      <c r="BJ84" s="150">
        <f>'Degrémont sortie'!BI84</f>
        <v>0</v>
      </c>
      <c r="BK84" s="151">
        <f>'Degrémont sortie'!BJ84</f>
        <v>0</v>
      </c>
    </row>
    <row r="85" spans="1:63" ht="15.75" customHeight="1" outlineLevel="1">
      <c r="A85" s="121">
        <f t="shared" si="13"/>
        <v>43537</v>
      </c>
      <c r="B85" s="122">
        <v>986</v>
      </c>
      <c r="C85" s="123">
        <v>7.6</v>
      </c>
      <c r="D85" s="124">
        <v>88.2</v>
      </c>
      <c r="E85" s="125">
        <v>153.5</v>
      </c>
      <c r="F85" s="126">
        <v>45</v>
      </c>
      <c r="G85" s="127">
        <f t="shared" si="0"/>
        <v>1451.1111111111111</v>
      </c>
      <c r="H85" s="128">
        <f t="shared" si="1"/>
        <v>1430.7955555555554</v>
      </c>
      <c r="I85" s="129">
        <v>1</v>
      </c>
      <c r="J85" s="126">
        <v>2030</v>
      </c>
      <c r="K85" s="79">
        <f t="shared" si="2"/>
        <v>2030</v>
      </c>
      <c r="L85" s="128">
        <f t="shared" si="3"/>
        <v>2001.58</v>
      </c>
      <c r="M85" s="130">
        <v>1</v>
      </c>
      <c r="N85" s="126">
        <v>570</v>
      </c>
      <c r="O85" s="80">
        <f t="shared" si="4"/>
        <v>570</v>
      </c>
      <c r="P85" s="81">
        <f t="shared" si="5"/>
        <v>562.02</v>
      </c>
      <c r="Q85" s="129">
        <v>5</v>
      </c>
      <c r="R85" s="131">
        <v>13.1</v>
      </c>
      <c r="S85" s="127">
        <f t="shared" si="6"/>
        <v>65.5</v>
      </c>
      <c r="T85" s="128">
        <f t="shared" si="7"/>
        <v>64.582999999999998</v>
      </c>
      <c r="U85" s="113"/>
      <c r="V85" s="81">
        <f t="shared" si="14"/>
        <v>0</v>
      </c>
      <c r="W85" s="132"/>
      <c r="X85" s="153"/>
      <c r="Y85" s="94"/>
      <c r="Z85" s="132"/>
      <c r="AA85" s="153"/>
      <c r="AB85" s="94"/>
      <c r="AC85" s="133"/>
      <c r="AD85" s="93" t="str">
        <f t="shared" si="8"/>
        <v/>
      </c>
      <c r="AE85" s="94" t="e">
        <f t="shared" si="9"/>
        <v>#VALUE!</v>
      </c>
      <c r="AF85" s="134" t="s">
        <v>85</v>
      </c>
      <c r="AG85" s="135">
        <v>0.01</v>
      </c>
      <c r="AH85" s="136">
        <f t="shared" si="10"/>
        <v>4.9299999999999995E-3</v>
      </c>
      <c r="AI85" s="80"/>
      <c r="AJ85" s="154"/>
      <c r="AK85" s="100" t="str">
        <f t="shared" si="21"/>
        <v/>
      </c>
      <c r="AL85" s="138"/>
      <c r="AM85" s="113"/>
      <c r="AN85" s="103" t="str">
        <f t="shared" si="12"/>
        <v/>
      </c>
      <c r="AO85" s="139"/>
      <c r="AP85" s="140"/>
      <c r="AQ85" s="141" t="str">
        <f t="shared" si="15"/>
        <v/>
      </c>
      <c r="AR85" s="142"/>
      <c r="AS85" s="140"/>
      <c r="AT85" s="143" t="str">
        <f t="shared" si="16"/>
        <v/>
      </c>
      <c r="AU85" s="139"/>
      <c r="AV85" s="113"/>
      <c r="AW85" s="107" t="str">
        <f t="shared" si="17"/>
        <v/>
      </c>
      <c r="AX85" s="113"/>
      <c r="AY85" s="113"/>
      <c r="AZ85" s="144" t="str">
        <f t="shared" si="18"/>
        <v/>
      </c>
      <c r="BA85" s="80"/>
      <c r="BB85" s="140"/>
      <c r="BC85" s="145" t="str">
        <f t="shared" si="19"/>
        <v/>
      </c>
      <c r="BD85" s="113"/>
      <c r="BE85" s="114"/>
      <c r="BF85" s="146" t="str">
        <f t="shared" si="20"/>
        <v/>
      </c>
      <c r="BG85" s="147" t="s">
        <v>84</v>
      </c>
      <c r="BH85" s="148"/>
      <c r="BI85" s="156"/>
      <c r="BJ85" s="150">
        <f>'Degrémont sortie'!BI85</f>
        <v>0</v>
      </c>
      <c r="BK85" s="151">
        <f>'Degrémont sortie'!BJ85</f>
        <v>0</v>
      </c>
    </row>
    <row r="86" spans="1:63" ht="14.25" outlineLevel="1">
      <c r="A86" s="152">
        <f t="shared" si="13"/>
        <v>43538</v>
      </c>
      <c r="B86" s="122">
        <v>1022</v>
      </c>
      <c r="C86" s="123">
        <v>7.45</v>
      </c>
      <c r="D86" s="124">
        <v>89.3</v>
      </c>
      <c r="E86" s="125">
        <v>158.69999999999999</v>
      </c>
      <c r="F86" s="126">
        <v>32</v>
      </c>
      <c r="G86" s="127">
        <f t="shared" si="0"/>
        <v>2168.7499999999995</v>
      </c>
      <c r="H86" s="128">
        <f t="shared" si="1"/>
        <v>2216.4624999999996</v>
      </c>
      <c r="I86" s="129">
        <v>1</v>
      </c>
      <c r="J86" s="126">
        <v>3727</v>
      </c>
      <c r="K86" s="79">
        <f t="shared" si="2"/>
        <v>3727</v>
      </c>
      <c r="L86" s="128">
        <f t="shared" si="3"/>
        <v>3808.9940000000001</v>
      </c>
      <c r="M86" s="130">
        <v>1</v>
      </c>
      <c r="N86" s="126">
        <v>1357</v>
      </c>
      <c r="O86" s="80">
        <f t="shared" si="4"/>
        <v>1357</v>
      </c>
      <c r="P86" s="81">
        <f t="shared" si="5"/>
        <v>1386.854</v>
      </c>
      <c r="Q86" s="129">
        <v>10</v>
      </c>
      <c r="R86" s="131">
        <v>10.35</v>
      </c>
      <c r="S86" s="127">
        <f t="shared" si="6"/>
        <v>103.5</v>
      </c>
      <c r="T86" s="128">
        <f t="shared" si="7"/>
        <v>105.777</v>
      </c>
      <c r="U86" s="113"/>
      <c r="V86" s="81">
        <f t="shared" si="14"/>
        <v>0</v>
      </c>
      <c r="W86" s="132"/>
      <c r="X86" s="153"/>
      <c r="Y86" s="94"/>
      <c r="Z86" s="132"/>
      <c r="AA86" s="153"/>
      <c r="AB86" s="94"/>
      <c r="AC86" s="133"/>
      <c r="AD86" s="93" t="str">
        <f t="shared" si="8"/>
        <v/>
      </c>
      <c r="AE86" s="94" t="e">
        <f t="shared" si="9"/>
        <v>#VALUE!</v>
      </c>
      <c r="AF86" s="134" t="s">
        <v>85</v>
      </c>
      <c r="AG86" s="135">
        <v>0.01</v>
      </c>
      <c r="AH86" s="136">
        <f t="shared" si="10"/>
        <v>5.11E-3</v>
      </c>
      <c r="AI86" s="80"/>
      <c r="AJ86" s="154"/>
      <c r="AK86" s="100" t="str">
        <f t="shared" si="21"/>
        <v/>
      </c>
      <c r="AL86" s="138"/>
      <c r="AM86" s="113"/>
      <c r="AN86" s="103" t="str">
        <f t="shared" si="12"/>
        <v/>
      </c>
      <c r="AO86" s="139"/>
      <c r="AP86" s="140"/>
      <c r="AQ86" s="141" t="str">
        <f t="shared" si="15"/>
        <v/>
      </c>
      <c r="AR86" s="142"/>
      <c r="AS86" s="140"/>
      <c r="AT86" s="143" t="str">
        <f t="shared" si="16"/>
        <v/>
      </c>
      <c r="AU86" s="139"/>
      <c r="AV86" s="113"/>
      <c r="AW86" s="107" t="str">
        <f t="shared" si="17"/>
        <v/>
      </c>
      <c r="AX86" s="113"/>
      <c r="AY86" s="113"/>
      <c r="AZ86" s="144" t="str">
        <f t="shared" si="18"/>
        <v/>
      </c>
      <c r="BA86" s="80"/>
      <c r="BB86" s="140"/>
      <c r="BC86" s="145" t="str">
        <f t="shared" si="19"/>
        <v/>
      </c>
      <c r="BD86" s="113"/>
      <c r="BE86" s="114"/>
      <c r="BF86" s="146" t="str">
        <f t="shared" si="20"/>
        <v/>
      </c>
      <c r="BG86" s="147" t="s">
        <v>84</v>
      </c>
      <c r="BH86" s="148"/>
      <c r="BI86" s="156"/>
      <c r="BJ86" s="150">
        <f>'Degrémont sortie'!BI86</f>
        <v>0</v>
      </c>
      <c r="BK86" s="151">
        <f>'Degrémont sortie'!BJ86</f>
        <v>0</v>
      </c>
    </row>
    <row r="87" spans="1:63" ht="14.25" outlineLevel="1">
      <c r="A87" s="121">
        <f t="shared" si="13"/>
        <v>43539</v>
      </c>
      <c r="B87" s="122">
        <v>1081</v>
      </c>
      <c r="C87" s="123">
        <v>7.3</v>
      </c>
      <c r="D87" s="124">
        <v>90.7</v>
      </c>
      <c r="E87" s="125">
        <v>178.5</v>
      </c>
      <c r="F87" s="126">
        <v>32</v>
      </c>
      <c r="G87" s="127">
        <f t="shared" si="0"/>
        <v>2743.75</v>
      </c>
      <c r="H87" s="128">
        <f t="shared" si="1"/>
        <v>2965.9937500000001</v>
      </c>
      <c r="I87" s="129">
        <v>1</v>
      </c>
      <c r="J87" s="126">
        <v>4292</v>
      </c>
      <c r="K87" s="79">
        <f t="shared" si="2"/>
        <v>4292</v>
      </c>
      <c r="L87" s="128">
        <f t="shared" si="3"/>
        <v>4639.652</v>
      </c>
      <c r="M87" s="130">
        <v>1</v>
      </c>
      <c r="N87" s="126">
        <v>1222</v>
      </c>
      <c r="O87" s="80">
        <f t="shared" si="4"/>
        <v>1222</v>
      </c>
      <c r="P87" s="81">
        <f t="shared" si="5"/>
        <v>1320.982</v>
      </c>
      <c r="Q87" s="129">
        <v>10</v>
      </c>
      <c r="R87" s="131">
        <v>11.7</v>
      </c>
      <c r="S87" s="127">
        <f t="shared" si="6"/>
        <v>117</v>
      </c>
      <c r="T87" s="128">
        <f t="shared" si="7"/>
        <v>126.477</v>
      </c>
      <c r="U87" s="113"/>
      <c r="V87" s="81">
        <f t="shared" si="14"/>
        <v>0</v>
      </c>
      <c r="W87" s="132"/>
      <c r="X87" s="153"/>
      <c r="Y87" s="94"/>
      <c r="Z87" s="132"/>
      <c r="AA87" s="153"/>
      <c r="AB87" s="94"/>
      <c r="AC87" s="133"/>
      <c r="AD87" s="93" t="str">
        <f t="shared" si="8"/>
        <v/>
      </c>
      <c r="AE87" s="94" t="e">
        <f t="shared" si="9"/>
        <v>#VALUE!</v>
      </c>
      <c r="AF87" s="134" t="s">
        <v>85</v>
      </c>
      <c r="AG87" s="135">
        <v>0.01</v>
      </c>
      <c r="AH87" s="136">
        <f t="shared" si="10"/>
        <v>5.4050000000000001E-3</v>
      </c>
      <c r="AI87" s="80"/>
      <c r="AJ87" s="154"/>
      <c r="AK87" s="100" t="str">
        <f t="shared" si="21"/>
        <v/>
      </c>
      <c r="AL87" s="138"/>
      <c r="AM87" s="113"/>
      <c r="AN87" s="103" t="str">
        <f t="shared" si="12"/>
        <v/>
      </c>
      <c r="AO87" s="139"/>
      <c r="AP87" s="140"/>
      <c r="AQ87" s="141" t="str">
        <f t="shared" si="15"/>
        <v/>
      </c>
      <c r="AR87" s="142"/>
      <c r="AS87" s="140"/>
      <c r="AT87" s="143" t="str">
        <f t="shared" si="16"/>
        <v/>
      </c>
      <c r="AU87" s="139"/>
      <c r="AV87" s="113"/>
      <c r="AW87" s="107" t="str">
        <f t="shared" si="17"/>
        <v/>
      </c>
      <c r="AX87" s="113"/>
      <c r="AY87" s="113"/>
      <c r="AZ87" s="144" t="str">
        <f t="shared" si="18"/>
        <v/>
      </c>
      <c r="BA87" s="80"/>
      <c r="BB87" s="140"/>
      <c r="BC87" s="145" t="str">
        <f t="shared" si="19"/>
        <v/>
      </c>
      <c r="BD87" s="113"/>
      <c r="BE87" s="114"/>
      <c r="BF87" s="146" t="str">
        <f t="shared" si="20"/>
        <v/>
      </c>
      <c r="BG87" s="147" t="s">
        <v>84</v>
      </c>
      <c r="BH87" s="148"/>
      <c r="BI87" s="156"/>
      <c r="BJ87" s="150">
        <f>'Degrémont sortie'!BI87</f>
        <v>0</v>
      </c>
      <c r="BK87" s="151">
        <f>'Degrémont sortie'!BJ87</f>
        <v>0</v>
      </c>
    </row>
    <row r="88" spans="1:63" ht="14.25" outlineLevel="1">
      <c r="A88" s="152">
        <f t="shared" si="13"/>
        <v>43540</v>
      </c>
      <c r="B88" s="122">
        <v>1272</v>
      </c>
      <c r="C88" s="123">
        <v>7.4</v>
      </c>
      <c r="D88" s="124">
        <v>90.4</v>
      </c>
      <c r="E88" s="125">
        <v>203.2</v>
      </c>
      <c r="F88" s="126">
        <v>33</v>
      </c>
      <c r="G88" s="127">
        <f t="shared" si="0"/>
        <v>3418.1818181818176</v>
      </c>
      <c r="H88" s="128">
        <f t="shared" si="1"/>
        <v>4347.9272727272719</v>
      </c>
      <c r="I88" s="129">
        <v>1</v>
      </c>
      <c r="J88" s="126">
        <v>4949</v>
      </c>
      <c r="K88" s="79">
        <f t="shared" si="2"/>
        <v>4949</v>
      </c>
      <c r="L88" s="128">
        <f t="shared" si="3"/>
        <v>6295.1279999999997</v>
      </c>
      <c r="M88" s="130">
        <v>1</v>
      </c>
      <c r="N88" s="126">
        <v>1235</v>
      </c>
      <c r="O88" s="80">
        <f t="shared" si="4"/>
        <v>1235</v>
      </c>
      <c r="P88" s="81">
        <f t="shared" si="5"/>
        <v>1570.92</v>
      </c>
      <c r="Q88" s="129">
        <v>10</v>
      </c>
      <c r="R88" s="131">
        <v>14.8</v>
      </c>
      <c r="S88" s="127">
        <f t="shared" si="6"/>
        <v>148</v>
      </c>
      <c r="T88" s="128">
        <f t="shared" si="7"/>
        <v>188.256</v>
      </c>
      <c r="U88" s="113"/>
      <c r="V88" s="81">
        <f t="shared" si="14"/>
        <v>0</v>
      </c>
      <c r="W88" s="132"/>
      <c r="X88" s="153"/>
      <c r="Y88" s="94"/>
      <c r="Z88" s="132"/>
      <c r="AA88" s="153"/>
      <c r="AB88" s="94"/>
      <c r="AC88" s="133"/>
      <c r="AD88" s="93" t="str">
        <f t="shared" si="8"/>
        <v/>
      </c>
      <c r="AE88" s="94" t="e">
        <f t="shared" si="9"/>
        <v>#VALUE!</v>
      </c>
      <c r="AF88" s="134" t="s">
        <v>85</v>
      </c>
      <c r="AG88" s="135">
        <v>0.01</v>
      </c>
      <c r="AH88" s="136">
        <f t="shared" si="10"/>
        <v>6.3600000000000002E-3</v>
      </c>
      <c r="AI88" s="80"/>
      <c r="AJ88" s="154"/>
      <c r="AK88" s="100" t="str">
        <f t="shared" si="21"/>
        <v/>
      </c>
      <c r="AL88" s="138"/>
      <c r="AM88" s="113"/>
      <c r="AN88" s="103" t="str">
        <f t="shared" si="12"/>
        <v/>
      </c>
      <c r="AO88" s="139"/>
      <c r="AP88" s="140"/>
      <c r="AQ88" s="141" t="str">
        <f t="shared" si="15"/>
        <v/>
      </c>
      <c r="AR88" s="142"/>
      <c r="AS88" s="140"/>
      <c r="AT88" s="143" t="str">
        <f t="shared" si="16"/>
        <v/>
      </c>
      <c r="AU88" s="139"/>
      <c r="AV88" s="113"/>
      <c r="AW88" s="107" t="str">
        <f t="shared" si="17"/>
        <v/>
      </c>
      <c r="AX88" s="113"/>
      <c r="AY88" s="113"/>
      <c r="AZ88" s="144" t="str">
        <f t="shared" si="18"/>
        <v/>
      </c>
      <c r="BA88" s="80"/>
      <c r="BB88" s="140"/>
      <c r="BC88" s="145" t="str">
        <f t="shared" si="19"/>
        <v/>
      </c>
      <c r="BD88" s="113"/>
      <c r="BE88" s="114"/>
      <c r="BF88" s="146" t="str">
        <f t="shared" si="20"/>
        <v/>
      </c>
      <c r="BG88" s="147" t="s">
        <v>84</v>
      </c>
      <c r="BH88" s="148"/>
      <c r="BI88" s="156"/>
      <c r="BJ88" s="150">
        <f>'Degrémont sortie'!BI88</f>
        <v>0</v>
      </c>
      <c r="BK88" s="151">
        <f>'Degrémont sortie'!BJ88</f>
        <v>0</v>
      </c>
    </row>
    <row r="89" spans="1:63" ht="14.25" outlineLevel="1">
      <c r="A89" s="121">
        <f t="shared" si="13"/>
        <v>43541</v>
      </c>
      <c r="B89" s="207"/>
      <c r="C89" s="208"/>
      <c r="D89" s="210"/>
      <c r="E89" s="211"/>
      <c r="F89" s="80"/>
      <c r="G89" s="127">
        <f t="shared" si="0"/>
        <v>0</v>
      </c>
      <c r="H89" s="128">
        <f t="shared" si="1"/>
        <v>0</v>
      </c>
      <c r="I89" s="129">
        <v>1</v>
      </c>
      <c r="J89" s="80"/>
      <c r="K89" s="79">
        <f t="shared" si="2"/>
        <v>0</v>
      </c>
      <c r="L89" s="128">
        <f t="shared" si="3"/>
        <v>0</v>
      </c>
      <c r="M89" s="130">
        <v>1</v>
      </c>
      <c r="N89" s="80"/>
      <c r="O89" s="80" t="str">
        <f t="shared" si="4"/>
        <v/>
      </c>
      <c r="P89" s="81">
        <f t="shared" si="5"/>
        <v>0</v>
      </c>
      <c r="Q89" s="213"/>
      <c r="R89" s="113"/>
      <c r="S89" s="127" t="str">
        <f t="shared" si="6"/>
        <v/>
      </c>
      <c r="T89" s="128">
        <f t="shared" si="7"/>
        <v>0</v>
      </c>
      <c r="U89" s="113"/>
      <c r="V89" s="81">
        <f t="shared" si="14"/>
        <v>0</v>
      </c>
      <c r="W89" s="132"/>
      <c r="X89" s="153"/>
      <c r="Y89" s="94"/>
      <c r="Z89" s="132"/>
      <c r="AA89" s="153"/>
      <c r="AB89" s="94"/>
      <c r="AC89" s="133"/>
      <c r="AD89" s="93" t="str">
        <f t="shared" si="8"/>
        <v/>
      </c>
      <c r="AE89" s="94" t="str">
        <f t="shared" si="9"/>
        <v/>
      </c>
      <c r="AF89" s="139"/>
      <c r="AG89" s="215"/>
      <c r="AH89" s="136" t="str">
        <f t="shared" si="10"/>
        <v/>
      </c>
      <c r="AI89" s="80"/>
      <c r="AJ89" s="154"/>
      <c r="AK89" s="100" t="str">
        <f t="shared" si="21"/>
        <v/>
      </c>
      <c r="AL89" s="138"/>
      <c r="AM89" s="113"/>
      <c r="AN89" s="103" t="str">
        <f t="shared" si="12"/>
        <v/>
      </c>
      <c r="AO89" s="139"/>
      <c r="AP89" s="140"/>
      <c r="AQ89" s="141" t="str">
        <f t="shared" si="15"/>
        <v/>
      </c>
      <c r="AR89" s="142"/>
      <c r="AS89" s="140"/>
      <c r="AT89" s="143" t="str">
        <f t="shared" si="16"/>
        <v/>
      </c>
      <c r="AU89" s="139"/>
      <c r="AV89" s="113"/>
      <c r="AW89" s="107" t="str">
        <f t="shared" si="17"/>
        <v/>
      </c>
      <c r="AX89" s="113"/>
      <c r="AY89" s="113"/>
      <c r="AZ89" s="144" t="str">
        <f t="shared" si="18"/>
        <v/>
      </c>
      <c r="BA89" s="80"/>
      <c r="BB89" s="140"/>
      <c r="BC89" s="145" t="str">
        <f t="shared" si="19"/>
        <v/>
      </c>
      <c r="BD89" s="113"/>
      <c r="BE89" s="114"/>
      <c r="BF89" s="146" t="str">
        <f t="shared" si="20"/>
        <v/>
      </c>
      <c r="BG89" s="147" t="s">
        <v>84</v>
      </c>
      <c r="BH89" s="148"/>
      <c r="BI89" s="149" t="s">
        <v>167</v>
      </c>
      <c r="BJ89" s="150">
        <f>'Degrémont sortie'!BI89</f>
        <v>0</v>
      </c>
      <c r="BK89" s="151">
        <f>'Degrémont sortie'!BJ89</f>
        <v>0</v>
      </c>
    </row>
    <row r="90" spans="1:63" ht="14.25" outlineLevel="1">
      <c r="A90" s="152">
        <f t="shared" si="13"/>
        <v>43542</v>
      </c>
      <c r="B90" s="122">
        <v>873</v>
      </c>
      <c r="C90" s="123">
        <v>7.5</v>
      </c>
      <c r="D90" s="124">
        <v>91.5</v>
      </c>
      <c r="E90" s="125">
        <v>165.2</v>
      </c>
      <c r="F90" s="126">
        <v>40</v>
      </c>
      <c r="G90" s="127">
        <f t="shared" si="0"/>
        <v>1842.4999999999995</v>
      </c>
      <c r="H90" s="128">
        <f t="shared" si="1"/>
        <v>1608.5024999999996</v>
      </c>
      <c r="I90" s="129">
        <v>1</v>
      </c>
      <c r="J90" s="126">
        <v>3445</v>
      </c>
      <c r="K90" s="79">
        <f t="shared" si="2"/>
        <v>3445</v>
      </c>
      <c r="L90" s="128">
        <f t="shared" si="3"/>
        <v>3007.4850000000001</v>
      </c>
      <c r="M90" s="130">
        <v>1</v>
      </c>
      <c r="N90" s="126">
        <v>1246</v>
      </c>
      <c r="O90" s="80">
        <f t="shared" si="4"/>
        <v>1246</v>
      </c>
      <c r="P90" s="81">
        <f t="shared" si="5"/>
        <v>1087.758</v>
      </c>
      <c r="Q90" s="129">
        <v>10</v>
      </c>
      <c r="R90" s="131">
        <v>6.97</v>
      </c>
      <c r="S90" s="127">
        <f t="shared" si="6"/>
        <v>69.7</v>
      </c>
      <c r="T90" s="128">
        <f t="shared" si="7"/>
        <v>60.848100000000002</v>
      </c>
      <c r="U90" s="113"/>
      <c r="V90" s="81">
        <f t="shared" si="14"/>
        <v>0</v>
      </c>
      <c r="W90" s="132"/>
      <c r="X90" s="153"/>
      <c r="Y90" s="94"/>
      <c r="Z90" s="132"/>
      <c r="AA90" s="153"/>
      <c r="AB90" s="94"/>
      <c r="AC90" s="133"/>
      <c r="AD90" s="93" t="str">
        <f t="shared" si="8"/>
        <v/>
      </c>
      <c r="AE90" s="94" t="e">
        <f t="shared" si="9"/>
        <v>#VALUE!</v>
      </c>
      <c r="AF90" s="134" t="s">
        <v>85</v>
      </c>
      <c r="AG90" s="135">
        <v>0.01</v>
      </c>
      <c r="AH90" s="136">
        <f t="shared" si="10"/>
        <v>4.365E-3</v>
      </c>
      <c r="AI90" s="80"/>
      <c r="AJ90" s="154"/>
      <c r="AK90" s="100" t="str">
        <f t="shared" si="21"/>
        <v/>
      </c>
      <c r="AL90" s="138"/>
      <c r="AM90" s="113"/>
      <c r="AN90" s="103" t="str">
        <f t="shared" si="12"/>
        <v/>
      </c>
      <c r="AO90" s="139"/>
      <c r="AP90" s="140"/>
      <c r="AQ90" s="141" t="str">
        <f t="shared" si="15"/>
        <v/>
      </c>
      <c r="AR90" s="142"/>
      <c r="AS90" s="140"/>
      <c r="AT90" s="143" t="str">
        <f t="shared" si="16"/>
        <v/>
      </c>
      <c r="AU90" s="139"/>
      <c r="AV90" s="113"/>
      <c r="AW90" s="107" t="str">
        <f t="shared" si="17"/>
        <v/>
      </c>
      <c r="AX90" s="113"/>
      <c r="AY90" s="113"/>
      <c r="AZ90" s="144" t="str">
        <f t="shared" si="18"/>
        <v/>
      </c>
      <c r="BA90" s="80"/>
      <c r="BB90" s="140"/>
      <c r="BC90" s="145" t="str">
        <f t="shared" si="19"/>
        <v/>
      </c>
      <c r="BD90" s="113"/>
      <c r="BE90" s="114"/>
      <c r="BF90" s="146" t="str">
        <f t="shared" si="20"/>
        <v/>
      </c>
      <c r="BG90" s="147" t="s">
        <v>84</v>
      </c>
      <c r="BH90" s="148"/>
      <c r="BI90" s="149" t="s">
        <v>171</v>
      </c>
      <c r="BJ90" s="150">
        <f>'Degrémont sortie'!BI90</f>
        <v>0</v>
      </c>
      <c r="BK90" s="151">
        <f>'Degrémont sortie'!BJ90</f>
        <v>0</v>
      </c>
    </row>
    <row r="91" spans="1:63" ht="25.5" outlineLevel="1">
      <c r="A91" s="121">
        <f t="shared" si="13"/>
        <v>43543</v>
      </c>
      <c r="B91" s="122">
        <v>1143</v>
      </c>
      <c r="C91" s="123">
        <v>7.4</v>
      </c>
      <c r="D91" s="124">
        <v>90.2</v>
      </c>
      <c r="E91" s="125">
        <v>196.5</v>
      </c>
      <c r="F91" s="126">
        <v>40</v>
      </c>
      <c r="G91" s="127">
        <f t="shared" si="0"/>
        <v>2657.5</v>
      </c>
      <c r="H91" s="128">
        <f t="shared" si="1"/>
        <v>3037.5225</v>
      </c>
      <c r="I91" s="129">
        <v>1</v>
      </c>
      <c r="J91" s="126">
        <v>4870</v>
      </c>
      <c r="K91" s="79">
        <f t="shared" si="2"/>
        <v>4870</v>
      </c>
      <c r="L91" s="128">
        <f t="shared" si="3"/>
        <v>5566.41</v>
      </c>
      <c r="M91" s="130">
        <v>1</v>
      </c>
      <c r="N91" s="126">
        <v>1916</v>
      </c>
      <c r="O91" s="80">
        <f t="shared" si="4"/>
        <v>1916</v>
      </c>
      <c r="P91" s="81">
        <f t="shared" si="5"/>
        <v>2189.9879999999998</v>
      </c>
      <c r="Q91" s="129">
        <v>10</v>
      </c>
      <c r="R91" s="131">
        <v>8.7899999999999991</v>
      </c>
      <c r="S91" s="127">
        <f t="shared" si="6"/>
        <v>87.899999999999991</v>
      </c>
      <c r="T91" s="128">
        <f t="shared" si="7"/>
        <v>100.4697</v>
      </c>
      <c r="U91" s="131">
        <v>45</v>
      </c>
      <c r="V91" s="81">
        <f t="shared" si="14"/>
        <v>51.435000000000002</v>
      </c>
      <c r="W91" s="132"/>
      <c r="X91" s="153"/>
      <c r="Y91" s="94"/>
      <c r="Z91" s="132"/>
      <c r="AA91" s="153"/>
      <c r="AB91" s="94"/>
      <c r="AC91" s="133"/>
      <c r="AD91" s="93" t="str">
        <f t="shared" si="8"/>
        <v/>
      </c>
      <c r="AE91" s="94" t="e">
        <f t="shared" si="9"/>
        <v>#VALUE!</v>
      </c>
      <c r="AF91" s="134" t="s">
        <v>85</v>
      </c>
      <c r="AG91" s="135">
        <v>0.01</v>
      </c>
      <c r="AH91" s="136">
        <f t="shared" si="10"/>
        <v>5.7149999999999996E-3</v>
      </c>
      <c r="AI91" s="80"/>
      <c r="AJ91" s="154"/>
      <c r="AK91" s="100" t="str">
        <f t="shared" si="21"/>
        <v/>
      </c>
      <c r="AL91" s="138"/>
      <c r="AM91" s="131">
        <v>25</v>
      </c>
      <c r="AN91" s="103">
        <f t="shared" si="12"/>
        <v>209.39999999999998</v>
      </c>
      <c r="AO91" s="139"/>
      <c r="AP91" s="155">
        <v>57.78</v>
      </c>
      <c r="AQ91" s="141">
        <f t="shared" si="15"/>
        <v>483.96527999999995</v>
      </c>
      <c r="AR91" s="142"/>
      <c r="AS91" s="155">
        <v>0.28000000000000003</v>
      </c>
      <c r="AT91" s="143">
        <f t="shared" si="16"/>
        <v>2.3452800000000003</v>
      </c>
      <c r="AU91" s="139"/>
      <c r="AV91" s="131">
        <v>8.6999999999999993</v>
      </c>
      <c r="AW91" s="107">
        <f t="shared" si="17"/>
        <v>72.871199999999988</v>
      </c>
      <c r="AX91" s="113"/>
      <c r="AY91" s="131">
        <v>106.5</v>
      </c>
      <c r="AZ91" s="144">
        <f t="shared" si="18"/>
        <v>892.04399999999998</v>
      </c>
      <c r="BA91" s="80"/>
      <c r="BB91" s="155">
        <v>0.28999999999999998</v>
      </c>
      <c r="BC91" s="145">
        <f t="shared" si="19"/>
        <v>2.4290399999999996</v>
      </c>
      <c r="BD91" s="131" t="s">
        <v>85</v>
      </c>
      <c r="BE91" s="158">
        <v>0.13</v>
      </c>
      <c r="BF91" s="146">
        <f t="shared" si="20"/>
        <v>0.54444000000000004</v>
      </c>
      <c r="BG91" s="147" t="s">
        <v>84</v>
      </c>
      <c r="BH91" s="148"/>
      <c r="BI91" s="149" t="s">
        <v>172</v>
      </c>
      <c r="BJ91" s="150">
        <f>'Degrémont sortie'!BI91</f>
        <v>0</v>
      </c>
      <c r="BK91" s="151">
        <f>'Degrémont sortie'!BJ91</f>
        <v>0</v>
      </c>
    </row>
    <row r="92" spans="1:63" ht="25.5" outlineLevel="1">
      <c r="A92" s="152">
        <f t="shared" si="13"/>
        <v>43544</v>
      </c>
      <c r="B92" s="122">
        <v>1034</v>
      </c>
      <c r="C92" s="123">
        <v>7.3</v>
      </c>
      <c r="D92" s="124">
        <v>90.8</v>
      </c>
      <c r="E92" s="125">
        <v>151.30000000000001</v>
      </c>
      <c r="F92" s="126">
        <v>40</v>
      </c>
      <c r="G92" s="127">
        <f t="shared" si="0"/>
        <v>1512.5000000000005</v>
      </c>
      <c r="H92" s="128">
        <f t="shared" si="1"/>
        <v>1563.9250000000004</v>
      </c>
      <c r="I92" s="129">
        <v>1</v>
      </c>
      <c r="J92" s="126">
        <v>3132</v>
      </c>
      <c r="K92" s="79">
        <f t="shared" si="2"/>
        <v>3132</v>
      </c>
      <c r="L92" s="128">
        <f t="shared" si="3"/>
        <v>3238.4879999999998</v>
      </c>
      <c r="M92" s="130">
        <v>1</v>
      </c>
      <c r="N92" s="126">
        <v>1122</v>
      </c>
      <c r="O92" s="80">
        <f t="shared" si="4"/>
        <v>1122</v>
      </c>
      <c r="P92" s="81">
        <f t="shared" si="5"/>
        <v>1160.1479999999999</v>
      </c>
      <c r="Q92" s="129">
        <v>20</v>
      </c>
      <c r="R92" s="131">
        <v>3.74</v>
      </c>
      <c r="S92" s="127">
        <f t="shared" si="6"/>
        <v>74.800000000000011</v>
      </c>
      <c r="T92" s="128">
        <f t="shared" si="7"/>
        <v>77.34320000000001</v>
      </c>
      <c r="U92" s="113"/>
      <c r="V92" s="81">
        <f t="shared" si="14"/>
        <v>0</v>
      </c>
      <c r="W92" s="132"/>
      <c r="X92" s="153"/>
      <c r="Y92" s="94"/>
      <c r="Z92" s="132"/>
      <c r="AA92" s="153"/>
      <c r="AB92" s="94"/>
      <c r="AC92" s="133"/>
      <c r="AD92" s="93" t="str">
        <f t="shared" si="8"/>
        <v/>
      </c>
      <c r="AE92" s="94" t="e">
        <f t="shared" si="9"/>
        <v>#VALUE!</v>
      </c>
      <c r="AF92" s="134" t="s">
        <v>85</v>
      </c>
      <c r="AG92" s="135">
        <v>0.01</v>
      </c>
      <c r="AH92" s="136">
        <f t="shared" si="10"/>
        <v>5.1700000000000001E-3</v>
      </c>
      <c r="AI92" s="80"/>
      <c r="AJ92" s="154"/>
      <c r="AK92" s="100" t="str">
        <f t="shared" si="21"/>
        <v/>
      </c>
      <c r="AL92" s="138"/>
      <c r="AM92" s="113"/>
      <c r="AN92" s="103" t="str">
        <f t="shared" si="12"/>
        <v/>
      </c>
      <c r="AO92" s="139"/>
      <c r="AP92" s="140"/>
      <c r="AQ92" s="141" t="str">
        <f t="shared" si="15"/>
        <v/>
      </c>
      <c r="AR92" s="142"/>
      <c r="AS92" s="140"/>
      <c r="AT92" s="143" t="str">
        <f t="shared" si="16"/>
        <v/>
      </c>
      <c r="AU92" s="139"/>
      <c r="AV92" s="113"/>
      <c r="AW92" s="107" t="str">
        <f t="shared" si="17"/>
        <v/>
      </c>
      <c r="AX92" s="113"/>
      <c r="AY92" s="113"/>
      <c r="AZ92" s="144" t="str">
        <f t="shared" si="18"/>
        <v/>
      </c>
      <c r="BA92" s="80"/>
      <c r="BB92" s="140"/>
      <c r="BC92" s="145" t="str">
        <f t="shared" si="19"/>
        <v/>
      </c>
      <c r="BD92" s="113"/>
      <c r="BE92" s="114"/>
      <c r="BF92" s="146" t="str">
        <f t="shared" si="20"/>
        <v/>
      </c>
      <c r="BG92" s="147" t="s">
        <v>84</v>
      </c>
      <c r="BH92" s="148"/>
      <c r="BI92" s="149" t="s">
        <v>173</v>
      </c>
      <c r="BJ92" s="150">
        <f>'Degrémont sortie'!BI92</f>
        <v>0</v>
      </c>
      <c r="BK92" s="151">
        <f>'Degrémont sortie'!BJ92</f>
        <v>0</v>
      </c>
    </row>
    <row r="93" spans="1:63" ht="15.75" customHeight="1" outlineLevel="1">
      <c r="A93" s="121">
        <f t="shared" si="13"/>
        <v>43545</v>
      </c>
      <c r="B93" s="122">
        <v>1065</v>
      </c>
      <c r="C93" s="123">
        <v>7.3</v>
      </c>
      <c r="D93" s="124">
        <v>89.8</v>
      </c>
      <c r="E93" s="125">
        <v>209.4</v>
      </c>
      <c r="F93" s="126">
        <v>49</v>
      </c>
      <c r="G93" s="127">
        <f t="shared" si="0"/>
        <v>2440.8163265306125</v>
      </c>
      <c r="H93" s="128">
        <f t="shared" si="1"/>
        <v>2599.4693877551026</v>
      </c>
      <c r="I93" s="129">
        <v>1</v>
      </c>
      <c r="J93" s="126">
        <v>3848</v>
      </c>
      <c r="K93" s="79">
        <f t="shared" si="2"/>
        <v>3848</v>
      </c>
      <c r="L93" s="128">
        <f t="shared" si="3"/>
        <v>4098.12</v>
      </c>
      <c r="M93" s="130">
        <v>1</v>
      </c>
      <c r="N93" s="126">
        <v>953</v>
      </c>
      <c r="O93" s="80">
        <f t="shared" si="4"/>
        <v>953</v>
      </c>
      <c r="P93" s="81">
        <f t="shared" si="5"/>
        <v>1014.9450000000001</v>
      </c>
      <c r="Q93" s="129">
        <v>20</v>
      </c>
      <c r="R93" s="131">
        <v>4.01</v>
      </c>
      <c r="S93" s="127">
        <f t="shared" si="6"/>
        <v>80.199999999999989</v>
      </c>
      <c r="T93" s="128">
        <f t="shared" si="7"/>
        <v>85.412999999999982</v>
      </c>
      <c r="U93" s="113"/>
      <c r="V93" s="81">
        <f t="shared" si="14"/>
        <v>0</v>
      </c>
      <c r="W93" s="132"/>
      <c r="X93" s="153"/>
      <c r="Y93" s="94"/>
      <c r="Z93" s="132"/>
      <c r="AA93" s="153"/>
      <c r="AB93" s="94"/>
      <c r="AC93" s="133"/>
      <c r="AD93" s="93" t="str">
        <f t="shared" si="8"/>
        <v/>
      </c>
      <c r="AE93" s="94" t="e">
        <f t="shared" si="9"/>
        <v>#VALUE!</v>
      </c>
      <c r="AF93" s="134" t="s">
        <v>85</v>
      </c>
      <c r="AG93" s="135">
        <v>0.01</v>
      </c>
      <c r="AH93" s="136">
        <f t="shared" si="10"/>
        <v>5.3249999999999999E-3</v>
      </c>
      <c r="AI93" s="80"/>
      <c r="AJ93" s="154"/>
      <c r="AK93" s="100" t="str">
        <f t="shared" si="21"/>
        <v/>
      </c>
      <c r="AL93" s="138"/>
      <c r="AM93" s="113"/>
      <c r="AN93" s="103" t="str">
        <f t="shared" si="12"/>
        <v/>
      </c>
      <c r="AO93" s="139"/>
      <c r="AP93" s="140"/>
      <c r="AQ93" s="141" t="str">
        <f t="shared" si="15"/>
        <v/>
      </c>
      <c r="AR93" s="142"/>
      <c r="AS93" s="140"/>
      <c r="AT93" s="143" t="str">
        <f t="shared" si="16"/>
        <v/>
      </c>
      <c r="AU93" s="139"/>
      <c r="AV93" s="113"/>
      <c r="AW93" s="107" t="str">
        <f t="shared" si="17"/>
        <v/>
      </c>
      <c r="AX93" s="113"/>
      <c r="AY93" s="113"/>
      <c r="AZ93" s="144" t="str">
        <f t="shared" si="18"/>
        <v/>
      </c>
      <c r="BA93" s="80"/>
      <c r="BB93" s="140"/>
      <c r="BC93" s="145" t="str">
        <f t="shared" si="19"/>
        <v/>
      </c>
      <c r="BD93" s="113"/>
      <c r="BE93" s="114"/>
      <c r="BF93" s="146" t="str">
        <f t="shared" si="20"/>
        <v/>
      </c>
      <c r="BG93" s="147" t="s">
        <v>84</v>
      </c>
      <c r="BH93" s="148"/>
      <c r="BI93" s="149" t="s">
        <v>176</v>
      </c>
      <c r="BJ93" s="150">
        <f>'Degrémont sortie'!BI93</f>
        <v>0</v>
      </c>
      <c r="BK93" s="151">
        <f>'Degrémont sortie'!BJ93</f>
        <v>0</v>
      </c>
    </row>
    <row r="94" spans="1:63" ht="15.75" customHeight="1" outlineLevel="1">
      <c r="A94" s="152">
        <f t="shared" si="13"/>
        <v>43546</v>
      </c>
      <c r="B94" s="122">
        <v>1037</v>
      </c>
      <c r="C94" s="123">
        <v>7.1</v>
      </c>
      <c r="D94" s="124">
        <v>89.9</v>
      </c>
      <c r="E94" s="125">
        <v>162.5</v>
      </c>
      <c r="F94" s="126">
        <v>28</v>
      </c>
      <c r="G94" s="127">
        <f t="shared" si="0"/>
        <v>2592.8571428571427</v>
      </c>
      <c r="H94" s="128">
        <f t="shared" si="1"/>
        <v>2688.792857142857</v>
      </c>
      <c r="I94" s="129">
        <v>1</v>
      </c>
      <c r="J94" s="126">
        <v>4274</v>
      </c>
      <c r="K94" s="79">
        <f t="shared" si="2"/>
        <v>4274</v>
      </c>
      <c r="L94" s="128">
        <f t="shared" si="3"/>
        <v>4432.1379999999999</v>
      </c>
      <c r="M94" s="130">
        <v>1</v>
      </c>
      <c r="N94" s="126">
        <v>1091</v>
      </c>
      <c r="O94" s="80">
        <f t="shared" si="4"/>
        <v>1091</v>
      </c>
      <c r="P94" s="81">
        <f t="shared" si="5"/>
        <v>1131.367</v>
      </c>
      <c r="Q94" s="129">
        <v>25</v>
      </c>
      <c r="R94" s="131">
        <v>5.71</v>
      </c>
      <c r="S94" s="127">
        <f t="shared" si="6"/>
        <v>142.75</v>
      </c>
      <c r="T94" s="128">
        <f t="shared" si="7"/>
        <v>148.03174999999999</v>
      </c>
      <c r="U94" s="113"/>
      <c r="V94" s="81">
        <f t="shared" si="14"/>
        <v>0</v>
      </c>
      <c r="W94" s="132"/>
      <c r="X94" s="153"/>
      <c r="Y94" s="94"/>
      <c r="Z94" s="132"/>
      <c r="AA94" s="153"/>
      <c r="AB94" s="94"/>
      <c r="AC94" s="133"/>
      <c r="AD94" s="93" t="str">
        <f t="shared" si="8"/>
        <v/>
      </c>
      <c r="AE94" s="94" t="e">
        <f t="shared" si="9"/>
        <v>#VALUE!</v>
      </c>
      <c r="AF94" s="134" t="s">
        <v>85</v>
      </c>
      <c r="AG94" s="135">
        <v>0.01</v>
      </c>
      <c r="AH94" s="136">
        <f t="shared" si="10"/>
        <v>5.1850000000000004E-3</v>
      </c>
      <c r="AI94" s="80"/>
      <c r="AJ94" s="154"/>
      <c r="AK94" s="100" t="str">
        <f t="shared" si="21"/>
        <v/>
      </c>
      <c r="AL94" s="138"/>
      <c r="AM94" s="113"/>
      <c r="AN94" s="103" t="str">
        <f t="shared" si="12"/>
        <v/>
      </c>
      <c r="AO94" s="139"/>
      <c r="AP94" s="140"/>
      <c r="AQ94" s="141" t="str">
        <f t="shared" si="15"/>
        <v/>
      </c>
      <c r="AR94" s="142"/>
      <c r="AS94" s="140"/>
      <c r="AT94" s="143" t="str">
        <f t="shared" si="16"/>
        <v/>
      </c>
      <c r="AU94" s="139"/>
      <c r="AV94" s="113"/>
      <c r="AW94" s="107" t="str">
        <f t="shared" si="17"/>
        <v/>
      </c>
      <c r="AX94" s="113"/>
      <c r="AY94" s="113"/>
      <c r="AZ94" s="144" t="str">
        <f t="shared" si="18"/>
        <v/>
      </c>
      <c r="BA94" s="80"/>
      <c r="BB94" s="140"/>
      <c r="BC94" s="145" t="str">
        <f t="shared" si="19"/>
        <v/>
      </c>
      <c r="BD94" s="113"/>
      <c r="BE94" s="114"/>
      <c r="BF94" s="146" t="str">
        <f t="shared" si="20"/>
        <v/>
      </c>
      <c r="BG94" s="147" t="s">
        <v>84</v>
      </c>
      <c r="BH94" s="148"/>
      <c r="BI94" s="149" t="s">
        <v>167</v>
      </c>
      <c r="BJ94" s="150">
        <f>'Degrémont sortie'!BI94</f>
        <v>0</v>
      </c>
      <c r="BK94" s="151">
        <f>'Degrémont sortie'!BJ94</f>
        <v>0</v>
      </c>
    </row>
    <row r="95" spans="1:63" ht="15.75" customHeight="1" outlineLevel="1">
      <c r="A95" s="121">
        <f t="shared" si="13"/>
        <v>43547</v>
      </c>
      <c r="B95" s="122">
        <v>925</v>
      </c>
      <c r="C95" s="123">
        <v>7.7</v>
      </c>
      <c r="D95" s="124">
        <v>90.7</v>
      </c>
      <c r="E95" s="125">
        <v>472.6</v>
      </c>
      <c r="F95" s="126">
        <v>31</v>
      </c>
      <c r="G95" s="127">
        <f t="shared" si="0"/>
        <v>12319.35483870968</v>
      </c>
      <c r="H95" s="128">
        <f t="shared" si="1"/>
        <v>11395.403225806454</v>
      </c>
      <c r="I95" s="129">
        <v>1</v>
      </c>
      <c r="J95" s="126">
        <v>17300</v>
      </c>
      <c r="K95" s="79">
        <f t="shared" si="2"/>
        <v>17300</v>
      </c>
      <c r="L95" s="128">
        <f t="shared" si="3"/>
        <v>16002.5</v>
      </c>
      <c r="M95" s="130">
        <v>1</v>
      </c>
      <c r="N95" s="126">
        <v>2143</v>
      </c>
      <c r="O95" s="80">
        <f t="shared" si="4"/>
        <v>2143</v>
      </c>
      <c r="P95" s="81">
        <f t="shared" si="5"/>
        <v>1982.2750000000001</v>
      </c>
      <c r="Q95" s="129">
        <v>25</v>
      </c>
      <c r="R95" s="131">
        <v>17</v>
      </c>
      <c r="S95" s="127">
        <f t="shared" si="6"/>
        <v>425</v>
      </c>
      <c r="T95" s="128">
        <f t="shared" si="7"/>
        <v>393.125</v>
      </c>
      <c r="U95" s="113"/>
      <c r="V95" s="81">
        <f t="shared" si="14"/>
        <v>0</v>
      </c>
      <c r="W95" s="132"/>
      <c r="X95" s="153"/>
      <c r="Y95" s="94"/>
      <c r="Z95" s="132"/>
      <c r="AA95" s="153"/>
      <c r="AB95" s="94"/>
      <c r="AC95" s="133"/>
      <c r="AD95" s="93" t="str">
        <f t="shared" si="8"/>
        <v/>
      </c>
      <c r="AE95" s="94" t="e">
        <f t="shared" si="9"/>
        <v>#VALUE!</v>
      </c>
      <c r="AF95" s="134" t="s">
        <v>85</v>
      </c>
      <c r="AG95" s="135">
        <v>0.01</v>
      </c>
      <c r="AH95" s="136">
        <f t="shared" si="10"/>
        <v>4.6249999999999998E-3</v>
      </c>
      <c r="AI95" s="80"/>
      <c r="AJ95" s="154"/>
      <c r="AK95" s="100" t="str">
        <f t="shared" si="21"/>
        <v/>
      </c>
      <c r="AL95" s="138"/>
      <c r="AM95" s="113"/>
      <c r="AN95" s="103" t="str">
        <f t="shared" si="12"/>
        <v/>
      </c>
      <c r="AO95" s="139"/>
      <c r="AP95" s="140"/>
      <c r="AQ95" s="141" t="str">
        <f t="shared" si="15"/>
        <v/>
      </c>
      <c r="AR95" s="142"/>
      <c r="AS95" s="140"/>
      <c r="AT95" s="143" t="str">
        <f t="shared" si="16"/>
        <v/>
      </c>
      <c r="AU95" s="139"/>
      <c r="AV95" s="113"/>
      <c r="AW95" s="107" t="str">
        <f t="shared" si="17"/>
        <v/>
      </c>
      <c r="AX95" s="113"/>
      <c r="AY95" s="113"/>
      <c r="AZ95" s="144" t="str">
        <f t="shared" si="18"/>
        <v/>
      </c>
      <c r="BA95" s="80"/>
      <c r="BB95" s="140"/>
      <c r="BC95" s="145" t="str">
        <f t="shared" si="19"/>
        <v/>
      </c>
      <c r="BD95" s="113"/>
      <c r="BE95" s="114"/>
      <c r="BF95" s="146" t="str">
        <f t="shared" si="20"/>
        <v/>
      </c>
      <c r="BG95" s="147" t="s">
        <v>84</v>
      </c>
      <c r="BH95" s="148"/>
      <c r="BI95" s="156"/>
      <c r="BJ95" s="150" t="str">
        <f>'Degrémont sortie'!BI95</f>
        <v>CA MES : 72mg/L</v>
      </c>
      <c r="BK95" s="151">
        <f>'Degrémont sortie'!BJ95</f>
        <v>0</v>
      </c>
    </row>
    <row r="96" spans="1:63" ht="15.75" customHeight="1" outlineLevel="1">
      <c r="A96" s="152">
        <f t="shared" si="13"/>
        <v>43548</v>
      </c>
      <c r="B96" s="207"/>
      <c r="C96" s="208"/>
      <c r="D96" s="210"/>
      <c r="E96" s="211"/>
      <c r="F96" s="80"/>
      <c r="G96" s="127">
        <f t="shared" si="0"/>
        <v>0</v>
      </c>
      <c r="H96" s="128">
        <f t="shared" si="1"/>
        <v>0</v>
      </c>
      <c r="I96" s="129">
        <v>1</v>
      </c>
      <c r="J96" s="80"/>
      <c r="K96" s="79">
        <f t="shared" si="2"/>
        <v>0</v>
      </c>
      <c r="L96" s="128">
        <f t="shared" si="3"/>
        <v>0</v>
      </c>
      <c r="M96" s="130">
        <v>1</v>
      </c>
      <c r="N96" s="80"/>
      <c r="O96" s="80" t="str">
        <f t="shared" si="4"/>
        <v/>
      </c>
      <c r="P96" s="81">
        <f t="shared" si="5"/>
        <v>0</v>
      </c>
      <c r="Q96" s="213"/>
      <c r="R96" s="113"/>
      <c r="S96" s="127" t="str">
        <f t="shared" si="6"/>
        <v/>
      </c>
      <c r="T96" s="128">
        <f t="shared" si="7"/>
        <v>0</v>
      </c>
      <c r="U96" s="113"/>
      <c r="V96" s="81">
        <f t="shared" si="14"/>
        <v>0</v>
      </c>
      <c r="W96" s="132"/>
      <c r="X96" s="153"/>
      <c r="Y96" s="94"/>
      <c r="Z96" s="132"/>
      <c r="AA96" s="153"/>
      <c r="AB96" s="94"/>
      <c r="AC96" s="133"/>
      <c r="AD96" s="93" t="str">
        <f t="shared" si="8"/>
        <v/>
      </c>
      <c r="AE96" s="94" t="str">
        <f t="shared" si="9"/>
        <v/>
      </c>
      <c r="AF96" s="139"/>
      <c r="AG96" s="215"/>
      <c r="AH96" s="136" t="str">
        <f t="shared" si="10"/>
        <v/>
      </c>
      <c r="AI96" s="80"/>
      <c r="AJ96" s="154"/>
      <c r="AK96" s="100" t="str">
        <f t="shared" si="21"/>
        <v/>
      </c>
      <c r="AL96" s="138"/>
      <c r="AM96" s="113"/>
      <c r="AN96" s="103" t="str">
        <f t="shared" si="12"/>
        <v/>
      </c>
      <c r="AO96" s="139"/>
      <c r="AP96" s="140"/>
      <c r="AQ96" s="141" t="str">
        <f t="shared" si="15"/>
        <v/>
      </c>
      <c r="AR96" s="142"/>
      <c r="AS96" s="140"/>
      <c r="AT96" s="143" t="str">
        <f t="shared" si="16"/>
        <v/>
      </c>
      <c r="AU96" s="139"/>
      <c r="AV96" s="113"/>
      <c r="AW96" s="107" t="str">
        <f t="shared" si="17"/>
        <v/>
      </c>
      <c r="AX96" s="113"/>
      <c r="AY96" s="113"/>
      <c r="AZ96" s="144" t="str">
        <f t="shared" si="18"/>
        <v/>
      </c>
      <c r="BA96" s="80"/>
      <c r="BB96" s="140"/>
      <c r="BC96" s="145" t="str">
        <f t="shared" si="19"/>
        <v/>
      </c>
      <c r="BD96" s="113"/>
      <c r="BE96" s="114"/>
      <c r="BF96" s="146" t="str">
        <f t="shared" si="20"/>
        <v/>
      </c>
      <c r="BG96" s="147" t="s">
        <v>84</v>
      </c>
      <c r="BH96" s="148"/>
      <c r="BI96" s="156"/>
      <c r="BJ96" s="150">
        <f>'Degrémont sortie'!BI96</f>
        <v>0</v>
      </c>
      <c r="BK96" s="151">
        <f>'Degrémont sortie'!BJ96</f>
        <v>0</v>
      </c>
    </row>
    <row r="97" spans="1:63" ht="15.75" customHeight="1" outlineLevel="1">
      <c r="A97" s="121">
        <f t="shared" si="13"/>
        <v>43549</v>
      </c>
      <c r="B97" s="122">
        <v>819</v>
      </c>
      <c r="C97" s="123">
        <v>7.35</v>
      </c>
      <c r="D97" s="124">
        <v>91.3</v>
      </c>
      <c r="E97" s="125">
        <v>201.7</v>
      </c>
      <c r="F97" s="126">
        <v>31</v>
      </c>
      <c r="G97" s="127">
        <f t="shared" si="0"/>
        <v>3561.2903225806449</v>
      </c>
      <c r="H97" s="128">
        <f t="shared" si="1"/>
        <v>2916.6967741935482</v>
      </c>
      <c r="I97" s="129">
        <v>1</v>
      </c>
      <c r="J97" s="126">
        <v>4687</v>
      </c>
      <c r="K97" s="79">
        <f t="shared" si="2"/>
        <v>4687</v>
      </c>
      <c r="L97" s="128">
        <f t="shared" si="3"/>
        <v>3838.6529999999998</v>
      </c>
      <c r="M97" s="130">
        <v>1</v>
      </c>
      <c r="N97" s="126">
        <v>947</v>
      </c>
      <c r="O97" s="80">
        <f t="shared" si="4"/>
        <v>947</v>
      </c>
      <c r="P97" s="81">
        <f t="shared" si="5"/>
        <v>775.59299999999996</v>
      </c>
      <c r="Q97" s="129">
        <v>10</v>
      </c>
      <c r="R97" s="131">
        <v>15.9</v>
      </c>
      <c r="S97" s="127">
        <f t="shared" si="6"/>
        <v>159</v>
      </c>
      <c r="T97" s="128">
        <f t="shared" si="7"/>
        <v>130.221</v>
      </c>
      <c r="U97" s="113"/>
      <c r="V97" s="81">
        <f t="shared" si="14"/>
        <v>0</v>
      </c>
      <c r="W97" s="132"/>
      <c r="X97" s="153"/>
      <c r="Y97" s="94"/>
      <c r="Z97" s="132"/>
      <c r="AA97" s="153"/>
      <c r="AB97" s="94"/>
      <c r="AC97" s="133"/>
      <c r="AD97" s="93" t="str">
        <f t="shared" si="8"/>
        <v/>
      </c>
      <c r="AE97" s="94" t="e">
        <f t="shared" si="9"/>
        <v>#VALUE!</v>
      </c>
      <c r="AF97" s="134" t="s">
        <v>85</v>
      </c>
      <c r="AG97" s="135">
        <v>0.01</v>
      </c>
      <c r="AH97" s="136">
        <f t="shared" si="10"/>
        <v>4.0949999999999997E-3</v>
      </c>
      <c r="AI97" s="80"/>
      <c r="AJ97" s="154"/>
      <c r="AK97" s="100" t="str">
        <f t="shared" si="21"/>
        <v/>
      </c>
      <c r="AL97" s="138"/>
      <c r="AM97" s="113"/>
      <c r="AN97" s="103" t="str">
        <f t="shared" si="12"/>
        <v/>
      </c>
      <c r="AO97" s="139"/>
      <c r="AP97" s="140"/>
      <c r="AQ97" s="141" t="str">
        <f t="shared" si="15"/>
        <v/>
      </c>
      <c r="AR97" s="142"/>
      <c r="AS97" s="140"/>
      <c r="AT97" s="143" t="str">
        <f t="shared" si="16"/>
        <v/>
      </c>
      <c r="AU97" s="139"/>
      <c r="AV97" s="113"/>
      <c r="AW97" s="107" t="str">
        <f t="shared" si="17"/>
        <v/>
      </c>
      <c r="AX97" s="113"/>
      <c r="AY97" s="113"/>
      <c r="AZ97" s="144" t="str">
        <f t="shared" si="18"/>
        <v/>
      </c>
      <c r="BA97" s="80"/>
      <c r="BB97" s="140"/>
      <c r="BC97" s="145" t="str">
        <f t="shared" si="19"/>
        <v/>
      </c>
      <c r="BD97" s="113"/>
      <c r="BE97" s="114"/>
      <c r="BF97" s="146" t="str">
        <f t="shared" si="20"/>
        <v/>
      </c>
      <c r="BG97" s="147" t="s">
        <v>84</v>
      </c>
      <c r="BH97" s="148"/>
      <c r="BI97" s="149" t="s">
        <v>178</v>
      </c>
      <c r="BJ97" s="150">
        <f>'Degrémont sortie'!BI97</f>
        <v>0</v>
      </c>
      <c r="BK97" s="151">
        <f>'Degrémont sortie'!BJ97</f>
        <v>0</v>
      </c>
    </row>
    <row r="98" spans="1:63" ht="14.25" outlineLevel="1">
      <c r="A98" s="152">
        <f t="shared" si="13"/>
        <v>43550</v>
      </c>
      <c r="B98" s="183">
        <v>1037</v>
      </c>
      <c r="C98" s="184">
        <v>8.4</v>
      </c>
      <c r="D98" s="185">
        <v>89.8</v>
      </c>
      <c r="E98" s="186">
        <v>201.1</v>
      </c>
      <c r="F98" s="187">
        <v>32</v>
      </c>
      <c r="G98" s="127">
        <f t="shared" si="0"/>
        <v>3478.125</v>
      </c>
      <c r="H98" s="128">
        <f t="shared" si="1"/>
        <v>3606.8156250000002</v>
      </c>
      <c r="I98" s="188">
        <v>1</v>
      </c>
      <c r="J98" s="187">
        <v>4703</v>
      </c>
      <c r="K98" s="79">
        <f t="shared" si="2"/>
        <v>4703</v>
      </c>
      <c r="L98" s="128">
        <f t="shared" si="3"/>
        <v>4877.0110000000004</v>
      </c>
      <c r="M98" s="189">
        <v>1</v>
      </c>
      <c r="N98" s="187">
        <v>918</v>
      </c>
      <c r="O98" s="80">
        <f t="shared" si="4"/>
        <v>918</v>
      </c>
      <c r="P98" s="81">
        <f t="shared" si="5"/>
        <v>951.96600000000001</v>
      </c>
      <c r="Q98" s="188">
        <v>20</v>
      </c>
      <c r="R98" s="190">
        <v>10.199999999999999</v>
      </c>
      <c r="S98" s="127">
        <f t="shared" si="6"/>
        <v>204</v>
      </c>
      <c r="T98" s="128">
        <f t="shared" si="7"/>
        <v>211.548</v>
      </c>
      <c r="U98" s="190">
        <v>58</v>
      </c>
      <c r="V98" s="81">
        <f t="shared" si="14"/>
        <v>60.146000000000001</v>
      </c>
      <c r="W98" s="132"/>
      <c r="X98" s="153"/>
      <c r="Y98" s="94"/>
      <c r="Z98" s="132"/>
      <c r="AA98" s="153"/>
      <c r="AB98" s="94"/>
      <c r="AC98" s="133"/>
      <c r="AD98" s="93" t="str">
        <f t="shared" si="8"/>
        <v/>
      </c>
      <c r="AE98" s="94" t="e">
        <f t="shared" si="9"/>
        <v>#VALUE!</v>
      </c>
      <c r="AF98" s="192" t="s">
        <v>85</v>
      </c>
      <c r="AG98" s="193">
        <v>0.01</v>
      </c>
      <c r="AH98" s="136">
        <f t="shared" si="10"/>
        <v>5.1850000000000004E-3</v>
      </c>
      <c r="AI98" s="80"/>
      <c r="AJ98" s="154"/>
      <c r="AK98" s="100" t="str">
        <f t="shared" si="21"/>
        <v/>
      </c>
      <c r="AL98" s="194"/>
      <c r="AM98" s="190">
        <v>52</v>
      </c>
      <c r="AN98" s="103">
        <f t="shared" si="12"/>
        <v>413.19200000000001</v>
      </c>
      <c r="AO98" s="195"/>
      <c r="AP98" s="389">
        <v>123.2</v>
      </c>
      <c r="AQ98" s="141">
        <f t="shared" si="15"/>
        <v>978.94719999999995</v>
      </c>
      <c r="AR98" s="197"/>
      <c r="AS98" s="389">
        <v>0.64</v>
      </c>
      <c r="AT98" s="143">
        <f t="shared" si="16"/>
        <v>5.0854400000000002</v>
      </c>
      <c r="AU98" s="195"/>
      <c r="AV98" s="190">
        <v>18.079999999999998</v>
      </c>
      <c r="AW98" s="107">
        <f t="shared" si="17"/>
        <v>143.66367999999997</v>
      </c>
      <c r="AX98" s="191"/>
      <c r="AY98" s="190">
        <v>202.7</v>
      </c>
      <c r="AZ98" s="144">
        <f t="shared" si="18"/>
        <v>1610.6541999999999</v>
      </c>
      <c r="BA98" s="198"/>
      <c r="BB98" s="389">
        <v>0.43</v>
      </c>
      <c r="BC98" s="145">
        <f t="shared" si="19"/>
        <v>3.4167799999999997</v>
      </c>
      <c r="BD98" s="190" t="s">
        <v>85</v>
      </c>
      <c r="BE98" s="390">
        <v>0.13</v>
      </c>
      <c r="BF98" s="146">
        <f t="shared" si="20"/>
        <v>0.51649</v>
      </c>
      <c r="BG98" s="147" t="s">
        <v>84</v>
      </c>
      <c r="BH98" s="200"/>
      <c r="BI98" s="201" t="s">
        <v>179</v>
      </c>
      <c r="BJ98" s="150">
        <f>'Degrémont sortie'!BI98</f>
        <v>0</v>
      </c>
      <c r="BK98" s="151">
        <f>'Degrémont sortie'!BJ98</f>
        <v>0</v>
      </c>
    </row>
    <row r="99" spans="1:63" ht="14.25" outlineLevel="1">
      <c r="A99" s="121">
        <f t="shared" si="13"/>
        <v>43551</v>
      </c>
      <c r="B99" s="122">
        <v>886</v>
      </c>
      <c r="C99" s="123">
        <v>8.4</v>
      </c>
      <c r="D99" s="124">
        <v>90.9</v>
      </c>
      <c r="E99" s="125">
        <v>236.6</v>
      </c>
      <c r="F99" s="126">
        <v>40</v>
      </c>
      <c r="G99" s="127">
        <f t="shared" si="0"/>
        <v>3642.5</v>
      </c>
      <c r="H99" s="128">
        <f t="shared" si="1"/>
        <v>3227.2550000000001</v>
      </c>
      <c r="I99" s="129">
        <v>1</v>
      </c>
      <c r="J99" s="126">
        <v>4679</v>
      </c>
      <c r="K99" s="79">
        <f t="shared" si="2"/>
        <v>4679</v>
      </c>
      <c r="L99" s="128">
        <f t="shared" si="3"/>
        <v>4145.5940000000001</v>
      </c>
      <c r="M99" s="130">
        <v>1</v>
      </c>
      <c r="N99" s="126">
        <v>714</v>
      </c>
      <c r="O99" s="80">
        <f t="shared" si="4"/>
        <v>714</v>
      </c>
      <c r="P99" s="81">
        <f t="shared" si="5"/>
        <v>632.60400000000004</v>
      </c>
      <c r="Q99" s="129">
        <v>20</v>
      </c>
      <c r="R99" s="131">
        <v>9.11</v>
      </c>
      <c r="S99" s="127">
        <f t="shared" si="6"/>
        <v>182.2</v>
      </c>
      <c r="T99" s="128">
        <f t="shared" si="7"/>
        <v>161.42919999999998</v>
      </c>
      <c r="U99" s="113"/>
      <c r="V99" s="81">
        <f t="shared" si="14"/>
        <v>0</v>
      </c>
      <c r="W99" s="132"/>
      <c r="X99" s="153"/>
      <c r="Y99" s="94"/>
      <c r="Z99" s="132"/>
      <c r="AA99" s="153"/>
      <c r="AB99" s="94"/>
      <c r="AC99" s="133"/>
      <c r="AD99" s="93" t="str">
        <f t="shared" si="8"/>
        <v/>
      </c>
      <c r="AE99" s="94" t="e">
        <f t="shared" si="9"/>
        <v>#VALUE!</v>
      </c>
      <c r="AF99" s="134" t="s">
        <v>85</v>
      </c>
      <c r="AG99" s="135">
        <v>0.01</v>
      </c>
      <c r="AH99" s="136">
        <f t="shared" si="10"/>
        <v>4.4299999999999999E-3</v>
      </c>
      <c r="AI99" s="80"/>
      <c r="AJ99" s="154"/>
      <c r="AK99" s="100" t="str">
        <f t="shared" si="21"/>
        <v/>
      </c>
      <c r="AL99" s="138"/>
      <c r="AM99" s="113"/>
      <c r="AN99" s="103" t="str">
        <f t="shared" si="12"/>
        <v/>
      </c>
      <c r="AO99" s="139"/>
      <c r="AP99" s="140"/>
      <c r="AQ99" s="141" t="str">
        <f t="shared" si="15"/>
        <v/>
      </c>
      <c r="AR99" s="142"/>
      <c r="AS99" s="140"/>
      <c r="AT99" s="143" t="str">
        <f t="shared" si="16"/>
        <v/>
      </c>
      <c r="AU99" s="139"/>
      <c r="AV99" s="113"/>
      <c r="AW99" s="107" t="str">
        <f t="shared" si="17"/>
        <v/>
      </c>
      <c r="AX99" s="113"/>
      <c r="AY99" s="113"/>
      <c r="AZ99" s="144" t="str">
        <f t="shared" si="18"/>
        <v/>
      </c>
      <c r="BA99" s="80"/>
      <c r="BB99" s="140"/>
      <c r="BC99" s="145" t="str">
        <f t="shared" si="19"/>
        <v/>
      </c>
      <c r="BD99" s="113"/>
      <c r="BE99" s="114"/>
      <c r="BF99" s="146" t="str">
        <f t="shared" si="20"/>
        <v/>
      </c>
      <c r="BG99" s="147" t="s">
        <v>84</v>
      </c>
      <c r="BH99" s="148"/>
      <c r="BI99" s="149" t="s">
        <v>180</v>
      </c>
      <c r="BJ99" s="150">
        <f>'Degrémont sortie'!BI99</f>
        <v>0</v>
      </c>
      <c r="BK99" s="151">
        <f>'Degrémont sortie'!BJ99</f>
        <v>0</v>
      </c>
    </row>
    <row r="100" spans="1:63" ht="14.25" outlineLevel="1">
      <c r="A100" s="152">
        <f t="shared" si="13"/>
        <v>43552</v>
      </c>
      <c r="B100" s="122">
        <v>788</v>
      </c>
      <c r="C100" s="123">
        <v>7.7</v>
      </c>
      <c r="D100" s="124">
        <v>89.3</v>
      </c>
      <c r="E100" s="125">
        <v>194.1</v>
      </c>
      <c r="F100" s="126">
        <v>32</v>
      </c>
      <c r="G100" s="127">
        <f t="shared" si="0"/>
        <v>3275</v>
      </c>
      <c r="H100" s="128">
        <f t="shared" si="1"/>
        <v>2580.6999999999998</v>
      </c>
      <c r="I100" s="129">
        <v>1</v>
      </c>
      <c r="J100" s="126">
        <v>4064</v>
      </c>
      <c r="K100" s="79">
        <f t="shared" si="2"/>
        <v>4064</v>
      </c>
      <c r="L100" s="128">
        <f t="shared" si="3"/>
        <v>3202.4319999999998</v>
      </c>
      <c r="M100" s="130">
        <v>1</v>
      </c>
      <c r="N100" s="126">
        <v>447</v>
      </c>
      <c r="O100" s="80">
        <f t="shared" si="4"/>
        <v>447</v>
      </c>
      <c r="P100" s="81">
        <f t="shared" si="5"/>
        <v>352.23599999999999</v>
      </c>
      <c r="Q100" s="129">
        <v>20</v>
      </c>
      <c r="R100" s="131">
        <v>7.47</v>
      </c>
      <c r="S100" s="127">
        <f t="shared" si="6"/>
        <v>149.4</v>
      </c>
      <c r="T100" s="128">
        <f t="shared" si="7"/>
        <v>117.72720000000001</v>
      </c>
      <c r="U100" s="113"/>
      <c r="V100" s="81">
        <f t="shared" si="14"/>
        <v>0</v>
      </c>
      <c r="W100" s="132"/>
      <c r="X100" s="153"/>
      <c r="Y100" s="94"/>
      <c r="Z100" s="132"/>
      <c r="AA100" s="153"/>
      <c r="AB100" s="94"/>
      <c r="AC100" s="133"/>
      <c r="AD100" s="93" t="str">
        <f t="shared" si="8"/>
        <v/>
      </c>
      <c r="AE100" s="94" t="e">
        <f t="shared" si="9"/>
        <v>#VALUE!</v>
      </c>
      <c r="AF100" s="134" t="s">
        <v>85</v>
      </c>
      <c r="AG100" s="135">
        <v>0.01</v>
      </c>
      <c r="AH100" s="136">
        <f t="shared" si="10"/>
        <v>3.9399999999999999E-3</v>
      </c>
      <c r="AI100" s="80"/>
      <c r="AJ100" s="154"/>
      <c r="AK100" s="100" t="str">
        <f t="shared" si="21"/>
        <v/>
      </c>
      <c r="AL100" s="138"/>
      <c r="AM100" s="113"/>
      <c r="AN100" s="103" t="str">
        <f t="shared" si="12"/>
        <v/>
      </c>
      <c r="AO100" s="139"/>
      <c r="AP100" s="140"/>
      <c r="AQ100" s="141" t="str">
        <f t="shared" si="15"/>
        <v/>
      </c>
      <c r="AR100" s="142"/>
      <c r="AS100" s="140"/>
      <c r="AT100" s="143" t="str">
        <f t="shared" si="16"/>
        <v/>
      </c>
      <c r="AU100" s="139"/>
      <c r="AV100" s="113"/>
      <c r="AW100" s="107" t="str">
        <f t="shared" si="17"/>
        <v/>
      </c>
      <c r="AX100" s="113"/>
      <c r="AY100" s="113"/>
      <c r="AZ100" s="144" t="str">
        <f t="shared" si="18"/>
        <v/>
      </c>
      <c r="BA100" s="80"/>
      <c r="BB100" s="140"/>
      <c r="BC100" s="145" t="str">
        <f t="shared" si="19"/>
        <v/>
      </c>
      <c r="BD100" s="113"/>
      <c r="BE100" s="114"/>
      <c r="BF100" s="146" t="str">
        <f t="shared" si="20"/>
        <v/>
      </c>
      <c r="BG100" s="147" t="s">
        <v>84</v>
      </c>
      <c r="BH100" s="148"/>
      <c r="BI100" s="149" t="s">
        <v>181</v>
      </c>
      <c r="BJ100" s="150">
        <f>'Degrémont sortie'!BI100</f>
        <v>0</v>
      </c>
      <c r="BK100" s="151">
        <f>'Degrémont sortie'!BJ100</f>
        <v>0</v>
      </c>
    </row>
    <row r="101" spans="1:63" ht="14.25" outlineLevel="1">
      <c r="A101" s="121">
        <f t="shared" si="13"/>
        <v>43553</v>
      </c>
      <c r="B101" s="122">
        <v>970</v>
      </c>
      <c r="C101" s="123">
        <v>7.5</v>
      </c>
      <c r="D101" s="124">
        <v>89.9</v>
      </c>
      <c r="E101" s="125">
        <v>177.2</v>
      </c>
      <c r="F101" s="126">
        <v>28</v>
      </c>
      <c r="G101" s="127">
        <f t="shared" si="0"/>
        <v>3117.8571428571422</v>
      </c>
      <c r="H101" s="128">
        <f t="shared" si="1"/>
        <v>3024.321428571428</v>
      </c>
      <c r="I101" s="129">
        <v>1</v>
      </c>
      <c r="J101" s="126">
        <v>4160</v>
      </c>
      <c r="K101" s="79">
        <f t="shared" si="2"/>
        <v>4160</v>
      </c>
      <c r="L101" s="128">
        <f t="shared" si="3"/>
        <v>4035.2</v>
      </c>
      <c r="M101" s="130">
        <v>1</v>
      </c>
      <c r="N101" s="126">
        <v>742</v>
      </c>
      <c r="O101" s="80">
        <f t="shared" si="4"/>
        <v>742</v>
      </c>
      <c r="P101" s="81">
        <f t="shared" si="5"/>
        <v>719.74</v>
      </c>
      <c r="Q101" s="129">
        <v>10</v>
      </c>
      <c r="R101" s="131">
        <v>12.9</v>
      </c>
      <c r="S101" s="127">
        <f t="shared" si="6"/>
        <v>129</v>
      </c>
      <c r="T101" s="128">
        <f t="shared" si="7"/>
        <v>125.13</v>
      </c>
      <c r="U101" s="113"/>
      <c r="V101" s="81">
        <f t="shared" si="14"/>
        <v>0</v>
      </c>
      <c r="W101" s="132"/>
      <c r="X101" s="153"/>
      <c r="Y101" s="94"/>
      <c r="Z101" s="132"/>
      <c r="AA101" s="153"/>
      <c r="AB101" s="94"/>
      <c r="AC101" s="133"/>
      <c r="AD101" s="93" t="str">
        <f t="shared" si="8"/>
        <v/>
      </c>
      <c r="AE101" s="94" t="e">
        <f t="shared" si="9"/>
        <v>#VALUE!</v>
      </c>
      <c r="AF101" s="134" t="s">
        <v>85</v>
      </c>
      <c r="AG101" s="135">
        <v>0.01</v>
      </c>
      <c r="AH101" s="136">
        <f t="shared" si="10"/>
        <v>4.8500000000000001E-3</v>
      </c>
      <c r="AI101" s="80"/>
      <c r="AJ101" s="154"/>
      <c r="AK101" s="100" t="str">
        <f t="shared" si="21"/>
        <v/>
      </c>
      <c r="AL101" s="138"/>
      <c r="AM101" s="113"/>
      <c r="AN101" s="103" t="str">
        <f t="shared" si="12"/>
        <v/>
      </c>
      <c r="AO101" s="139"/>
      <c r="AP101" s="140"/>
      <c r="AQ101" s="141" t="str">
        <f t="shared" si="15"/>
        <v/>
      </c>
      <c r="AR101" s="142"/>
      <c r="AS101" s="140"/>
      <c r="AT101" s="143" t="str">
        <f t="shared" si="16"/>
        <v/>
      </c>
      <c r="AU101" s="139"/>
      <c r="AV101" s="113"/>
      <c r="AW101" s="107" t="str">
        <f t="shared" si="17"/>
        <v/>
      </c>
      <c r="AX101" s="113"/>
      <c r="AY101" s="113"/>
      <c r="AZ101" s="144" t="str">
        <f t="shared" si="18"/>
        <v/>
      </c>
      <c r="BA101" s="80"/>
      <c r="BB101" s="140"/>
      <c r="BC101" s="145" t="str">
        <f t="shared" si="19"/>
        <v/>
      </c>
      <c r="BD101" s="113"/>
      <c r="BE101" s="114"/>
      <c r="BF101" s="146" t="str">
        <f t="shared" si="20"/>
        <v/>
      </c>
      <c r="BG101" s="147" t="s">
        <v>84</v>
      </c>
      <c r="BH101" s="148"/>
      <c r="BI101" s="156"/>
      <c r="BJ101" s="150" t="str">
        <f>'Degrémont sortie'!BI101</f>
        <v>Colloïdale</v>
      </c>
      <c r="BK101" s="151">
        <f>'Degrémont sortie'!BJ101</f>
        <v>0</v>
      </c>
    </row>
    <row r="102" spans="1:63" ht="14.25" outlineLevel="1">
      <c r="A102" s="152">
        <f t="shared" si="13"/>
        <v>43554</v>
      </c>
      <c r="B102" s="122">
        <v>997</v>
      </c>
      <c r="C102" s="123">
        <v>7.5</v>
      </c>
      <c r="D102" s="124">
        <v>90.7</v>
      </c>
      <c r="E102" s="125">
        <v>96</v>
      </c>
      <c r="F102" s="126">
        <v>28</v>
      </c>
      <c r="G102" s="127">
        <f t="shared" si="0"/>
        <v>189.28571428571419</v>
      </c>
      <c r="H102" s="128">
        <f t="shared" si="1"/>
        <v>188.71785714285704</v>
      </c>
      <c r="I102" s="129">
        <v>1</v>
      </c>
      <c r="J102" s="126">
        <v>1107</v>
      </c>
      <c r="K102" s="79">
        <f t="shared" si="2"/>
        <v>1107</v>
      </c>
      <c r="L102" s="128">
        <f t="shared" si="3"/>
        <v>1103.6790000000001</v>
      </c>
      <c r="M102" s="130">
        <v>1</v>
      </c>
      <c r="N102" s="126">
        <v>843</v>
      </c>
      <c r="O102" s="80">
        <f t="shared" si="4"/>
        <v>843</v>
      </c>
      <c r="P102" s="81">
        <f t="shared" si="5"/>
        <v>840.471</v>
      </c>
      <c r="Q102" s="129">
        <v>10</v>
      </c>
      <c r="R102" s="131">
        <v>1.3</v>
      </c>
      <c r="S102" s="127">
        <f t="shared" si="6"/>
        <v>13</v>
      </c>
      <c r="T102" s="128">
        <f t="shared" si="7"/>
        <v>12.961</v>
      </c>
      <c r="U102" s="113"/>
      <c r="V102" s="81">
        <f t="shared" si="14"/>
        <v>0</v>
      </c>
      <c r="W102" s="132"/>
      <c r="X102" s="153"/>
      <c r="Y102" s="94"/>
      <c r="Z102" s="132"/>
      <c r="AA102" s="153"/>
      <c r="AB102" s="94"/>
      <c r="AC102" s="133"/>
      <c r="AD102" s="93" t="str">
        <f t="shared" si="8"/>
        <v/>
      </c>
      <c r="AE102" s="94" t="e">
        <f t="shared" si="9"/>
        <v>#VALUE!</v>
      </c>
      <c r="AF102" s="134" t="s">
        <v>85</v>
      </c>
      <c r="AG102" s="135">
        <v>0.01</v>
      </c>
      <c r="AH102" s="136">
        <f t="shared" si="10"/>
        <v>4.9850000000000007E-3</v>
      </c>
      <c r="AI102" s="80"/>
      <c r="AJ102" s="154"/>
      <c r="AK102" s="100" t="str">
        <f t="shared" si="21"/>
        <v/>
      </c>
      <c r="AL102" s="138"/>
      <c r="AM102" s="113"/>
      <c r="AN102" s="103" t="str">
        <f t="shared" si="12"/>
        <v/>
      </c>
      <c r="AO102" s="139"/>
      <c r="AP102" s="140"/>
      <c r="AQ102" s="141" t="str">
        <f t="shared" si="15"/>
        <v/>
      </c>
      <c r="AR102" s="142"/>
      <c r="AS102" s="140"/>
      <c r="AT102" s="143" t="str">
        <f t="shared" si="16"/>
        <v/>
      </c>
      <c r="AU102" s="139"/>
      <c r="AV102" s="113"/>
      <c r="AW102" s="107" t="str">
        <f t="shared" si="17"/>
        <v/>
      </c>
      <c r="AX102" s="113"/>
      <c r="AY102" s="113"/>
      <c r="AZ102" s="144" t="str">
        <f t="shared" si="18"/>
        <v/>
      </c>
      <c r="BA102" s="80"/>
      <c r="BB102" s="140"/>
      <c r="BC102" s="145" t="str">
        <f t="shared" si="19"/>
        <v/>
      </c>
      <c r="BD102" s="113"/>
      <c r="BE102" s="114"/>
      <c r="BF102" s="146" t="str">
        <f t="shared" si="20"/>
        <v/>
      </c>
      <c r="BG102" s="147" t="s">
        <v>84</v>
      </c>
      <c r="BH102" s="148"/>
      <c r="BI102" s="156"/>
      <c r="BJ102" s="150">
        <f>'Degrémont sortie'!BI102</f>
        <v>0</v>
      </c>
      <c r="BK102" s="151">
        <f>'Degrémont sortie'!BJ102</f>
        <v>0</v>
      </c>
    </row>
    <row r="103" spans="1:63" ht="14.25" outlineLevel="1">
      <c r="A103" s="121">
        <f t="shared" si="13"/>
        <v>43555</v>
      </c>
      <c r="B103" s="207"/>
      <c r="C103" s="208"/>
      <c r="D103" s="210"/>
      <c r="E103" s="211"/>
      <c r="F103" s="80"/>
      <c r="G103" s="127">
        <f t="shared" si="0"/>
        <v>0</v>
      </c>
      <c r="H103" s="128">
        <f t="shared" si="1"/>
        <v>0</v>
      </c>
      <c r="I103" s="129">
        <v>1</v>
      </c>
      <c r="J103" s="80"/>
      <c r="K103" s="79">
        <f t="shared" si="2"/>
        <v>0</v>
      </c>
      <c r="L103" s="128">
        <f t="shared" si="3"/>
        <v>0</v>
      </c>
      <c r="M103" s="130">
        <v>1</v>
      </c>
      <c r="N103" s="80"/>
      <c r="O103" s="80" t="str">
        <f t="shared" si="4"/>
        <v/>
      </c>
      <c r="P103" s="81">
        <f t="shared" si="5"/>
        <v>0</v>
      </c>
      <c r="Q103" s="213"/>
      <c r="R103" s="113"/>
      <c r="S103" s="127" t="str">
        <f t="shared" si="6"/>
        <v/>
      </c>
      <c r="T103" s="128">
        <f t="shared" si="7"/>
        <v>0</v>
      </c>
      <c r="U103" s="113"/>
      <c r="V103" s="81">
        <f t="shared" si="14"/>
        <v>0</v>
      </c>
      <c r="W103" s="132"/>
      <c r="X103" s="153"/>
      <c r="Y103" s="94"/>
      <c r="Z103" s="132"/>
      <c r="AA103" s="153"/>
      <c r="AB103" s="94"/>
      <c r="AC103" s="133"/>
      <c r="AD103" s="93" t="str">
        <f t="shared" si="8"/>
        <v/>
      </c>
      <c r="AE103" s="94" t="str">
        <f t="shared" si="9"/>
        <v/>
      </c>
      <c r="AF103" s="139"/>
      <c r="AG103" s="215"/>
      <c r="AH103" s="136" t="str">
        <f t="shared" si="10"/>
        <v/>
      </c>
      <c r="AI103" s="80"/>
      <c r="AJ103" s="154"/>
      <c r="AK103" s="100" t="str">
        <f t="shared" si="21"/>
        <v/>
      </c>
      <c r="AL103" s="138"/>
      <c r="AM103" s="113"/>
      <c r="AN103" s="103" t="str">
        <f t="shared" si="12"/>
        <v/>
      </c>
      <c r="AO103" s="139"/>
      <c r="AP103" s="140"/>
      <c r="AQ103" s="141" t="str">
        <f t="shared" si="15"/>
        <v/>
      </c>
      <c r="AR103" s="142"/>
      <c r="AS103" s="140"/>
      <c r="AT103" s="143" t="str">
        <f t="shared" si="16"/>
        <v/>
      </c>
      <c r="AU103" s="139"/>
      <c r="AV103" s="113"/>
      <c r="AW103" s="107" t="str">
        <f t="shared" si="17"/>
        <v/>
      </c>
      <c r="AX103" s="113"/>
      <c r="AY103" s="113"/>
      <c r="AZ103" s="144" t="str">
        <f t="shared" si="18"/>
        <v/>
      </c>
      <c r="BA103" s="80"/>
      <c r="BB103" s="140"/>
      <c r="BC103" s="145" t="str">
        <f t="shared" si="19"/>
        <v/>
      </c>
      <c r="BD103" s="113"/>
      <c r="BE103" s="114"/>
      <c r="BF103" s="146" t="str">
        <f t="shared" si="20"/>
        <v/>
      </c>
      <c r="BG103" s="147" t="s">
        <v>84</v>
      </c>
      <c r="BH103" s="148"/>
      <c r="BI103" s="156"/>
      <c r="BJ103" s="150">
        <f>'Degrémont sortie'!BI103</f>
        <v>0</v>
      </c>
      <c r="BK103" s="151">
        <f>'Degrémont sortie'!BJ103</f>
        <v>0</v>
      </c>
    </row>
    <row r="104" spans="1:63" ht="14.25" outlineLevel="1">
      <c r="A104" s="152">
        <f t="shared" si="13"/>
        <v>43556</v>
      </c>
      <c r="B104" s="122">
        <v>538</v>
      </c>
      <c r="C104" s="123">
        <v>7.15</v>
      </c>
      <c r="D104" s="124">
        <v>91.1</v>
      </c>
      <c r="E104" s="125">
        <v>171.6</v>
      </c>
      <c r="F104" s="126">
        <v>32</v>
      </c>
      <c r="G104" s="127">
        <f t="shared" si="0"/>
        <v>2515.625</v>
      </c>
      <c r="H104" s="128">
        <f t="shared" si="1"/>
        <v>1353.40625</v>
      </c>
      <c r="I104" s="129">
        <v>1</v>
      </c>
      <c r="J104" s="126">
        <v>3508</v>
      </c>
      <c r="K104" s="79">
        <f t="shared" si="2"/>
        <v>3508</v>
      </c>
      <c r="L104" s="128">
        <f t="shared" si="3"/>
        <v>1887.3040000000001</v>
      </c>
      <c r="M104" s="130">
        <v>1</v>
      </c>
      <c r="N104" s="126">
        <v>716</v>
      </c>
      <c r="O104" s="80">
        <f t="shared" si="4"/>
        <v>716</v>
      </c>
      <c r="P104" s="81">
        <f t="shared" si="5"/>
        <v>385.20800000000003</v>
      </c>
      <c r="Q104" s="129">
        <v>10</v>
      </c>
      <c r="R104" s="131">
        <v>12.5</v>
      </c>
      <c r="S104" s="127">
        <f t="shared" si="6"/>
        <v>125</v>
      </c>
      <c r="T104" s="128">
        <f t="shared" si="7"/>
        <v>67.25</v>
      </c>
      <c r="U104" s="113"/>
      <c r="V104" s="81">
        <f t="shared" si="14"/>
        <v>0</v>
      </c>
      <c r="W104" s="132"/>
      <c r="X104" s="153"/>
      <c r="Y104" s="94"/>
      <c r="Z104" s="132"/>
      <c r="AA104" s="153"/>
      <c r="AB104" s="94"/>
      <c r="AC104" s="133"/>
      <c r="AD104" s="93" t="str">
        <f t="shared" si="8"/>
        <v/>
      </c>
      <c r="AE104" s="94" t="e">
        <f t="shared" si="9"/>
        <v>#VALUE!</v>
      </c>
      <c r="AF104" s="134" t="s">
        <v>85</v>
      </c>
      <c r="AG104" s="135">
        <v>0.01</v>
      </c>
      <c r="AH104" s="136">
        <f t="shared" si="10"/>
        <v>2.6900000000000001E-3</v>
      </c>
      <c r="AI104" s="80"/>
      <c r="AJ104" s="154"/>
      <c r="AK104" s="100" t="str">
        <f t="shared" si="21"/>
        <v/>
      </c>
      <c r="AL104" s="138"/>
      <c r="AM104" s="113"/>
      <c r="AN104" s="103" t="str">
        <f t="shared" si="12"/>
        <v/>
      </c>
      <c r="AO104" s="139"/>
      <c r="AP104" s="140"/>
      <c r="AQ104" s="141" t="str">
        <f t="shared" si="15"/>
        <v/>
      </c>
      <c r="AR104" s="142"/>
      <c r="AS104" s="140"/>
      <c r="AT104" s="143" t="str">
        <f t="shared" si="16"/>
        <v/>
      </c>
      <c r="AU104" s="139"/>
      <c r="AV104" s="113"/>
      <c r="AW104" s="107" t="str">
        <f t="shared" si="17"/>
        <v/>
      </c>
      <c r="AX104" s="113"/>
      <c r="AY104" s="113"/>
      <c r="AZ104" s="144" t="str">
        <f t="shared" si="18"/>
        <v/>
      </c>
      <c r="BA104" s="80"/>
      <c r="BB104" s="140"/>
      <c r="BC104" s="145" t="str">
        <f t="shared" si="19"/>
        <v/>
      </c>
      <c r="BD104" s="113"/>
      <c r="BE104" s="114"/>
      <c r="BF104" s="146" t="str">
        <f t="shared" si="20"/>
        <v/>
      </c>
      <c r="BG104" s="147" t="s">
        <v>84</v>
      </c>
      <c r="BH104" s="148"/>
      <c r="BI104" s="149" t="s">
        <v>182</v>
      </c>
      <c r="BJ104" s="150">
        <f>'Degrémont sortie'!BI104</f>
        <v>0</v>
      </c>
      <c r="BK104" s="151">
        <f>'Degrémont sortie'!BJ104</f>
        <v>0</v>
      </c>
    </row>
    <row r="105" spans="1:63" ht="15.75" customHeight="1" outlineLevel="1">
      <c r="A105" s="121">
        <f t="shared" si="13"/>
        <v>43557</v>
      </c>
      <c r="B105" s="122">
        <v>862</v>
      </c>
      <c r="C105" s="123">
        <v>7.6</v>
      </c>
      <c r="D105" s="124">
        <v>89.6</v>
      </c>
      <c r="E105" s="125">
        <v>144.9</v>
      </c>
      <c r="F105" s="126">
        <v>30</v>
      </c>
      <c r="G105" s="127">
        <f t="shared" si="0"/>
        <v>1843.3333333333337</v>
      </c>
      <c r="H105" s="128">
        <f t="shared" si="1"/>
        <v>1588.9533333333338</v>
      </c>
      <c r="I105" s="129">
        <v>1</v>
      </c>
      <c r="J105" s="126">
        <v>2580</v>
      </c>
      <c r="K105" s="79">
        <f t="shared" si="2"/>
        <v>2580</v>
      </c>
      <c r="L105" s="128">
        <f t="shared" si="3"/>
        <v>2223.96</v>
      </c>
      <c r="M105" s="130">
        <v>1</v>
      </c>
      <c r="N105" s="126">
        <v>543</v>
      </c>
      <c r="O105" s="80">
        <f t="shared" si="4"/>
        <v>543</v>
      </c>
      <c r="P105" s="81">
        <f t="shared" si="5"/>
        <v>468.06599999999997</v>
      </c>
      <c r="Q105" s="129">
        <v>20</v>
      </c>
      <c r="R105" s="131">
        <v>4.59</v>
      </c>
      <c r="S105" s="127">
        <f t="shared" si="6"/>
        <v>91.8</v>
      </c>
      <c r="T105" s="128">
        <f t="shared" si="7"/>
        <v>79.131599999999992</v>
      </c>
      <c r="U105" s="131">
        <v>38.75</v>
      </c>
      <c r="V105" s="81">
        <f t="shared" si="14"/>
        <v>33.402500000000003</v>
      </c>
      <c r="W105" s="132"/>
      <c r="X105" s="153"/>
      <c r="Y105" s="94"/>
      <c r="Z105" s="132"/>
      <c r="AA105" s="153"/>
      <c r="AB105" s="94"/>
      <c r="AC105" s="133"/>
      <c r="AD105" s="93" t="str">
        <f t="shared" si="8"/>
        <v/>
      </c>
      <c r="AE105" s="94" t="e">
        <f t="shared" si="9"/>
        <v>#VALUE!</v>
      </c>
      <c r="AF105" s="134" t="s">
        <v>85</v>
      </c>
      <c r="AG105" s="135">
        <v>0.01</v>
      </c>
      <c r="AH105" s="136">
        <f t="shared" si="10"/>
        <v>4.3100000000000005E-3</v>
      </c>
      <c r="AI105" s="80"/>
      <c r="AJ105" s="154"/>
      <c r="AK105" s="100" t="str">
        <f t="shared" si="21"/>
        <v/>
      </c>
      <c r="AL105" s="138"/>
      <c r="AM105" s="131">
        <v>24</v>
      </c>
      <c r="AN105" s="103">
        <f t="shared" si="12"/>
        <v>171.35999999999999</v>
      </c>
      <c r="AO105" s="139"/>
      <c r="AP105" s="155">
        <v>60.8</v>
      </c>
      <c r="AQ105" s="141">
        <f t="shared" si="15"/>
        <v>434.11199999999997</v>
      </c>
      <c r="AR105" s="142"/>
      <c r="AS105" s="155">
        <v>0.33</v>
      </c>
      <c r="AT105" s="143">
        <f t="shared" si="16"/>
        <v>2.3561999999999999</v>
      </c>
      <c r="AU105" s="139"/>
      <c r="AV105" s="131">
        <v>13.09</v>
      </c>
      <c r="AW105" s="107">
        <f t="shared" si="17"/>
        <v>93.462599999999995</v>
      </c>
      <c r="AX105" s="113"/>
      <c r="AY105" s="131">
        <v>123.29</v>
      </c>
      <c r="AZ105" s="144">
        <f t="shared" si="18"/>
        <v>880.29060000000004</v>
      </c>
      <c r="BA105" s="126" t="s">
        <v>85</v>
      </c>
      <c r="BB105" s="155">
        <v>0.15</v>
      </c>
      <c r="BC105" s="145">
        <f t="shared" si="19"/>
        <v>0.53549999999999998</v>
      </c>
      <c r="BD105" s="131" t="s">
        <v>85</v>
      </c>
      <c r="BE105" s="158">
        <v>0.13</v>
      </c>
      <c r="BF105" s="146">
        <f t="shared" si="20"/>
        <v>0.46410000000000001</v>
      </c>
      <c r="BG105" s="147" t="s">
        <v>84</v>
      </c>
      <c r="BH105" s="148"/>
      <c r="BI105" s="156"/>
      <c r="BJ105" s="150">
        <f>'Degrémont sortie'!BI105</f>
        <v>0</v>
      </c>
      <c r="BK105" s="151">
        <f>'Degrémont sortie'!BJ105</f>
        <v>0</v>
      </c>
    </row>
    <row r="106" spans="1:63" ht="15.75" customHeight="1" outlineLevel="1">
      <c r="A106" s="152">
        <f t="shared" si="13"/>
        <v>43558</v>
      </c>
      <c r="B106" s="122">
        <v>1062</v>
      </c>
      <c r="C106" s="123">
        <v>7.71</v>
      </c>
      <c r="D106" s="124">
        <v>89.3</v>
      </c>
      <c r="E106" s="125">
        <v>136.69999999999999</v>
      </c>
      <c r="F106" s="126">
        <v>29</v>
      </c>
      <c r="G106" s="127">
        <f t="shared" si="0"/>
        <v>1634.4827586206893</v>
      </c>
      <c r="H106" s="128">
        <f t="shared" si="1"/>
        <v>1735.8206896551719</v>
      </c>
      <c r="I106" s="129">
        <v>1</v>
      </c>
      <c r="J106" s="126">
        <v>2825</v>
      </c>
      <c r="K106" s="79">
        <f t="shared" si="2"/>
        <v>2825</v>
      </c>
      <c r="L106" s="128">
        <f t="shared" si="3"/>
        <v>3000.15</v>
      </c>
      <c r="M106" s="130">
        <v>1</v>
      </c>
      <c r="N106" s="126">
        <v>673</v>
      </c>
      <c r="O106" s="80">
        <f t="shared" si="4"/>
        <v>673</v>
      </c>
      <c r="P106" s="81">
        <f t="shared" si="5"/>
        <v>714.726</v>
      </c>
      <c r="Q106" s="129">
        <v>20</v>
      </c>
      <c r="R106" s="131">
        <v>4.37</v>
      </c>
      <c r="S106" s="127">
        <f t="shared" si="6"/>
        <v>87.4</v>
      </c>
      <c r="T106" s="128">
        <f t="shared" si="7"/>
        <v>92.818799999999996</v>
      </c>
      <c r="U106" s="113"/>
      <c r="V106" s="81">
        <f t="shared" si="14"/>
        <v>0</v>
      </c>
      <c r="W106" s="132"/>
      <c r="X106" s="153"/>
      <c r="Y106" s="94"/>
      <c r="Z106" s="132"/>
      <c r="AA106" s="153"/>
      <c r="AB106" s="94"/>
      <c r="AC106" s="133"/>
      <c r="AD106" s="93" t="str">
        <f t="shared" si="8"/>
        <v/>
      </c>
      <c r="AE106" s="94" t="e">
        <f t="shared" si="9"/>
        <v>#VALUE!</v>
      </c>
      <c r="AF106" s="134" t="s">
        <v>85</v>
      </c>
      <c r="AG106" s="135">
        <v>0.01</v>
      </c>
      <c r="AH106" s="136">
        <f t="shared" si="10"/>
        <v>5.3100000000000005E-3</v>
      </c>
      <c r="AI106" s="80"/>
      <c r="AJ106" s="154"/>
      <c r="AK106" s="100" t="str">
        <f t="shared" si="21"/>
        <v/>
      </c>
      <c r="AL106" s="138"/>
      <c r="AM106" s="113"/>
      <c r="AN106" s="103" t="str">
        <f t="shared" si="12"/>
        <v/>
      </c>
      <c r="AO106" s="139"/>
      <c r="AP106" s="140"/>
      <c r="AQ106" s="141" t="str">
        <f t="shared" si="15"/>
        <v/>
      </c>
      <c r="AR106" s="142"/>
      <c r="AS106" s="140"/>
      <c r="AT106" s="143" t="str">
        <f t="shared" si="16"/>
        <v/>
      </c>
      <c r="AU106" s="139"/>
      <c r="AV106" s="113"/>
      <c r="AW106" s="107" t="str">
        <f t="shared" si="17"/>
        <v/>
      </c>
      <c r="AX106" s="113"/>
      <c r="AY106" s="113"/>
      <c r="AZ106" s="144" t="str">
        <f t="shared" si="18"/>
        <v/>
      </c>
      <c r="BA106" s="80"/>
      <c r="BB106" s="140"/>
      <c r="BC106" s="145" t="str">
        <f t="shared" si="19"/>
        <v/>
      </c>
      <c r="BD106" s="113"/>
      <c r="BE106" s="114"/>
      <c r="BF106" s="146" t="str">
        <f t="shared" si="20"/>
        <v/>
      </c>
      <c r="BG106" s="147" t="s">
        <v>84</v>
      </c>
      <c r="BH106" s="148"/>
      <c r="BI106" s="156"/>
      <c r="BJ106" s="150">
        <f>'Degrémont sortie'!BI106</f>
        <v>0</v>
      </c>
      <c r="BK106" s="151">
        <f>'Degrémont sortie'!BJ106</f>
        <v>0</v>
      </c>
    </row>
    <row r="107" spans="1:63" ht="15.75" customHeight="1" outlineLevel="1">
      <c r="A107" s="121">
        <f t="shared" si="13"/>
        <v>43559</v>
      </c>
      <c r="B107" s="122">
        <v>919</v>
      </c>
      <c r="C107" s="123">
        <v>7.53</v>
      </c>
      <c r="D107" s="124">
        <v>88</v>
      </c>
      <c r="E107" s="125">
        <v>137.9</v>
      </c>
      <c r="F107" s="126">
        <v>32</v>
      </c>
      <c r="G107" s="127">
        <f t="shared" si="0"/>
        <v>1559.3750000000002</v>
      </c>
      <c r="H107" s="128">
        <f t="shared" si="1"/>
        <v>1433.0656250000002</v>
      </c>
      <c r="I107" s="129">
        <v>1</v>
      </c>
      <c r="J107" s="126">
        <v>2509</v>
      </c>
      <c r="K107" s="79">
        <f t="shared" si="2"/>
        <v>2509</v>
      </c>
      <c r="L107" s="128">
        <f t="shared" si="3"/>
        <v>2305.7710000000002</v>
      </c>
      <c r="M107" s="130">
        <v>1</v>
      </c>
      <c r="N107" s="126">
        <v>666</v>
      </c>
      <c r="O107" s="80">
        <f t="shared" si="4"/>
        <v>666</v>
      </c>
      <c r="P107" s="81">
        <f t="shared" si="5"/>
        <v>612.05399999999997</v>
      </c>
      <c r="Q107" s="129">
        <v>20</v>
      </c>
      <c r="R107" s="131">
        <v>2.97</v>
      </c>
      <c r="S107" s="127">
        <f t="shared" si="6"/>
        <v>59.400000000000006</v>
      </c>
      <c r="T107" s="128">
        <f t="shared" si="7"/>
        <v>54.588600000000007</v>
      </c>
      <c r="U107" s="113"/>
      <c r="V107" s="81">
        <f t="shared" si="14"/>
        <v>0</v>
      </c>
      <c r="W107" s="132"/>
      <c r="X107" s="153"/>
      <c r="Y107" s="94"/>
      <c r="Z107" s="132"/>
      <c r="AA107" s="153"/>
      <c r="AB107" s="94"/>
      <c r="AC107" s="133"/>
      <c r="AD107" s="93" t="str">
        <f t="shared" si="8"/>
        <v/>
      </c>
      <c r="AE107" s="94" t="e">
        <f t="shared" si="9"/>
        <v>#VALUE!</v>
      </c>
      <c r="AF107" s="134" t="s">
        <v>85</v>
      </c>
      <c r="AG107" s="135">
        <v>0.01</v>
      </c>
      <c r="AH107" s="136">
        <f t="shared" si="10"/>
        <v>4.5950000000000001E-3</v>
      </c>
      <c r="AI107" s="80"/>
      <c r="AJ107" s="154"/>
      <c r="AK107" s="100" t="str">
        <f t="shared" si="21"/>
        <v/>
      </c>
      <c r="AL107" s="138"/>
      <c r="AM107" s="113"/>
      <c r="AN107" s="103" t="str">
        <f t="shared" si="12"/>
        <v/>
      </c>
      <c r="AO107" s="139"/>
      <c r="AP107" s="140"/>
      <c r="AQ107" s="141" t="str">
        <f t="shared" si="15"/>
        <v/>
      </c>
      <c r="AR107" s="142"/>
      <c r="AS107" s="140"/>
      <c r="AT107" s="143" t="str">
        <f t="shared" si="16"/>
        <v/>
      </c>
      <c r="AU107" s="139"/>
      <c r="AV107" s="113"/>
      <c r="AW107" s="107" t="str">
        <f t="shared" si="17"/>
        <v/>
      </c>
      <c r="AX107" s="113"/>
      <c r="AY107" s="113"/>
      <c r="AZ107" s="144" t="str">
        <f t="shared" si="18"/>
        <v/>
      </c>
      <c r="BA107" s="80"/>
      <c r="BB107" s="140"/>
      <c r="BC107" s="145" t="str">
        <f t="shared" si="19"/>
        <v/>
      </c>
      <c r="BD107" s="113"/>
      <c r="BE107" s="114"/>
      <c r="BF107" s="146" t="str">
        <f t="shared" si="20"/>
        <v/>
      </c>
      <c r="BG107" s="147" t="s">
        <v>84</v>
      </c>
      <c r="BH107" s="148"/>
      <c r="BI107" s="156"/>
      <c r="BJ107" s="150">
        <f>'Degrémont sortie'!BI107</f>
        <v>0</v>
      </c>
      <c r="BK107" s="151">
        <f>'Degrémont sortie'!BJ107</f>
        <v>0</v>
      </c>
    </row>
    <row r="108" spans="1:63" ht="15.75" customHeight="1" outlineLevel="1">
      <c r="A108" s="152">
        <f t="shared" si="13"/>
        <v>43560</v>
      </c>
      <c r="B108" s="122">
        <v>1056</v>
      </c>
      <c r="C108" s="123">
        <v>7.6</v>
      </c>
      <c r="D108" s="124">
        <v>89.3</v>
      </c>
      <c r="E108" s="125">
        <v>142.69999999999999</v>
      </c>
      <c r="F108" s="126">
        <v>32</v>
      </c>
      <c r="G108" s="127">
        <f t="shared" si="0"/>
        <v>1668.7499999999998</v>
      </c>
      <c r="H108" s="128">
        <f t="shared" si="1"/>
        <v>1762.1999999999998</v>
      </c>
      <c r="I108" s="129">
        <v>1</v>
      </c>
      <c r="J108" s="126">
        <v>2684</v>
      </c>
      <c r="K108" s="79">
        <f t="shared" si="2"/>
        <v>2684</v>
      </c>
      <c r="L108" s="128">
        <f t="shared" si="3"/>
        <v>2834.3040000000001</v>
      </c>
      <c r="M108" s="130">
        <v>1</v>
      </c>
      <c r="N108" s="126">
        <v>339</v>
      </c>
      <c r="O108" s="80">
        <f t="shared" si="4"/>
        <v>339</v>
      </c>
      <c r="P108" s="81">
        <f t="shared" si="5"/>
        <v>357.98399999999998</v>
      </c>
      <c r="Q108" s="129">
        <v>20</v>
      </c>
      <c r="R108" s="131">
        <v>2.95</v>
      </c>
      <c r="S108" s="127">
        <f t="shared" si="6"/>
        <v>59</v>
      </c>
      <c r="T108" s="128">
        <f t="shared" si="7"/>
        <v>62.304000000000002</v>
      </c>
      <c r="U108" s="113"/>
      <c r="V108" s="81">
        <f t="shared" si="14"/>
        <v>0</v>
      </c>
      <c r="W108" s="132"/>
      <c r="X108" s="153"/>
      <c r="Y108" s="94"/>
      <c r="Z108" s="132"/>
      <c r="AA108" s="153"/>
      <c r="AB108" s="94"/>
      <c r="AC108" s="133"/>
      <c r="AD108" s="93" t="str">
        <f t="shared" si="8"/>
        <v/>
      </c>
      <c r="AE108" s="94" t="e">
        <f t="shared" si="9"/>
        <v>#VALUE!</v>
      </c>
      <c r="AF108" s="134" t="s">
        <v>85</v>
      </c>
      <c r="AG108" s="135">
        <v>0.01</v>
      </c>
      <c r="AH108" s="136">
        <f t="shared" si="10"/>
        <v>5.28E-3</v>
      </c>
      <c r="AI108" s="80"/>
      <c r="AJ108" s="154"/>
      <c r="AK108" s="100" t="str">
        <f t="shared" si="21"/>
        <v/>
      </c>
      <c r="AL108" s="138"/>
      <c r="AM108" s="113"/>
      <c r="AN108" s="103" t="str">
        <f t="shared" si="12"/>
        <v/>
      </c>
      <c r="AO108" s="139"/>
      <c r="AP108" s="140"/>
      <c r="AQ108" s="141" t="str">
        <f t="shared" si="15"/>
        <v/>
      </c>
      <c r="AR108" s="142"/>
      <c r="AS108" s="140"/>
      <c r="AT108" s="143" t="str">
        <f t="shared" si="16"/>
        <v/>
      </c>
      <c r="AU108" s="139"/>
      <c r="AV108" s="113"/>
      <c r="AW108" s="107" t="str">
        <f t="shared" si="17"/>
        <v/>
      </c>
      <c r="AX108" s="113"/>
      <c r="AY108" s="113"/>
      <c r="AZ108" s="144" t="str">
        <f t="shared" si="18"/>
        <v/>
      </c>
      <c r="BA108" s="80"/>
      <c r="BB108" s="140"/>
      <c r="BC108" s="145" t="str">
        <f t="shared" si="19"/>
        <v/>
      </c>
      <c r="BD108" s="113"/>
      <c r="BE108" s="114"/>
      <c r="BF108" s="146" t="str">
        <f t="shared" si="20"/>
        <v/>
      </c>
      <c r="BG108" s="147" t="s">
        <v>84</v>
      </c>
      <c r="BH108" s="148"/>
      <c r="BI108" s="149" t="s">
        <v>183</v>
      </c>
      <c r="BJ108" s="150">
        <f>'Degrémont sortie'!BI108</f>
        <v>0</v>
      </c>
      <c r="BK108" s="151">
        <f>'Degrémont sortie'!BJ108</f>
        <v>0</v>
      </c>
    </row>
    <row r="109" spans="1:63" ht="15.75" customHeight="1" outlineLevel="1">
      <c r="A109" s="121">
        <f t="shared" si="13"/>
        <v>43561</v>
      </c>
      <c r="B109" s="122">
        <v>920</v>
      </c>
      <c r="C109" s="123">
        <v>8.1</v>
      </c>
      <c r="D109" s="124">
        <v>88.8</v>
      </c>
      <c r="E109" s="125">
        <v>152.30000000000001</v>
      </c>
      <c r="F109" s="126">
        <v>35</v>
      </c>
      <c r="G109" s="127">
        <f t="shared" si="0"/>
        <v>1814.2857142857147</v>
      </c>
      <c r="H109" s="128">
        <f t="shared" si="1"/>
        <v>1669.1428571428576</v>
      </c>
      <c r="I109" s="129">
        <v>1</v>
      </c>
      <c r="J109" s="126">
        <v>3027</v>
      </c>
      <c r="K109" s="79">
        <f t="shared" si="2"/>
        <v>3027</v>
      </c>
      <c r="L109" s="128">
        <f t="shared" si="3"/>
        <v>2784.84</v>
      </c>
      <c r="M109" s="130">
        <v>1</v>
      </c>
      <c r="N109" s="126">
        <v>827</v>
      </c>
      <c r="O109" s="80">
        <f t="shared" si="4"/>
        <v>827</v>
      </c>
      <c r="P109" s="81">
        <f t="shared" si="5"/>
        <v>760.84</v>
      </c>
      <c r="Q109" s="129">
        <v>20</v>
      </c>
      <c r="R109" s="131">
        <v>5.01</v>
      </c>
      <c r="S109" s="127">
        <f t="shared" si="6"/>
        <v>100.19999999999999</v>
      </c>
      <c r="T109" s="128">
        <f t="shared" si="7"/>
        <v>92.183999999999983</v>
      </c>
      <c r="U109" s="113"/>
      <c r="V109" s="81">
        <f t="shared" si="14"/>
        <v>0</v>
      </c>
      <c r="W109" s="132"/>
      <c r="X109" s="153"/>
      <c r="Y109" s="94"/>
      <c r="Z109" s="132"/>
      <c r="AA109" s="153"/>
      <c r="AB109" s="94"/>
      <c r="AC109" s="133"/>
      <c r="AD109" s="93" t="str">
        <f t="shared" si="8"/>
        <v/>
      </c>
      <c r="AE109" s="94" t="e">
        <f t="shared" si="9"/>
        <v>#VALUE!</v>
      </c>
      <c r="AF109" s="134" t="s">
        <v>85</v>
      </c>
      <c r="AG109" s="135">
        <v>0.01</v>
      </c>
      <c r="AH109" s="136">
        <f t="shared" si="10"/>
        <v>4.6000000000000008E-3</v>
      </c>
      <c r="AI109" s="80"/>
      <c r="AJ109" s="154"/>
      <c r="AK109" s="100" t="str">
        <f t="shared" si="21"/>
        <v/>
      </c>
      <c r="AL109" s="138"/>
      <c r="AM109" s="113"/>
      <c r="AN109" s="103" t="str">
        <f t="shared" si="12"/>
        <v/>
      </c>
      <c r="AO109" s="139"/>
      <c r="AP109" s="140"/>
      <c r="AQ109" s="141" t="str">
        <f t="shared" si="15"/>
        <v/>
      </c>
      <c r="AR109" s="142"/>
      <c r="AS109" s="140"/>
      <c r="AT109" s="143" t="str">
        <f t="shared" si="16"/>
        <v/>
      </c>
      <c r="AU109" s="139"/>
      <c r="AV109" s="113"/>
      <c r="AW109" s="107" t="str">
        <f t="shared" si="17"/>
        <v/>
      </c>
      <c r="AX109" s="113"/>
      <c r="AY109" s="113"/>
      <c r="AZ109" s="144" t="str">
        <f t="shared" si="18"/>
        <v/>
      </c>
      <c r="BA109" s="80"/>
      <c r="BB109" s="140"/>
      <c r="BC109" s="145" t="str">
        <f t="shared" si="19"/>
        <v/>
      </c>
      <c r="BD109" s="113"/>
      <c r="BE109" s="114"/>
      <c r="BF109" s="146" t="str">
        <f t="shared" si="20"/>
        <v/>
      </c>
      <c r="BG109" s="147" t="s">
        <v>84</v>
      </c>
      <c r="BH109" s="148"/>
      <c r="BI109" s="156"/>
      <c r="BJ109" s="150">
        <f>'Degrémont sortie'!BI109</f>
        <v>0</v>
      </c>
      <c r="BK109" s="151">
        <f>'Degrémont sortie'!BJ109</f>
        <v>0</v>
      </c>
    </row>
    <row r="110" spans="1:63" ht="14.25" outlineLevel="1">
      <c r="A110" s="152">
        <f t="shared" si="13"/>
        <v>43562</v>
      </c>
      <c r="B110" s="207"/>
      <c r="C110" s="208"/>
      <c r="D110" s="210"/>
      <c r="E110" s="211"/>
      <c r="F110" s="80"/>
      <c r="G110" s="127">
        <f t="shared" si="0"/>
        <v>0</v>
      </c>
      <c r="H110" s="128">
        <f t="shared" si="1"/>
        <v>0</v>
      </c>
      <c r="I110" s="129">
        <v>1</v>
      </c>
      <c r="J110" s="80"/>
      <c r="K110" s="79">
        <f t="shared" si="2"/>
        <v>0</v>
      </c>
      <c r="L110" s="128">
        <f t="shared" si="3"/>
        <v>0</v>
      </c>
      <c r="M110" s="130">
        <v>1</v>
      </c>
      <c r="N110" s="80"/>
      <c r="O110" s="80" t="str">
        <f t="shared" si="4"/>
        <v/>
      </c>
      <c r="P110" s="81">
        <f t="shared" si="5"/>
        <v>0</v>
      </c>
      <c r="Q110" s="213"/>
      <c r="R110" s="113"/>
      <c r="S110" s="127" t="str">
        <f t="shared" si="6"/>
        <v/>
      </c>
      <c r="T110" s="128">
        <f t="shared" si="7"/>
        <v>0</v>
      </c>
      <c r="U110" s="113"/>
      <c r="V110" s="81">
        <f t="shared" si="14"/>
        <v>0</v>
      </c>
      <c r="W110" s="132"/>
      <c r="X110" s="153"/>
      <c r="Y110" s="94"/>
      <c r="Z110" s="132"/>
      <c r="AA110" s="153"/>
      <c r="AB110" s="94"/>
      <c r="AC110" s="133"/>
      <c r="AD110" s="93" t="str">
        <f t="shared" si="8"/>
        <v/>
      </c>
      <c r="AE110" s="94" t="str">
        <f t="shared" si="9"/>
        <v/>
      </c>
      <c r="AF110" s="139"/>
      <c r="AG110" s="215"/>
      <c r="AH110" s="136" t="str">
        <f t="shared" si="10"/>
        <v/>
      </c>
      <c r="AI110" s="80"/>
      <c r="AJ110" s="154"/>
      <c r="AK110" s="100" t="str">
        <f t="shared" si="21"/>
        <v/>
      </c>
      <c r="AL110" s="138"/>
      <c r="AM110" s="113"/>
      <c r="AN110" s="103" t="str">
        <f t="shared" si="12"/>
        <v/>
      </c>
      <c r="AO110" s="139"/>
      <c r="AP110" s="140"/>
      <c r="AQ110" s="141" t="str">
        <f t="shared" si="15"/>
        <v/>
      </c>
      <c r="AR110" s="142"/>
      <c r="AS110" s="140"/>
      <c r="AT110" s="143" t="str">
        <f t="shared" si="16"/>
        <v/>
      </c>
      <c r="AU110" s="139"/>
      <c r="AV110" s="113"/>
      <c r="AW110" s="107" t="str">
        <f t="shared" si="17"/>
        <v/>
      </c>
      <c r="AX110" s="113"/>
      <c r="AY110" s="113"/>
      <c r="AZ110" s="144" t="str">
        <f t="shared" si="18"/>
        <v/>
      </c>
      <c r="BA110" s="80"/>
      <c r="BB110" s="140"/>
      <c r="BC110" s="145" t="str">
        <f t="shared" si="19"/>
        <v/>
      </c>
      <c r="BD110" s="113"/>
      <c r="BE110" s="114"/>
      <c r="BF110" s="146" t="str">
        <f t="shared" si="20"/>
        <v/>
      </c>
      <c r="BG110" s="147" t="s">
        <v>84</v>
      </c>
      <c r="BH110" s="148"/>
      <c r="BI110" s="156"/>
      <c r="BJ110" s="150">
        <f>'Degrémont sortie'!BI110</f>
        <v>0</v>
      </c>
      <c r="BK110" s="151">
        <f>'Degrémont sortie'!BJ110</f>
        <v>0</v>
      </c>
    </row>
    <row r="111" spans="1:63" ht="14.25" outlineLevel="1">
      <c r="A111" s="121">
        <f t="shared" si="13"/>
        <v>43563</v>
      </c>
      <c r="B111" s="122">
        <v>1093</v>
      </c>
      <c r="C111" s="123">
        <v>7.7</v>
      </c>
      <c r="D111" s="124">
        <v>89.7</v>
      </c>
      <c r="E111" s="125">
        <v>181.3</v>
      </c>
      <c r="F111" s="126">
        <v>37</v>
      </c>
      <c r="G111" s="127">
        <f t="shared" si="0"/>
        <v>2475.6756756756758</v>
      </c>
      <c r="H111" s="128">
        <f t="shared" si="1"/>
        <v>2705.9135135135139</v>
      </c>
      <c r="I111" s="129">
        <v>1</v>
      </c>
      <c r="J111" s="126">
        <v>3662</v>
      </c>
      <c r="K111" s="79">
        <f t="shared" si="2"/>
        <v>3662</v>
      </c>
      <c r="L111" s="128">
        <f t="shared" si="3"/>
        <v>4002.5659999999998</v>
      </c>
      <c r="M111" s="130">
        <v>1</v>
      </c>
      <c r="N111" s="126">
        <v>690</v>
      </c>
      <c r="O111" s="80">
        <f t="shared" si="4"/>
        <v>690</v>
      </c>
      <c r="P111" s="81">
        <f t="shared" si="5"/>
        <v>754.17</v>
      </c>
      <c r="Q111" s="129">
        <v>10</v>
      </c>
      <c r="R111" s="131">
        <v>13.7</v>
      </c>
      <c r="S111" s="127">
        <f t="shared" si="6"/>
        <v>137</v>
      </c>
      <c r="T111" s="128">
        <f t="shared" si="7"/>
        <v>149.74100000000001</v>
      </c>
      <c r="U111" s="113"/>
      <c r="V111" s="81">
        <f t="shared" si="14"/>
        <v>0</v>
      </c>
      <c r="W111" s="132"/>
      <c r="X111" s="153"/>
      <c r="Y111" s="94"/>
      <c r="Z111" s="132"/>
      <c r="AA111" s="153"/>
      <c r="AB111" s="94"/>
      <c r="AC111" s="133"/>
      <c r="AD111" s="93" t="str">
        <f t="shared" si="8"/>
        <v/>
      </c>
      <c r="AE111" s="94" t="e">
        <f t="shared" si="9"/>
        <v>#VALUE!</v>
      </c>
      <c r="AF111" s="134" t="s">
        <v>85</v>
      </c>
      <c r="AG111" s="135">
        <v>0.01</v>
      </c>
      <c r="AH111" s="136">
        <f t="shared" si="10"/>
        <v>5.4650000000000002E-3</v>
      </c>
      <c r="AI111" s="80"/>
      <c r="AJ111" s="154"/>
      <c r="AK111" s="100" t="str">
        <f t="shared" si="21"/>
        <v/>
      </c>
      <c r="AL111" s="138"/>
      <c r="AM111" s="113"/>
      <c r="AN111" s="103" t="str">
        <f t="shared" si="12"/>
        <v/>
      </c>
      <c r="AO111" s="139"/>
      <c r="AP111" s="140"/>
      <c r="AQ111" s="141" t="str">
        <f t="shared" si="15"/>
        <v/>
      </c>
      <c r="AR111" s="142"/>
      <c r="AS111" s="140"/>
      <c r="AT111" s="143" t="str">
        <f t="shared" si="16"/>
        <v/>
      </c>
      <c r="AU111" s="139"/>
      <c r="AV111" s="113"/>
      <c r="AW111" s="107" t="str">
        <f t="shared" si="17"/>
        <v/>
      </c>
      <c r="AX111" s="113"/>
      <c r="AY111" s="113"/>
      <c r="AZ111" s="144" t="str">
        <f t="shared" si="18"/>
        <v/>
      </c>
      <c r="BA111" s="80"/>
      <c r="BB111" s="140"/>
      <c r="BC111" s="145" t="str">
        <f t="shared" si="19"/>
        <v/>
      </c>
      <c r="BD111" s="113"/>
      <c r="BE111" s="114"/>
      <c r="BF111" s="146" t="str">
        <f t="shared" si="20"/>
        <v/>
      </c>
      <c r="BG111" s="147" t="s">
        <v>84</v>
      </c>
      <c r="BH111" s="148"/>
      <c r="BI111" s="156"/>
      <c r="BJ111" s="150">
        <f>'Degrémont sortie'!BI111</f>
        <v>0</v>
      </c>
      <c r="BK111" s="151">
        <f>'Degrémont sortie'!BJ111</f>
        <v>0</v>
      </c>
    </row>
    <row r="112" spans="1:63" ht="14.25" outlineLevel="1">
      <c r="A112" s="152">
        <f t="shared" si="13"/>
        <v>43564</v>
      </c>
      <c r="B112" s="122">
        <v>976</v>
      </c>
      <c r="C112" s="123">
        <v>7.8</v>
      </c>
      <c r="D112" s="124">
        <v>89.3</v>
      </c>
      <c r="E112" s="125">
        <v>333.5</v>
      </c>
      <c r="F112" s="126">
        <v>30</v>
      </c>
      <c r="G112" s="127">
        <f t="shared" si="0"/>
        <v>8140</v>
      </c>
      <c r="H112" s="128">
        <f t="shared" si="1"/>
        <v>7944.64</v>
      </c>
      <c r="I112" s="129">
        <v>1</v>
      </c>
      <c r="J112" s="126">
        <v>7834</v>
      </c>
      <c r="K112" s="79">
        <f t="shared" si="2"/>
        <v>7834</v>
      </c>
      <c r="L112" s="128">
        <f t="shared" si="3"/>
        <v>7645.9840000000004</v>
      </c>
      <c r="M112" s="130">
        <v>1</v>
      </c>
      <c r="N112" s="126">
        <v>710</v>
      </c>
      <c r="O112" s="80">
        <f t="shared" si="4"/>
        <v>710</v>
      </c>
      <c r="P112" s="81">
        <f t="shared" si="5"/>
        <v>692.96</v>
      </c>
      <c r="Q112" s="129">
        <v>10</v>
      </c>
      <c r="R112" s="131">
        <v>24.6</v>
      </c>
      <c r="S112" s="127">
        <f t="shared" si="6"/>
        <v>246</v>
      </c>
      <c r="T112" s="128">
        <f t="shared" si="7"/>
        <v>240.096</v>
      </c>
      <c r="U112" s="131">
        <v>38.5</v>
      </c>
      <c r="V112" s="81">
        <f t="shared" si="14"/>
        <v>37.576000000000001</v>
      </c>
      <c r="W112" s="132"/>
      <c r="X112" s="153"/>
      <c r="Y112" s="94"/>
      <c r="Z112" s="132"/>
      <c r="AA112" s="153"/>
      <c r="AB112" s="94"/>
      <c r="AC112" s="133"/>
      <c r="AD112" s="93" t="str">
        <f t="shared" si="8"/>
        <v/>
      </c>
      <c r="AE112" s="94" t="e">
        <f t="shared" si="9"/>
        <v>#VALUE!</v>
      </c>
      <c r="AF112" s="134" t="s">
        <v>85</v>
      </c>
      <c r="AG112" s="135">
        <v>0.01</v>
      </c>
      <c r="AH112" s="136">
        <f t="shared" si="10"/>
        <v>4.8799999999999998E-3</v>
      </c>
      <c r="AI112" s="80"/>
      <c r="AJ112" s="154"/>
      <c r="AK112" s="100" t="str">
        <f t="shared" si="21"/>
        <v/>
      </c>
      <c r="AL112" s="138"/>
      <c r="AM112" s="131">
        <v>31</v>
      </c>
      <c r="AN112" s="103">
        <f t="shared" si="12"/>
        <v>240.994</v>
      </c>
      <c r="AO112" s="139"/>
      <c r="AP112" s="155">
        <v>39.5</v>
      </c>
      <c r="AQ112" s="141">
        <f t="shared" si="15"/>
        <v>307.07299999999998</v>
      </c>
      <c r="AR112" s="142"/>
      <c r="AS112" s="155">
        <v>0.31</v>
      </c>
      <c r="AT112" s="143">
        <f t="shared" si="16"/>
        <v>2.4099400000000002</v>
      </c>
      <c r="AU112" s="139"/>
      <c r="AV112" s="131">
        <v>13.1</v>
      </c>
      <c r="AW112" s="107">
        <f t="shared" si="17"/>
        <v>101.8394</v>
      </c>
      <c r="AX112" s="113"/>
      <c r="AY112" s="131">
        <v>103.01</v>
      </c>
      <c r="AZ112" s="144">
        <f t="shared" si="18"/>
        <v>800.79974000000004</v>
      </c>
      <c r="BA112" s="126" t="s">
        <v>85</v>
      </c>
      <c r="BB112" s="155">
        <v>0.15</v>
      </c>
      <c r="BC112" s="145">
        <f t="shared" si="19"/>
        <v>0.58304999999999996</v>
      </c>
      <c r="BD112" s="131" t="s">
        <v>85</v>
      </c>
      <c r="BE112" s="158">
        <v>0.13</v>
      </c>
      <c r="BF112" s="146">
        <f t="shared" si="20"/>
        <v>0.50531000000000004</v>
      </c>
      <c r="BG112" s="147" t="s">
        <v>84</v>
      </c>
      <c r="BH112" s="148"/>
      <c r="BI112" s="149" t="s">
        <v>184</v>
      </c>
      <c r="BJ112" s="150">
        <f>'Degrémont sortie'!BI112</f>
        <v>0</v>
      </c>
      <c r="BK112" s="151">
        <f>'Degrémont sortie'!BJ112</f>
        <v>0</v>
      </c>
    </row>
    <row r="113" spans="1:63" ht="14.25" outlineLevel="1">
      <c r="A113" s="121">
        <f t="shared" si="13"/>
        <v>43565</v>
      </c>
      <c r="B113" s="122">
        <v>886</v>
      </c>
      <c r="C113" s="123">
        <v>7.9</v>
      </c>
      <c r="D113" s="124">
        <v>87.9</v>
      </c>
      <c r="E113" s="125">
        <v>390</v>
      </c>
      <c r="F113" s="126">
        <v>26</v>
      </c>
      <c r="G113" s="127">
        <f t="shared" si="0"/>
        <v>11619.23076923077</v>
      </c>
      <c r="H113" s="128">
        <f t="shared" si="1"/>
        <v>10294.638461538461</v>
      </c>
      <c r="I113" s="129">
        <v>1</v>
      </c>
      <c r="J113" s="126">
        <v>10215</v>
      </c>
      <c r="K113" s="79">
        <f t="shared" si="2"/>
        <v>10215</v>
      </c>
      <c r="L113" s="128">
        <f t="shared" si="3"/>
        <v>9050.49</v>
      </c>
      <c r="M113" s="130">
        <v>1</v>
      </c>
      <c r="N113" s="80"/>
      <c r="O113" s="80" t="str">
        <f t="shared" si="4"/>
        <v/>
      </c>
      <c r="P113" s="81" t="e">
        <f t="shared" si="5"/>
        <v>#VALUE!</v>
      </c>
      <c r="Q113" s="129">
        <v>20</v>
      </c>
      <c r="R113" s="131">
        <v>21.1</v>
      </c>
      <c r="S113" s="127">
        <f t="shared" si="6"/>
        <v>422</v>
      </c>
      <c r="T113" s="128">
        <f t="shared" si="7"/>
        <v>373.892</v>
      </c>
      <c r="U113" s="113"/>
      <c r="V113" s="81">
        <f t="shared" si="14"/>
        <v>0</v>
      </c>
      <c r="W113" s="132"/>
      <c r="X113" s="153"/>
      <c r="Y113" s="94"/>
      <c r="Z113" s="132"/>
      <c r="AA113" s="153"/>
      <c r="AB113" s="94"/>
      <c r="AC113" s="133"/>
      <c r="AD113" s="93" t="str">
        <f t="shared" si="8"/>
        <v/>
      </c>
      <c r="AE113" s="94" t="e">
        <f t="shared" si="9"/>
        <v>#VALUE!</v>
      </c>
      <c r="AF113" s="134" t="s">
        <v>85</v>
      </c>
      <c r="AG113" s="135">
        <v>0.01</v>
      </c>
      <c r="AH113" s="136">
        <f t="shared" si="10"/>
        <v>4.4299999999999999E-3</v>
      </c>
      <c r="AI113" s="80"/>
      <c r="AJ113" s="154"/>
      <c r="AK113" s="100" t="str">
        <f t="shared" si="21"/>
        <v/>
      </c>
      <c r="AL113" s="138"/>
      <c r="AM113" s="113"/>
      <c r="AN113" s="103" t="str">
        <f t="shared" si="12"/>
        <v/>
      </c>
      <c r="AO113" s="139"/>
      <c r="AP113" s="140"/>
      <c r="AQ113" s="141" t="str">
        <f t="shared" si="15"/>
        <v/>
      </c>
      <c r="AR113" s="142"/>
      <c r="AS113" s="140"/>
      <c r="AT113" s="143" t="str">
        <f t="shared" si="16"/>
        <v/>
      </c>
      <c r="AU113" s="139"/>
      <c r="AV113" s="113"/>
      <c r="AW113" s="107" t="str">
        <f t="shared" si="17"/>
        <v/>
      </c>
      <c r="AX113" s="113"/>
      <c r="AY113" s="113"/>
      <c r="AZ113" s="144" t="str">
        <f t="shared" si="18"/>
        <v/>
      </c>
      <c r="BA113" s="80"/>
      <c r="BB113" s="140"/>
      <c r="BC113" s="145" t="str">
        <f t="shared" si="19"/>
        <v/>
      </c>
      <c r="BD113" s="113"/>
      <c r="BE113" s="114"/>
      <c r="BF113" s="146" t="str">
        <f t="shared" si="20"/>
        <v/>
      </c>
      <c r="BG113" s="147" t="s">
        <v>84</v>
      </c>
      <c r="BH113" s="148"/>
      <c r="BI113" s="156"/>
      <c r="BJ113" s="150">
        <f>'Degrémont sortie'!BI113</f>
        <v>0</v>
      </c>
      <c r="BK113" s="151">
        <f>'Degrémont sortie'!BJ113</f>
        <v>0</v>
      </c>
    </row>
    <row r="114" spans="1:63" ht="14.25" outlineLevel="1">
      <c r="A114" s="152">
        <f t="shared" si="13"/>
        <v>43566</v>
      </c>
      <c r="B114" s="122">
        <v>731</v>
      </c>
      <c r="C114" s="123">
        <v>43715</v>
      </c>
      <c r="D114" s="124">
        <v>90.1</v>
      </c>
      <c r="E114" s="125">
        <v>455.3</v>
      </c>
      <c r="F114" s="126">
        <v>29</v>
      </c>
      <c r="G114" s="127">
        <f t="shared" si="0"/>
        <v>12593.103448275864</v>
      </c>
      <c r="H114" s="128">
        <f t="shared" si="1"/>
        <v>9205.5586206896569</v>
      </c>
      <c r="I114" s="129">
        <v>1</v>
      </c>
      <c r="J114" s="126">
        <v>10268</v>
      </c>
      <c r="K114" s="79">
        <f t="shared" si="2"/>
        <v>10268</v>
      </c>
      <c r="L114" s="128">
        <f t="shared" si="3"/>
        <v>7505.9080000000004</v>
      </c>
      <c r="M114" s="130">
        <v>1</v>
      </c>
      <c r="N114" s="126">
        <v>760</v>
      </c>
      <c r="O114" s="80">
        <f t="shared" si="4"/>
        <v>760</v>
      </c>
      <c r="P114" s="81">
        <f t="shared" si="5"/>
        <v>555.55999999999995</v>
      </c>
      <c r="Q114" s="129">
        <v>20</v>
      </c>
      <c r="R114" s="131">
        <v>26.6</v>
      </c>
      <c r="S114" s="127">
        <f t="shared" si="6"/>
        <v>532</v>
      </c>
      <c r="T114" s="128">
        <f t="shared" si="7"/>
        <v>388.892</v>
      </c>
      <c r="U114" s="113"/>
      <c r="V114" s="81">
        <f t="shared" si="14"/>
        <v>0</v>
      </c>
      <c r="W114" s="132"/>
      <c r="X114" s="153"/>
      <c r="Y114" s="94"/>
      <c r="Z114" s="132"/>
      <c r="AA114" s="153"/>
      <c r="AB114" s="94"/>
      <c r="AC114" s="133"/>
      <c r="AD114" s="93" t="str">
        <f t="shared" si="8"/>
        <v/>
      </c>
      <c r="AE114" s="94" t="e">
        <f t="shared" si="9"/>
        <v>#VALUE!</v>
      </c>
      <c r="AF114" s="134" t="s">
        <v>85</v>
      </c>
      <c r="AG114" s="135">
        <v>0.01</v>
      </c>
      <c r="AH114" s="136">
        <f t="shared" si="10"/>
        <v>3.6550000000000003E-3</v>
      </c>
      <c r="AI114" s="80"/>
      <c r="AJ114" s="154"/>
      <c r="AK114" s="100" t="str">
        <f t="shared" si="21"/>
        <v/>
      </c>
      <c r="AL114" s="138"/>
      <c r="AM114" s="113"/>
      <c r="AN114" s="103" t="str">
        <f t="shared" si="12"/>
        <v/>
      </c>
      <c r="AO114" s="139"/>
      <c r="AP114" s="140"/>
      <c r="AQ114" s="141" t="str">
        <f t="shared" si="15"/>
        <v/>
      </c>
      <c r="AR114" s="142"/>
      <c r="AS114" s="140"/>
      <c r="AT114" s="143" t="str">
        <f t="shared" si="16"/>
        <v/>
      </c>
      <c r="AU114" s="139"/>
      <c r="AV114" s="113"/>
      <c r="AW114" s="107" t="str">
        <f t="shared" si="17"/>
        <v/>
      </c>
      <c r="AX114" s="113"/>
      <c r="AY114" s="113"/>
      <c r="AZ114" s="144" t="str">
        <f t="shared" si="18"/>
        <v/>
      </c>
      <c r="BA114" s="80"/>
      <c r="BB114" s="140"/>
      <c r="BC114" s="145" t="str">
        <f t="shared" si="19"/>
        <v/>
      </c>
      <c r="BD114" s="113"/>
      <c r="BE114" s="114"/>
      <c r="BF114" s="146" t="str">
        <f t="shared" si="20"/>
        <v/>
      </c>
      <c r="BG114" s="147" t="s">
        <v>84</v>
      </c>
      <c r="BH114" s="148"/>
      <c r="BI114" s="156"/>
      <c r="BJ114" s="150">
        <f>'Degrémont sortie'!BI114</f>
        <v>0</v>
      </c>
      <c r="BK114" s="151">
        <f>'Degrémont sortie'!BJ114</f>
        <v>0</v>
      </c>
    </row>
    <row r="115" spans="1:63" ht="14.25" outlineLevel="1">
      <c r="A115" s="121">
        <f t="shared" si="13"/>
        <v>43567</v>
      </c>
      <c r="B115" s="122">
        <v>883</v>
      </c>
      <c r="C115" s="123">
        <v>7.87</v>
      </c>
      <c r="D115" s="124">
        <v>88.9</v>
      </c>
      <c r="E115" s="125">
        <v>394.3</v>
      </c>
      <c r="F115" s="126">
        <v>24</v>
      </c>
      <c r="G115" s="127">
        <f t="shared" si="0"/>
        <v>12725</v>
      </c>
      <c r="H115" s="128">
        <f t="shared" si="1"/>
        <v>11236.174999999999</v>
      </c>
      <c r="I115" s="129">
        <v>1</v>
      </c>
      <c r="J115" s="126">
        <v>11466</v>
      </c>
      <c r="K115" s="79">
        <f t="shared" si="2"/>
        <v>11466</v>
      </c>
      <c r="L115" s="128">
        <f t="shared" si="3"/>
        <v>10124.477999999999</v>
      </c>
      <c r="M115" s="130">
        <v>1</v>
      </c>
      <c r="N115" s="126">
        <v>789</v>
      </c>
      <c r="O115" s="80">
        <f t="shared" si="4"/>
        <v>789</v>
      </c>
      <c r="P115" s="81">
        <f t="shared" si="5"/>
        <v>696.68700000000001</v>
      </c>
      <c r="Q115" s="129">
        <v>20</v>
      </c>
      <c r="R115" s="131">
        <v>18.100000000000001</v>
      </c>
      <c r="S115" s="127">
        <f t="shared" si="6"/>
        <v>362</v>
      </c>
      <c r="T115" s="128">
        <f t="shared" si="7"/>
        <v>319.64600000000002</v>
      </c>
      <c r="U115" s="113"/>
      <c r="V115" s="81">
        <f t="shared" si="14"/>
        <v>0</v>
      </c>
      <c r="W115" s="132"/>
      <c r="X115" s="153"/>
      <c r="Y115" s="94"/>
      <c r="Z115" s="132"/>
      <c r="AA115" s="153"/>
      <c r="AB115" s="94"/>
      <c r="AC115" s="133"/>
      <c r="AD115" s="93" t="str">
        <f t="shared" si="8"/>
        <v/>
      </c>
      <c r="AE115" s="94" t="e">
        <f t="shared" si="9"/>
        <v>#VALUE!</v>
      </c>
      <c r="AF115" s="134" t="s">
        <v>85</v>
      </c>
      <c r="AG115" s="135">
        <v>0.01</v>
      </c>
      <c r="AH115" s="136">
        <f t="shared" si="10"/>
        <v>4.4149999999999997E-3</v>
      </c>
      <c r="AI115" s="80"/>
      <c r="AJ115" s="154"/>
      <c r="AK115" s="100" t="str">
        <f t="shared" si="21"/>
        <v/>
      </c>
      <c r="AL115" s="138"/>
      <c r="AM115" s="113"/>
      <c r="AN115" s="103" t="str">
        <f t="shared" si="12"/>
        <v/>
      </c>
      <c r="AO115" s="139"/>
      <c r="AP115" s="140"/>
      <c r="AQ115" s="141" t="str">
        <f t="shared" si="15"/>
        <v/>
      </c>
      <c r="AR115" s="142"/>
      <c r="AS115" s="140"/>
      <c r="AT115" s="143" t="str">
        <f t="shared" si="16"/>
        <v/>
      </c>
      <c r="AU115" s="139"/>
      <c r="AV115" s="113"/>
      <c r="AW115" s="107" t="str">
        <f t="shared" si="17"/>
        <v/>
      </c>
      <c r="AX115" s="113"/>
      <c r="AY115" s="113"/>
      <c r="AZ115" s="144" t="str">
        <f t="shared" si="18"/>
        <v/>
      </c>
      <c r="BA115" s="80"/>
      <c r="BB115" s="140"/>
      <c r="BC115" s="145" t="str">
        <f t="shared" si="19"/>
        <v/>
      </c>
      <c r="BD115" s="113"/>
      <c r="BE115" s="114"/>
      <c r="BF115" s="146" t="str">
        <f t="shared" si="20"/>
        <v/>
      </c>
      <c r="BG115" s="147" t="s">
        <v>84</v>
      </c>
      <c r="BH115" s="148"/>
      <c r="BI115" s="156"/>
      <c r="BJ115" s="150">
        <f>'Degrémont sortie'!BI115</f>
        <v>0</v>
      </c>
      <c r="BK115" s="151">
        <f>'Degrémont sortie'!BJ115</f>
        <v>0</v>
      </c>
    </row>
    <row r="116" spans="1:63" ht="14.25" outlineLevel="1">
      <c r="A116" s="152">
        <f t="shared" si="13"/>
        <v>43568</v>
      </c>
      <c r="B116" s="122">
        <v>974</v>
      </c>
      <c r="C116" s="123">
        <v>7.74</v>
      </c>
      <c r="D116" s="124">
        <v>89.8</v>
      </c>
      <c r="E116" s="125">
        <v>173.6</v>
      </c>
      <c r="F116" s="126">
        <v>34</v>
      </c>
      <c r="G116" s="127">
        <f t="shared" si="0"/>
        <v>2464.705882352941</v>
      </c>
      <c r="H116" s="128">
        <f t="shared" si="1"/>
        <v>2400.6235294117641</v>
      </c>
      <c r="I116" s="129">
        <v>1</v>
      </c>
      <c r="J116" s="126">
        <v>3647</v>
      </c>
      <c r="K116" s="79">
        <f t="shared" si="2"/>
        <v>3647</v>
      </c>
      <c r="L116" s="128">
        <f t="shared" si="3"/>
        <v>3552.1779999999999</v>
      </c>
      <c r="M116" s="130">
        <v>1</v>
      </c>
      <c r="N116" s="126">
        <v>564</v>
      </c>
      <c r="O116" s="80">
        <f t="shared" si="4"/>
        <v>564</v>
      </c>
      <c r="P116" s="81">
        <f t="shared" si="5"/>
        <v>549.33600000000001</v>
      </c>
      <c r="Q116" s="129">
        <v>20</v>
      </c>
      <c r="R116" s="131">
        <v>5.37</v>
      </c>
      <c r="S116" s="127">
        <f t="shared" si="6"/>
        <v>107.4</v>
      </c>
      <c r="T116" s="128">
        <f t="shared" si="7"/>
        <v>104.60760000000001</v>
      </c>
      <c r="U116" s="113"/>
      <c r="V116" s="81">
        <f t="shared" si="14"/>
        <v>0</v>
      </c>
      <c r="W116" s="132"/>
      <c r="X116" s="153"/>
      <c r="Y116" s="94"/>
      <c r="Z116" s="132"/>
      <c r="AA116" s="153"/>
      <c r="AB116" s="94"/>
      <c r="AC116" s="133"/>
      <c r="AD116" s="93" t="str">
        <f t="shared" si="8"/>
        <v/>
      </c>
      <c r="AE116" s="94" t="e">
        <f t="shared" si="9"/>
        <v>#VALUE!</v>
      </c>
      <c r="AF116" s="134" t="s">
        <v>85</v>
      </c>
      <c r="AG116" s="135">
        <v>0.01</v>
      </c>
      <c r="AH116" s="136">
        <f t="shared" si="10"/>
        <v>4.8700000000000002E-3</v>
      </c>
      <c r="AI116" s="80"/>
      <c r="AJ116" s="154"/>
      <c r="AK116" s="100" t="str">
        <f t="shared" si="21"/>
        <v/>
      </c>
      <c r="AL116" s="138"/>
      <c r="AM116" s="113"/>
      <c r="AN116" s="103" t="str">
        <f t="shared" si="12"/>
        <v/>
      </c>
      <c r="AO116" s="139"/>
      <c r="AP116" s="140"/>
      <c r="AQ116" s="141" t="str">
        <f t="shared" si="15"/>
        <v/>
      </c>
      <c r="AR116" s="142"/>
      <c r="AS116" s="140"/>
      <c r="AT116" s="143" t="str">
        <f t="shared" si="16"/>
        <v/>
      </c>
      <c r="AU116" s="139"/>
      <c r="AV116" s="113"/>
      <c r="AW116" s="107" t="str">
        <f t="shared" si="17"/>
        <v/>
      </c>
      <c r="AX116" s="113"/>
      <c r="AY116" s="113"/>
      <c r="AZ116" s="144" t="str">
        <f t="shared" si="18"/>
        <v/>
      </c>
      <c r="BA116" s="80"/>
      <c r="BB116" s="140"/>
      <c r="BC116" s="145" t="str">
        <f t="shared" si="19"/>
        <v/>
      </c>
      <c r="BD116" s="113"/>
      <c r="BE116" s="114"/>
      <c r="BF116" s="146" t="str">
        <f t="shared" si="20"/>
        <v/>
      </c>
      <c r="BG116" s="147" t="s">
        <v>84</v>
      </c>
      <c r="BH116" s="148"/>
      <c r="BI116" s="149" t="s">
        <v>185</v>
      </c>
      <c r="BJ116" s="150">
        <f>'Degrémont sortie'!BI116</f>
        <v>0</v>
      </c>
      <c r="BK116" s="151">
        <f>'Degrémont sortie'!BJ116</f>
        <v>0</v>
      </c>
    </row>
    <row r="117" spans="1:63" ht="15.75" customHeight="1" outlineLevel="1">
      <c r="A117" s="121">
        <f t="shared" si="13"/>
        <v>43569</v>
      </c>
      <c r="B117" s="207"/>
      <c r="C117" s="208"/>
      <c r="D117" s="210"/>
      <c r="E117" s="211"/>
      <c r="F117" s="80"/>
      <c r="G117" s="127">
        <f t="shared" si="0"/>
        <v>0</v>
      </c>
      <c r="H117" s="128">
        <f t="shared" si="1"/>
        <v>0</v>
      </c>
      <c r="I117" s="129">
        <v>1</v>
      </c>
      <c r="J117" s="80"/>
      <c r="K117" s="79">
        <f t="shared" si="2"/>
        <v>0</v>
      </c>
      <c r="L117" s="128">
        <f t="shared" si="3"/>
        <v>0</v>
      </c>
      <c r="M117" s="130">
        <v>1</v>
      </c>
      <c r="N117" s="80"/>
      <c r="O117" s="80" t="str">
        <f t="shared" si="4"/>
        <v/>
      </c>
      <c r="P117" s="81">
        <f t="shared" si="5"/>
        <v>0</v>
      </c>
      <c r="Q117" s="213"/>
      <c r="R117" s="113"/>
      <c r="S117" s="127" t="str">
        <f t="shared" si="6"/>
        <v/>
      </c>
      <c r="T117" s="128">
        <f t="shared" si="7"/>
        <v>0</v>
      </c>
      <c r="U117" s="113"/>
      <c r="V117" s="81">
        <f t="shared" si="14"/>
        <v>0</v>
      </c>
      <c r="W117" s="132"/>
      <c r="X117" s="153"/>
      <c r="Y117" s="94"/>
      <c r="Z117" s="132"/>
      <c r="AA117" s="153"/>
      <c r="AB117" s="94"/>
      <c r="AC117" s="133"/>
      <c r="AD117" s="93" t="str">
        <f t="shared" si="8"/>
        <v/>
      </c>
      <c r="AE117" s="94" t="str">
        <f t="shared" si="9"/>
        <v/>
      </c>
      <c r="AF117" s="139"/>
      <c r="AG117" s="215"/>
      <c r="AH117" s="136" t="str">
        <f t="shared" si="10"/>
        <v/>
      </c>
      <c r="AI117" s="80"/>
      <c r="AJ117" s="154"/>
      <c r="AK117" s="100" t="str">
        <f t="shared" si="21"/>
        <v/>
      </c>
      <c r="AL117" s="138"/>
      <c r="AM117" s="113"/>
      <c r="AN117" s="103" t="str">
        <f t="shared" si="12"/>
        <v/>
      </c>
      <c r="AO117" s="139"/>
      <c r="AP117" s="140"/>
      <c r="AQ117" s="141" t="str">
        <f t="shared" si="15"/>
        <v/>
      </c>
      <c r="AR117" s="142"/>
      <c r="AS117" s="140"/>
      <c r="AT117" s="143" t="str">
        <f t="shared" si="16"/>
        <v/>
      </c>
      <c r="AU117" s="139"/>
      <c r="AV117" s="113"/>
      <c r="AW117" s="107" t="str">
        <f t="shared" si="17"/>
        <v/>
      </c>
      <c r="AX117" s="113"/>
      <c r="AY117" s="113"/>
      <c r="AZ117" s="144" t="str">
        <f t="shared" si="18"/>
        <v/>
      </c>
      <c r="BA117" s="80"/>
      <c r="BB117" s="140"/>
      <c r="BC117" s="145" t="str">
        <f t="shared" si="19"/>
        <v/>
      </c>
      <c r="BD117" s="113"/>
      <c r="BE117" s="114"/>
      <c r="BF117" s="146" t="str">
        <f t="shared" si="20"/>
        <v/>
      </c>
      <c r="BG117" s="147" t="s">
        <v>84</v>
      </c>
      <c r="BH117" s="148"/>
      <c r="BI117" s="156"/>
      <c r="BJ117" s="150">
        <f>'Degrémont sortie'!BI117</f>
        <v>0</v>
      </c>
      <c r="BK117" s="151">
        <f>'Degrémont sortie'!BJ117</f>
        <v>0</v>
      </c>
    </row>
    <row r="118" spans="1:63" ht="15.75" customHeight="1" outlineLevel="1">
      <c r="A118" s="152">
        <f t="shared" si="13"/>
        <v>43570</v>
      </c>
      <c r="B118" s="122">
        <v>842</v>
      </c>
      <c r="C118" s="123">
        <v>7.74</v>
      </c>
      <c r="D118" s="124">
        <v>89.6</v>
      </c>
      <c r="E118" s="125">
        <v>481.4</v>
      </c>
      <c r="F118" s="126">
        <v>31</v>
      </c>
      <c r="G118" s="127">
        <f t="shared" si="0"/>
        <v>12638.709677419352</v>
      </c>
      <c r="H118" s="128">
        <f t="shared" si="1"/>
        <v>10641.793548387095</v>
      </c>
      <c r="I118" s="129">
        <v>1</v>
      </c>
      <c r="J118" s="126">
        <v>11004</v>
      </c>
      <c r="K118" s="79">
        <f t="shared" si="2"/>
        <v>11004</v>
      </c>
      <c r="L118" s="128">
        <f t="shared" si="3"/>
        <v>9265.3680000000004</v>
      </c>
      <c r="M118" s="130">
        <v>1</v>
      </c>
      <c r="N118" s="126">
        <v>822</v>
      </c>
      <c r="O118" s="80">
        <f t="shared" si="4"/>
        <v>822</v>
      </c>
      <c r="P118" s="81">
        <f t="shared" si="5"/>
        <v>692.12400000000002</v>
      </c>
      <c r="Q118" s="129">
        <v>20</v>
      </c>
      <c r="R118" s="131">
        <v>26.3</v>
      </c>
      <c r="S118" s="127">
        <f t="shared" si="6"/>
        <v>526</v>
      </c>
      <c r="T118" s="128">
        <f t="shared" si="7"/>
        <v>442.892</v>
      </c>
      <c r="U118" s="113"/>
      <c r="V118" s="81">
        <f t="shared" si="14"/>
        <v>0</v>
      </c>
      <c r="W118" s="132"/>
      <c r="X118" s="153"/>
      <c r="Y118" s="94"/>
      <c r="Z118" s="132"/>
      <c r="AA118" s="153"/>
      <c r="AB118" s="94"/>
      <c r="AC118" s="133"/>
      <c r="AD118" s="93" t="str">
        <f t="shared" si="8"/>
        <v/>
      </c>
      <c r="AE118" s="94" t="e">
        <f t="shared" si="9"/>
        <v>#VALUE!</v>
      </c>
      <c r="AF118" s="134" t="s">
        <v>85</v>
      </c>
      <c r="AG118" s="135">
        <v>0.01</v>
      </c>
      <c r="AH118" s="136">
        <f t="shared" si="10"/>
        <v>4.2100000000000002E-3</v>
      </c>
      <c r="AI118" s="80"/>
      <c r="AJ118" s="154"/>
      <c r="AK118" s="100" t="str">
        <f t="shared" si="21"/>
        <v/>
      </c>
      <c r="AL118" s="138"/>
      <c r="AM118" s="113"/>
      <c r="AN118" s="103" t="str">
        <f t="shared" si="12"/>
        <v/>
      </c>
      <c r="AO118" s="139"/>
      <c r="AP118" s="140"/>
      <c r="AQ118" s="141" t="str">
        <f t="shared" si="15"/>
        <v/>
      </c>
      <c r="AR118" s="142"/>
      <c r="AS118" s="140"/>
      <c r="AT118" s="143" t="str">
        <f t="shared" si="16"/>
        <v/>
      </c>
      <c r="AU118" s="139"/>
      <c r="AV118" s="113"/>
      <c r="AW118" s="107" t="str">
        <f t="shared" si="17"/>
        <v/>
      </c>
      <c r="AX118" s="113"/>
      <c r="AY118" s="113"/>
      <c r="AZ118" s="144" t="str">
        <f t="shared" si="18"/>
        <v/>
      </c>
      <c r="BA118" s="80"/>
      <c r="BB118" s="140"/>
      <c r="BC118" s="145" t="str">
        <f t="shared" si="19"/>
        <v/>
      </c>
      <c r="BD118" s="113"/>
      <c r="BE118" s="114"/>
      <c r="BF118" s="146" t="str">
        <f t="shared" si="20"/>
        <v/>
      </c>
      <c r="BG118" s="147" t="s">
        <v>84</v>
      </c>
      <c r="BH118" s="148"/>
      <c r="BI118" s="156"/>
      <c r="BJ118" s="150">
        <f>'Degrémont sortie'!BI118</f>
        <v>0</v>
      </c>
      <c r="BK118" s="151">
        <f>'Degrémont sortie'!BJ118</f>
        <v>0</v>
      </c>
    </row>
    <row r="119" spans="1:63" ht="15.75" customHeight="1" outlineLevel="1">
      <c r="A119" s="121">
        <f t="shared" si="13"/>
        <v>43571</v>
      </c>
      <c r="B119" s="122">
        <v>831</v>
      </c>
      <c r="C119" s="123">
        <v>7.94</v>
      </c>
      <c r="D119" s="124">
        <v>91.4</v>
      </c>
      <c r="E119" s="125">
        <v>454.1</v>
      </c>
      <c r="F119" s="126">
        <v>29</v>
      </c>
      <c r="G119" s="127">
        <f t="shared" si="0"/>
        <v>12506.896551724139</v>
      </c>
      <c r="H119" s="128">
        <f t="shared" si="1"/>
        <v>10393.23103448276</v>
      </c>
      <c r="I119" s="129">
        <v>2</v>
      </c>
      <c r="J119" s="126">
        <v>5769</v>
      </c>
      <c r="K119" s="79">
        <f t="shared" si="2"/>
        <v>11538</v>
      </c>
      <c r="L119" s="128">
        <f t="shared" si="3"/>
        <v>9588.0779999999995</v>
      </c>
      <c r="M119" s="130">
        <v>1</v>
      </c>
      <c r="N119" s="126">
        <v>575</v>
      </c>
      <c r="O119" s="80">
        <f t="shared" si="4"/>
        <v>575</v>
      </c>
      <c r="P119" s="81">
        <f t="shared" si="5"/>
        <v>477.82499999999999</v>
      </c>
      <c r="Q119" s="129">
        <v>50</v>
      </c>
      <c r="R119" s="131">
        <v>37.9</v>
      </c>
      <c r="S119" s="127">
        <f t="shared" si="6"/>
        <v>1895</v>
      </c>
      <c r="T119" s="128">
        <f t="shared" si="7"/>
        <v>1574.7449999999999</v>
      </c>
      <c r="U119" s="131">
        <v>90</v>
      </c>
      <c r="V119" s="81">
        <f t="shared" si="14"/>
        <v>74.790000000000006</v>
      </c>
      <c r="W119" s="132"/>
      <c r="X119" s="153"/>
      <c r="Y119" s="94"/>
      <c r="Z119" s="132"/>
      <c r="AA119" s="153"/>
      <c r="AB119" s="94"/>
      <c r="AC119" s="133"/>
      <c r="AD119" s="93" t="str">
        <f t="shared" si="8"/>
        <v/>
      </c>
      <c r="AE119" s="94" t="e">
        <f t="shared" si="9"/>
        <v>#VALUE!</v>
      </c>
      <c r="AF119" s="134" t="s">
        <v>85</v>
      </c>
      <c r="AG119" s="135">
        <v>0.01</v>
      </c>
      <c r="AH119" s="136">
        <f t="shared" si="10"/>
        <v>4.1549999999999998E-3</v>
      </c>
      <c r="AI119" s="80"/>
      <c r="AJ119" s="154"/>
      <c r="AK119" s="100" t="str">
        <f t="shared" si="21"/>
        <v/>
      </c>
      <c r="AL119" s="138"/>
      <c r="AM119" s="131">
        <v>83</v>
      </c>
      <c r="AN119" s="103">
        <f t="shared" si="12"/>
        <v>587.05900000000008</v>
      </c>
      <c r="AO119" s="139"/>
      <c r="AP119" s="155">
        <v>163.4</v>
      </c>
      <c r="AQ119" s="141">
        <f t="shared" si="15"/>
        <v>1155.7282</v>
      </c>
      <c r="AR119" s="142"/>
      <c r="AS119" s="155">
        <v>0.98</v>
      </c>
      <c r="AT119" s="143">
        <f t="shared" si="16"/>
        <v>6.93154</v>
      </c>
      <c r="AU119" s="139"/>
      <c r="AV119" s="131">
        <v>48.65</v>
      </c>
      <c r="AW119" s="107">
        <f t="shared" si="17"/>
        <v>344.10145</v>
      </c>
      <c r="AX119" s="113"/>
      <c r="AY119" s="131">
        <v>329.09</v>
      </c>
      <c r="AZ119" s="144">
        <f t="shared" si="18"/>
        <v>2327.6535699999999</v>
      </c>
      <c r="BA119" s="126" t="s">
        <v>85</v>
      </c>
      <c r="BB119" s="155">
        <v>0.15</v>
      </c>
      <c r="BC119" s="145">
        <f t="shared" si="19"/>
        <v>0.53047500000000003</v>
      </c>
      <c r="BD119" s="131" t="s">
        <v>85</v>
      </c>
      <c r="BE119" s="158">
        <v>0.13</v>
      </c>
      <c r="BF119" s="146">
        <f t="shared" si="20"/>
        <v>0.45974500000000001</v>
      </c>
      <c r="BG119" s="147" t="s">
        <v>84</v>
      </c>
      <c r="BH119" s="148"/>
      <c r="BI119" s="149" t="s">
        <v>115</v>
      </c>
      <c r="BJ119" s="150">
        <f>'Degrémont sortie'!BI119</f>
        <v>0</v>
      </c>
      <c r="BK119" s="151">
        <f>'Degrémont sortie'!BJ119</f>
        <v>0</v>
      </c>
    </row>
    <row r="120" spans="1:63" ht="15.75" customHeight="1" outlineLevel="1">
      <c r="A120" s="152">
        <f t="shared" si="13"/>
        <v>43572</v>
      </c>
      <c r="B120" s="122">
        <v>950</v>
      </c>
      <c r="C120" s="123">
        <v>7.96</v>
      </c>
      <c r="D120" s="124">
        <v>88.7</v>
      </c>
      <c r="E120" s="125">
        <v>459.2</v>
      </c>
      <c r="F120" s="126">
        <v>29</v>
      </c>
      <c r="G120" s="127">
        <f t="shared" si="0"/>
        <v>12775.862068965518</v>
      </c>
      <c r="H120" s="128">
        <f t="shared" si="1"/>
        <v>12137.068965517241</v>
      </c>
      <c r="I120" s="129">
        <v>50</v>
      </c>
      <c r="J120" s="126">
        <v>385</v>
      </c>
      <c r="K120" s="79">
        <f t="shared" si="2"/>
        <v>19250</v>
      </c>
      <c r="L120" s="128">
        <f t="shared" si="3"/>
        <v>18287.5</v>
      </c>
      <c r="M120" s="130">
        <v>1</v>
      </c>
      <c r="N120" s="126">
        <v>2141</v>
      </c>
      <c r="O120" s="80">
        <f t="shared" si="4"/>
        <v>2141</v>
      </c>
      <c r="P120" s="81">
        <f t="shared" si="5"/>
        <v>2033.95</v>
      </c>
      <c r="Q120" s="129">
        <v>50</v>
      </c>
      <c r="R120" s="131">
        <v>12.9</v>
      </c>
      <c r="S120" s="127">
        <f t="shared" si="6"/>
        <v>645</v>
      </c>
      <c r="T120" s="128">
        <f t="shared" si="7"/>
        <v>612.75</v>
      </c>
      <c r="U120" s="113"/>
      <c r="V120" s="81">
        <f t="shared" si="14"/>
        <v>0</v>
      </c>
      <c r="W120" s="132"/>
      <c r="X120" s="153"/>
      <c r="Y120" s="94"/>
      <c r="Z120" s="132"/>
      <c r="AA120" s="153"/>
      <c r="AB120" s="94"/>
      <c r="AC120" s="133"/>
      <c r="AD120" s="93" t="str">
        <f t="shared" si="8"/>
        <v/>
      </c>
      <c r="AE120" s="94" t="e">
        <f t="shared" si="9"/>
        <v>#VALUE!</v>
      </c>
      <c r="AF120" s="134" t="s">
        <v>85</v>
      </c>
      <c r="AG120" s="135">
        <v>0.01</v>
      </c>
      <c r="AH120" s="136">
        <f t="shared" si="10"/>
        <v>4.7499999999999999E-3</v>
      </c>
      <c r="AI120" s="80"/>
      <c r="AJ120" s="154"/>
      <c r="AK120" s="100" t="str">
        <f t="shared" si="21"/>
        <v/>
      </c>
      <c r="AL120" s="138"/>
      <c r="AM120" s="113"/>
      <c r="AN120" s="103" t="str">
        <f t="shared" si="12"/>
        <v/>
      </c>
      <c r="AO120" s="139"/>
      <c r="AP120" s="140"/>
      <c r="AQ120" s="141" t="str">
        <f t="shared" si="15"/>
        <v/>
      </c>
      <c r="AR120" s="142"/>
      <c r="AS120" s="140"/>
      <c r="AT120" s="143" t="str">
        <f t="shared" si="16"/>
        <v/>
      </c>
      <c r="AU120" s="139"/>
      <c r="AV120" s="113"/>
      <c r="AW120" s="107" t="str">
        <f t="shared" si="17"/>
        <v/>
      </c>
      <c r="AX120" s="113"/>
      <c r="AY120" s="113"/>
      <c r="AZ120" s="144" t="str">
        <f t="shared" si="18"/>
        <v/>
      </c>
      <c r="BA120" s="80"/>
      <c r="BB120" s="140"/>
      <c r="BC120" s="145" t="str">
        <f t="shared" si="19"/>
        <v/>
      </c>
      <c r="BD120" s="113"/>
      <c r="BE120" s="114"/>
      <c r="BF120" s="146" t="str">
        <f t="shared" si="20"/>
        <v/>
      </c>
      <c r="BG120" s="147" t="s">
        <v>84</v>
      </c>
      <c r="BH120" s="148"/>
      <c r="BI120" s="149" t="s">
        <v>115</v>
      </c>
      <c r="BJ120" s="150">
        <f>'Degrémont sortie'!BI120</f>
        <v>0</v>
      </c>
      <c r="BK120" s="151">
        <f>'Degrémont sortie'!BJ120</f>
        <v>0</v>
      </c>
    </row>
    <row r="121" spans="1:63" ht="15.75" customHeight="1" outlineLevel="1">
      <c r="A121" s="121">
        <f t="shared" si="13"/>
        <v>43573</v>
      </c>
      <c r="B121" s="122">
        <v>1967</v>
      </c>
      <c r="C121" s="123">
        <v>7.2</v>
      </c>
      <c r="D121" s="124">
        <v>89.3</v>
      </c>
      <c r="E121" s="125">
        <v>412.4</v>
      </c>
      <c r="F121" s="126">
        <v>32</v>
      </c>
      <c r="G121" s="127">
        <f t="shared" si="0"/>
        <v>10096.874999999998</v>
      </c>
      <c r="H121" s="128">
        <f t="shared" si="1"/>
        <v>19860.553124999995</v>
      </c>
      <c r="I121" s="129">
        <v>1</v>
      </c>
      <c r="J121" s="126">
        <v>10286</v>
      </c>
      <c r="K121" s="79">
        <f t="shared" si="2"/>
        <v>10286</v>
      </c>
      <c r="L121" s="128">
        <f t="shared" si="3"/>
        <v>20232.562000000002</v>
      </c>
      <c r="M121" s="130">
        <v>1</v>
      </c>
      <c r="N121" s="126">
        <v>1491</v>
      </c>
      <c r="O121" s="80">
        <f t="shared" si="4"/>
        <v>1491</v>
      </c>
      <c r="P121" s="81">
        <f t="shared" si="5"/>
        <v>2932.797</v>
      </c>
      <c r="Q121" s="129">
        <v>20</v>
      </c>
      <c r="R121" s="131">
        <v>28.9</v>
      </c>
      <c r="S121" s="127">
        <f t="shared" si="6"/>
        <v>578</v>
      </c>
      <c r="T121" s="128">
        <f t="shared" si="7"/>
        <v>1136.9259999999999</v>
      </c>
      <c r="U121" s="113"/>
      <c r="V121" s="81">
        <f t="shared" si="14"/>
        <v>0</v>
      </c>
      <c r="W121" s="132"/>
      <c r="X121" s="153"/>
      <c r="Y121" s="94"/>
      <c r="Z121" s="132"/>
      <c r="AA121" s="153"/>
      <c r="AB121" s="94"/>
      <c r="AC121" s="133"/>
      <c r="AD121" s="93" t="str">
        <f t="shared" si="8"/>
        <v/>
      </c>
      <c r="AE121" s="94" t="e">
        <f t="shared" si="9"/>
        <v>#VALUE!</v>
      </c>
      <c r="AF121" s="134" t="s">
        <v>85</v>
      </c>
      <c r="AG121" s="135">
        <v>0.01</v>
      </c>
      <c r="AH121" s="136">
        <f t="shared" si="10"/>
        <v>9.835E-3</v>
      </c>
      <c r="AI121" s="80"/>
      <c r="AJ121" s="154"/>
      <c r="AK121" s="100" t="str">
        <f t="shared" si="21"/>
        <v/>
      </c>
      <c r="AL121" s="138"/>
      <c r="AM121" s="113"/>
      <c r="AN121" s="103" t="str">
        <f t="shared" si="12"/>
        <v/>
      </c>
      <c r="AO121" s="139"/>
      <c r="AP121" s="140"/>
      <c r="AQ121" s="141" t="str">
        <f t="shared" si="15"/>
        <v/>
      </c>
      <c r="AR121" s="142"/>
      <c r="AS121" s="140"/>
      <c r="AT121" s="143" t="str">
        <f t="shared" si="16"/>
        <v/>
      </c>
      <c r="AU121" s="139"/>
      <c r="AV121" s="113"/>
      <c r="AW121" s="107" t="str">
        <f t="shared" si="17"/>
        <v/>
      </c>
      <c r="AX121" s="113"/>
      <c r="AY121" s="113"/>
      <c r="AZ121" s="144" t="str">
        <f t="shared" si="18"/>
        <v/>
      </c>
      <c r="BA121" s="80"/>
      <c r="BB121" s="140"/>
      <c r="BC121" s="145" t="str">
        <f t="shared" si="19"/>
        <v/>
      </c>
      <c r="BD121" s="113"/>
      <c r="BE121" s="114"/>
      <c r="BF121" s="146" t="str">
        <f t="shared" si="20"/>
        <v/>
      </c>
      <c r="BG121" s="147" t="s">
        <v>84</v>
      </c>
      <c r="BH121" s="148"/>
      <c r="BI121" s="149" t="s">
        <v>186</v>
      </c>
      <c r="BJ121" s="150">
        <f>'Degrémont sortie'!BI121</f>
        <v>0</v>
      </c>
      <c r="BK121" s="151">
        <f>'Degrémont sortie'!BJ121</f>
        <v>0</v>
      </c>
    </row>
    <row r="122" spans="1:63" ht="14.25" outlineLevel="1">
      <c r="A122" s="152">
        <f t="shared" si="13"/>
        <v>43574</v>
      </c>
      <c r="B122" s="373"/>
      <c r="C122" s="374"/>
      <c r="D122" s="375"/>
      <c r="E122" s="376"/>
      <c r="F122" s="198"/>
      <c r="G122" s="127">
        <f t="shared" si="0"/>
        <v>0</v>
      </c>
      <c r="H122" s="128">
        <f t="shared" si="1"/>
        <v>0</v>
      </c>
      <c r="I122" s="188">
        <v>1</v>
      </c>
      <c r="J122" s="198"/>
      <c r="K122" s="79">
        <f t="shared" si="2"/>
        <v>0</v>
      </c>
      <c r="L122" s="128">
        <f t="shared" si="3"/>
        <v>0</v>
      </c>
      <c r="M122" s="189">
        <v>1</v>
      </c>
      <c r="N122" s="198"/>
      <c r="O122" s="80" t="str">
        <f t="shared" si="4"/>
        <v/>
      </c>
      <c r="P122" s="81">
        <f t="shared" si="5"/>
        <v>0</v>
      </c>
      <c r="Q122" s="379"/>
      <c r="R122" s="191"/>
      <c r="S122" s="127" t="str">
        <f t="shared" si="6"/>
        <v/>
      </c>
      <c r="T122" s="128">
        <f t="shared" si="7"/>
        <v>0</v>
      </c>
      <c r="U122" s="191"/>
      <c r="V122" s="81">
        <f t="shared" si="14"/>
        <v>0</v>
      </c>
      <c r="W122" s="132"/>
      <c r="X122" s="153"/>
      <c r="Y122" s="94"/>
      <c r="Z122" s="132"/>
      <c r="AA122" s="153"/>
      <c r="AB122" s="94"/>
      <c r="AC122" s="133"/>
      <c r="AD122" s="93" t="str">
        <f t="shared" si="8"/>
        <v/>
      </c>
      <c r="AE122" s="94" t="str">
        <f t="shared" si="9"/>
        <v/>
      </c>
      <c r="AF122" s="195"/>
      <c r="AG122" s="382"/>
      <c r="AH122" s="136" t="str">
        <f t="shared" si="10"/>
        <v/>
      </c>
      <c r="AI122" s="80"/>
      <c r="AJ122" s="154"/>
      <c r="AK122" s="100" t="str">
        <f t="shared" si="21"/>
        <v/>
      </c>
      <c r="AL122" s="194"/>
      <c r="AM122" s="191"/>
      <c r="AN122" s="103" t="str">
        <f t="shared" si="12"/>
        <v/>
      </c>
      <c r="AO122" s="195"/>
      <c r="AP122" s="196"/>
      <c r="AQ122" s="141" t="str">
        <f t="shared" si="15"/>
        <v/>
      </c>
      <c r="AR122" s="197"/>
      <c r="AS122" s="196"/>
      <c r="AT122" s="143" t="str">
        <f t="shared" si="16"/>
        <v/>
      </c>
      <c r="AU122" s="195"/>
      <c r="AV122" s="191"/>
      <c r="AW122" s="107" t="str">
        <f t="shared" si="17"/>
        <v/>
      </c>
      <c r="AX122" s="191"/>
      <c r="AY122" s="191"/>
      <c r="AZ122" s="144" t="str">
        <f t="shared" si="18"/>
        <v/>
      </c>
      <c r="BA122" s="198"/>
      <c r="BB122" s="196"/>
      <c r="BC122" s="145" t="str">
        <f t="shared" si="19"/>
        <v/>
      </c>
      <c r="BD122" s="191"/>
      <c r="BE122" s="199"/>
      <c r="BF122" s="146" t="str">
        <f t="shared" si="20"/>
        <v/>
      </c>
      <c r="BG122" s="147" t="s">
        <v>84</v>
      </c>
      <c r="BH122" s="200"/>
      <c r="BI122" s="391"/>
      <c r="BJ122" s="150">
        <f>'Degrémont sortie'!BI122</f>
        <v>0</v>
      </c>
      <c r="BK122" s="151">
        <f>'Degrémont sortie'!BJ122</f>
        <v>0</v>
      </c>
    </row>
    <row r="123" spans="1:63" ht="14.25" outlineLevel="1">
      <c r="A123" s="121">
        <f t="shared" si="13"/>
        <v>43575</v>
      </c>
      <c r="B123" s="207"/>
      <c r="C123" s="208"/>
      <c r="D123" s="210"/>
      <c r="E123" s="211"/>
      <c r="F123" s="80"/>
      <c r="G123" s="127">
        <f t="shared" si="0"/>
        <v>0</v>
      </c>
      <c r="H123" s="128">
        <f t="shared" si="1"/>
        <v>0</v>
      </c>
      <c r="I123" s="129">
        <v>1</v>
      </c>
      <c r="J123" s="80"/>
      <c r="K123" s="79">
        <f t="shared" si="2"/>
        <v>0</v>
      </c>
      <c r="L123" s="128">
        <f t="shared" si="3"/>
        <v>0</v>
      </c>
      <c r="M123" s="130">
        <v>1</v>
      </c>
      <c r="N123" s="80"/>
      <c r="O123" s="80" t="str">
        <f t="shared" si="4"/>
        <v/>
      </c>
      <c r="P123" s="81">
        <f t="shared" si="5"/>
        <v>0</v>
      </c>
      <c r="Q123" s="213"/>
      <c r="R123" s="113"/>
      <c r="S123" s="127" t="str">
        <f t="shared" si="6"/>
        <v/>
      </c>
      <c r="T123" s="128">
        <f t="shared" si="7"/>
        <v>0</v>
      </c>
      <c r="U123" s="113"/>
      <c r="V123" s="81">
        <f t="shared" si="14"/>
        <v>0</v>
      </c>
      <c r="W123" s="132"/>
      <c r="X123" s="153"/>
      <c r="Y123" s="94"/>
      <c r="Z123" s="132"/>
      <c r="AA123" s="153"/>
      <c r="AB123" s="94"/>
      <c r="AC123" s="133"/>
      <c r="AD123" s="93" t="str">
        <f t="shared" si="8"/>
        <v/>
      </c>
      <c r="AE123" s="94" t="str">
        <f t="shared" si="9"/>
        <v/>
      </c>
      <c r="AF123" s="139"/>
      <c r="AG123" s="215"/>
      <c r="AH123" s="136" t="str">
        <f t="shared" si="10"/>
        <v/>
      </c>
      <c r="AI123" s="80"/>
      <c r="AJ123" s="154"/>
      <c r="AK123" s="100" t="str">
        <f t="shared" si="21"/>
        <v/>
      </c>
      <c r="AL123" s="138"/>
      <c r="AM123" s="113"/>
      <c r="AN123" s="103" t="str">
        <f t="shared" si="12"/>
        <v/>
      </c>
      <c r="AO123" s="139"/>
      <c r="AP123" s="140"/>
      <c r="AQ123" s="141" t="str">
        <f t="shared" si="15"/>
        <v/>
      </c>
      <c r="AR123" s="142"/>
      <c r="AS123" s="140"/>
      <c r="AT123" s="143" t="str">
        <f t="shared" si="16"/>
        <v/>
      </c>
      <c r="AU123" s="139"/>
      <c r="AV123" s="113"/>
      <c r="AW123" s="107" t="str">
        <f t="shared" si="17"/>
        <v/>
      </c>
      <c r="AX123" s="113"/>
      <c r="AY123" s="113"/>
      <c r="AZ123" s="144" t="str">
        <f t="shared" si="18"/>
        <v/>
      </c>
      <c r="BA123" s="80"/>
      <c r="BB123" s="140"/>
      <c r="BC123" s="145" t="str">
        <f t="shared" si="19"/>
        <v/>
      </c>
      <c r="BD123" s="113"/>
      <c r="BE123" s="114"/>
      <c r="BF123" s="146" t="str">
        <f t="shared" si="20"/>
        <v/>
      </c>
      <c r="BG123" s="147" t="s">
        <v>84</v>
      </c>
      <c r="BH123" s="148"/>
      <c r="BI123" s="156"/>
      <c r="BJ123" s="150">
        <f>'Degrémont sortie'!BI123</f>
        <v>0</v>
      </c>
      <c r="BK123" s="151">
        <f>'Degrémont sortie'!BJ123</f>
        <v>0</v>
      </c>
    </row>
    <row r="124" spans="1:63" ht="14.25" outlineLevel="1">
      <c r="A124" s="152">
        <f t="shared" si="13"/>
        <v>43576</v>
      </c>
      <c r="B124" s="207"/>
      <c r="C124" s="208"/>
      <c r="D124" s="210"/>
      <c r="E124" s="211"/>
      <c r="F124" s="80"/>
      <c r="G124" s="127">
        <f t="shared" si="0"/>
        <v>0</v>
      </c>
      <c r="H124" s="128">
        <f t="shared" si="1"/>
        <v>0</v>
      </c>
      <c r="I124" s="129">
        <v>1</v>
      </c>
      <c r="J124" s="80"/>
      <c r="K124" s="79">
        <f t="shared" si="2"/>
        <v>0</v>
      </c>
      <c r="L124" s="128">
        <f t="shared" si="3"/>
        <v>0</v>
      </c>
      <c r="M124" s="130">
        <v>1</v>
      </c>
      <c r="N124" s="80"/>
      <c r="O124" s="80" t="str">
        <f t="shared" si="4"/>
        <v/>
      </c>
      <c r="P124" s="81">
        <f t="shared" si="5"/>
        <v>0</v>
      </c>
      <c r="Q124" s="213"/>
      <c r="R124" s="113"/>
      <c r="S124" s="127" t="str">
        <f t="shared" si="6"/>
        <v/>
      </c>
      <c r="T124" s="128">
        <f t="shared" si="7"/>
        <v>0</v>
      </c>
      <c r="U124" s="113"/>
      <c r="V124" s="81">
        <f t="shared" si="14"/>
        <v>0</v>
      </c>
      <c r="W124" s="132"/>
      <c r="X124" s="153"/>
      <c r="Y124" s="94"/>
      <c r="Z124" s="132"/>
      <c r="AA124" s="153"/>
      <c r="AB124" s="94"/>
      <c r="AC124" s="133"/>
      <c r="AD124" s="93" t="str">
        <f t="shared" si="8"/>
        <v/>
      </c>
      <c r="AE124" s="94" t="str">
        <f t="shared" si="9"/>
        <v/>
      </c>
      <c r="AF124" s="139"/>
      <c r="AG124" s="215"/>
      <c r="AH124" s="136" t="str">
        <f t="shared" si="10"/>
        <v/>
      </c>
      <c r="AI124" s="80"/>
      <c r="AJ124" s="154"/>
      <c r="AK124" s="100" t="str">
        <f t="shared" si="21"/>
        <v/>
      </c>
      <c r="AL124" s="138"/>
      <c r="AM124" s="113"/>
      <c r="AN124" s="103" t="str">
        <f t="shared" si="12"/>
        <v/>
      </c>
      <c r="AO124" s="139"/>
      <c r="AP124" s="140"/>
      <c r="AQ124" s="141" t="str">
        <f t="shared" si="15"/>
        <v/>
      </c>
      <c r="AR124" s="142"/>
      <c r="AS124" s="140"/>
      <c r="AT124" s="143" t="str">
        <f t="shared" si="16"/>
        <v/>
      </c>
      <c r="AU124" s="139"/>
      <c r="AV124" s="113"/>
      <c r="AW124" s="107" t="str">
        <f t="shared" si="17"/>
        <v/>
      </c>
      <c r="AX124" s="113"/>
      <c r="AY124" s="113"/>
      <c r="AZ124" s="144" t="str">
        <f t="shared" si="18"/>
        <v/>
      </c>
      <c r="BA124" s="80"/>
      <c r="BB124" s="140"/>
      <c r="BC124" s="145" t="str">
        <f t="shared" si="19"/>
        <v/>
      </c>
      <c r="BD124" s="113"/>
      <c r="BE124" s="114"/>
      <c r="BF124" s="146" t="str">
        <f t="shared" si="20"/>
        <v/>
      </c>
      <c r="BG124" s="147" t="s">
        <v>84</v>
      </c>
      <c r="BH124" s="148"/>
      <c r="BI124" s="156"/>
      <c r="BJ124" s="150">
        <f>'Degrémont sortie'!BI124</f>
        <v>0</v>
      </c>
      <c r="BK124" s="151">
        <f>'Degrémont sortie'!BJ124</f>
        <v>0</v>
      </c>
    </row>
    <row r="125" spans="1:63" ht="14.25" outlineLevel="1">
      <c r="A125" s="121">
        <f t="shared" si="13"/>
        <v>43577</v>
      </c>
      <c r="B125" s="207"/>
      <c r="C125" s="208"/>
      <c r="D125" s="210"/>
      <c r="E125" s="211"/>
      <c r="F125" s="80"/>
      <c r="G125" s="127">
        <f t="shared" si="0"/>
        <v>0</v>
      </c>
      <c r="H125" s="128">
        <f t="shared" si="1"/>
        <v>0</v>
      </c>
      <c r="I125" s="129">
        <v>1</v>
      </c>
      <c r="J125" s="80"/>
      <c r="K125" s="79">
        <f t="shared" si="2"/>
        <v>0</v>
      </c>
      <c r="L125" s="128">
        <f t="shared" si="3"/>
        <v>0</v>
      </c>
      <c r="M125" s="130">
        <v>1</v>
      </c>
      <c r="N125" s="80"/>
      <c r="O125" s="80" t="str">
        <f t="shared" si="4"/>
        <v/>
      </c>
      <c r="P125" s="81">
        <f t="shared" si="5"/>
        <v>0</v>
      </c>
      <c r="Q125" s="213"/>
      <c r="R125" s="113"/>
      <c r="S125" s="127" t="str">
        <f t="shared" si="6"/>
        <v/>
      </c>
      <c r="T125" s="128">
        <f t="shared" si="7"/>
        <v>0</v>
      </c>
      <c r="U125" s="113"/>
      <c r="V125" s="81">
        <f t="shared" si="14"/>
        <v>0</v>
      </c>
      <c r="W125" s="132"/>
      <c r="X125" s="153"/>
      <c r="Y125" s="94"/>
      <c r="Z125" s="132"/>
      <c r="AA125" s="153"/>
      <c r="AB125" s="94"/>
      <c r="AC125" s="133"/>
      <c r="AD125" s="93" t="str">
        <f t="shared" si="8"/>
        <v/>
      </c>
      <c r="AE125" s="94" t="str">
        <f t="shared" si="9"/>
        <v/>
      </c>
      <c r="AF125" s="139"/>
      <c r="AG125" s="215"/>
      <c r="AH125" s="136" t="str">
        <f t="shared" si="10"/>
        <v/>
      </c>
      <c r="AI125" s="80"/>
      <c r="AJ125" s="154"/>
      <c r="AK125" s="100" t="str">
        <f t="shared" si="21"/>
        <v/>
      </c>
      <c r="AL125" s="138"/>
      <c r="AM125" s="113"/>
      <c r="AN125" s="103" t="str">
        <f t="shared" si="12"/>
        <v/>
      </c>
      <c r="AO125" s="139"/>
      <c r="AP125" s="140"/>
      <c r="AQ125" s="141" t="str">
        <f t="shared" si="15"/>
        <v/>
      </c>
      <c r="AR125" s="142"/>
      <c r="AS125" s="140"/>
      <c r="AT125" s="143" t="str">
        <f t="shared" si="16"/>
        <v/>
      </c>
      <c r="AU125" s="139"/>
      <c r="AV125" s="113"/>
      <c r="AW125" s="107" t="str">
        <f t="shared" si="17"/>
        <v/>
      </c>
      <c r="AX125" s="113"/>
      <c r="AY125" s="113"/>
      <c r="AZ125" s="144" t="str">
        <f t="shared" si="18"/>
        <v/>
      </c>
      <c r="BA125" s="80"/>
      <c r="BB125" s="140"/>
      <c r="BC125" s="145" t="str">
        <f t="shared" si="19"/>
        <v/>
      </c>
      <c r="BD125" s="113"/>
      <c r="BE125" s="114"/>
      <c r="BF125" s="146" t="str">
        <f t="shared" si="20"/>
        <v/>
      </c>
      <c r="BG125" s="147" t="s">
        <v>84</v>
      </c>
      <c r="BH125" s="148"/>
      <c r="BI125" s="156"/>
      <c r="BJ125" s="150">
        <f>'Degrémont sortie'!BI125</f>
        <v>0</v>
      </c>
      <c r="BK125" s="151">
        <f>'Degrémont sortie'!BJ125</f>
        <v>0</v>
      </c>
    </row>
    <row r="126" spans="1:63" ht="14.25" outlineLevel="1">
      <c r="A126" s="152">
        <f t="shared" si="13"/>
        <v>43578</v>
      </c>
      <c r="B126" s="122">
        <v>614</v>
      </c>
      <c r="C126" s="123">
        <v>7.4</v>
      </c>
      <c r="D126" s="124">
        <v>89.1</v>
      </c>
      <c r="E126" s="125">
        <v>499.8</v>
      </c>
      <c r="F126" s="126">
        <v>32</v>
      </c>
      <c r="G126" s="127">
        <f t="shared" si="0"/>
        <v>12834.375000000002</v>
      </c>
      <c r="H126" s="128">
        <f t="shared" si="1"/>
        <v>7880.3062500000005</v>
      </c>
      <c r="I126" s="129">
        <v>20</v>
      </c>
      <c r="J126" s="126">
        <v>1064</v>
      </c>
      <c r="K126" s="79">
        <f t="shared" si="2"/>
        <v>21280</v>
      </c>
      <c r="L126" s="128">
        <f t="shared" si="3"/>
        <v>13065.92</v>
      </c>
      <c r="M126" s="130">
        <v>1</v>
      </c>
      <c r="N126" s="126">
        <v>1884</v>
      </c>
      <c r="O126" s="80">
        <f t="shared" si="4"/>
        <v>1884</v>
      </c>
      <c r="P126" s="81">
        <f t="shared" si="5"/>
        <v>1156.7760000000001</v>
      </c>
      <c r="Q126" s="129">
        <v>20</v>
      </c>
      <c r="R126" s="131">
        <v>23.7</v>
      </c>
      <c r="S126" s="127">
        <f t="shared" si="6"/>
        <v>474</v>
      </c>
      <c r="T126" s="128">
        <f t="shared" si="7"/>
        <v>291.036</v>
      </c>
      <c r="U126" s="131">
        <v>110</v>
      </c>
      <c r="V126" s="81">
        <f t="shared" si="14"/>
        <v>67.540000000000006</v>
      </c>
      <c r="W126" s="132"/>
      <c r="X126" s="153"/>
      <c r="Y126" s="94"/>
      <c r="Z126" s="132"/>
      <c r="AA126" s="153"/>
      <c r="AB126" s="94"/>
      <c r="AC126" s="133"/>
      <c r="AD126" s="93" t="str">
        <f t="shared" si="8"/>
        <v/>
      </c>
      <c r="AE126" s="94" t="e">
        <f t="shared" si="9"/>
        <v>#VALUE!</v>
      </c>
      <c r="AF126" s="134" t="s">
        <v>85</v>
      </c>
      <c r="AG126" s="135">
        <v>0.01</v>
      </c>
      <c r="AH126" s="136">
        <f t="shared" si="10"/>
        <v>3.0700000000000002E-3</v>
      </c>
      <c r="AI126" s="80"/>
      <c r="AJ126" s="154"/>
      <c r="AK126" s="100" t="str">
        <f t="shared" si="21"/>
        <v/>
      </c>
      <c r="AL126" s="138"/>
      <c r="AM126" s="131">
        <v>100</v>
      </c>
      <c r="AN126" s="103">
        <f t="shared" si="12"/>
        <v>522.6</v>
      </c>
      <c r="AO126" s="139"/>
      <c r="AP126" s="155">
        <v>175.2</v>
      </c>
      <c r="AQ126" s="141">
        <f t="shared" si="15"/>
        <v>915.59519999999998</v>
      </c>
      <c r="AR126" s="142"/>
      <c r="AS126" s="155">
        <v>0.8</v>
      </c>
      <c r="AT126" s="143">
        <f t="shared" si="16"/>
        <v>4.1808000000000005</v>
      </c>
      <c r="AU126" s="139"/>
      <c r="AV126" s="131">
        <v>30.17</v>
      </c>
      <c r="AW126" s="107">
        <f t="shared" si="17"/>
        <v>157.66842</v>
      </c>
      <c r="AX126" s="113"/>
      <c r="AY126" s="131">
        <v>273.27</v>
      </c>
      <c r="AZ126" s="144">
        <f t="shared" si="18"/>
        <v>1428.1090199999999</v>
      </c>
      <c r="BA126" s="126" t="s">
        <v>85</v>
      </c>
      <c r="BB126" s="155">
        <v>0.15</v>
      </c>
      <c r="BC126" s="145">
        <f t="shared" si="19"/>
        <v>0.39194999999999997</v>
      </c>
      <c r="BD126" s="131" t="s">
        <v>85</v>
      </c>
      <c r="BE126" s="158">
        <v>0.13</v>
      </c>
      <c r="BF126" s="146">
        <f t="shared" si="20"/>
        <v>0.33968999999999999</v>
      </c>
      <c r="BG126" s="147" t="s">
        <v>84</v>
      </c>
      <c r="BH126" s="148"/>
      <c r="BI126" s="156"/>
      <c r="BJ126" s="150">
        <f>'Degrémont sortie'!BI126</f>
        <v>0</v>
      </c>
      <c r="BK126" s="151">
        <f>'Degrémont sortie'!BJ126</f>
        <v>0</v>
      </c>
    </row>
    <row r="127" spans="1:63" ht="14.25" outlineLevel="1">
      <c r="A127" s="121">
        <f t="shared" si="13"/>
        <v>43579</v>
      </c>
      <c r="B127" s="122">
        <v>864</v>
      </c>
      <c r="C127" s="123">
        <v>7.7</v>
      </c>
      <c r="D127" s="124">
        <v>90.3</v>
      </c>
      <c r="E127" s="125">
        <v>292.2</v>
      </c>
      <c r="F127" s="126">
        <v>30</v>
      </c>
      <c r="G127" s="127">
        <f t="shared" si="0"/>
        <v>6729.9999999999991</v>
      </c>
      <c r="H127" s="128">
        <f t="shared" si="1"/>
        <v>5814.7199999999993</v>
      </c>
      <c r="I127" s="129">
        <v>1</v>
      </c>
      <c r="J127" s="126">
        <v>10970</v>
      </c>
      <c r="K127" s="79">
        <f t="shared" si="2"/>
        <v>10970</v>
      </c>
      <c r="L127" s="128">
        <f t="shared" si="3"/>
        <v>9478.08</v>
      </c>
      <c r="M127" s="130">
        <v>1</v>
      </c>
      <c r="N127" s="126">
        <v>1173</v>
      </c>
      <c r="O127" s="80">
        <f t="shared" si="4"/>
        <v>1173</v>
      </c>
      <c r="P127" s="81">
        <f t="shared" si="5"/>
        <v>1013.472</v>
      </c>
      <c r="Q127" s="129">
        <v>20</v>
      </c>
      <c r="R127" s="131">
        <v>16</v>
      </c>
      <c r="S127" s="127">
        <f t="shared" si="6"/>
        <v>320</v>
      </c>
      <c r="T127" s="128">
        <f t="shared" si="7"/>
        <v>276.48</v>
      </c>
      <c r="U127" s="113"/>
      <c r="V127" s="81">
        <f t="shared" si="14"/>
        <v>0</v>
      </c>
      <c r="W127" s="132"/>
      <c r="X127" s="153"/>
      <c r="Y127" s="94"/>
      <c r="Z127" s="132"/>
      <c r="AA127" s="153"/>
      <c r="AB127" s="94"/>
      <c r="AC127" s="133"/>
      <c r="AD127" s="93" t="str">
        <f t="shared" si="8"/>
        <v/>
      </c>
      <c r="AE127" s="94" t="e">
        <f t="shared" si="9"/>
        <v>#VALUE!</v>
      </c>
      <c r="AF127" s="134" t="s">
        <v>85</v>
      </c>
      <c r="AG127" s="135">
        <v>0.01</v>
      </c>
      <c r="AH127" s="136">
        <f t="shared" si="10"/>
        <v>4.3200000000000001E-3</v>
      </c>
      <c r="AI127" s="80"/>
      <c r="AJ127" s="154"/>
      <c r="AK127" s="100" t="str">
        <f t="shared" si="21"/>
        <v/>
      </c>
      <c r="AL127" s="138"/>
      <c r="AM127" s="113"/>
      <c r="AN127" s="103" t="str">
        <f t="shared" si="12"/>
        <v/>
      </c>
      <c r="AO127" s="139"/>
      <c r="AP127" s="140"/>
      <c r="AQ127" s="141" t="str">
        <f t="shared" si="15"/>
        <v/>
      </c>
      <c r="AR127" s="142"/>
      <c r="AS127" s="140"/>
      <c r="AT127" s="143" t="str">
        <f t="shared" si="16"/>
        <v/>
      </c>
      <c r="AU127" s="139"/>
      <c r="AV127" s="113"/>
      <c r="AW127" s="107" t="str">
        <f t="shared" si="17"/>
        <v/>
      </c>
      <c r="AX127" s="113"/>
      <c r="AY127" s="113"/>
      <c r="AZ127" s="144" t="str">
        <f t="shared" si="18"/>
        <v/>
      </c>
      <c r="BA127" s="80"/>
      <c r="BB127" s="140"/>
      <c r="BC127" s="145" t="str">
        <f t="shared" si="19"/>
        <v/>
      </c>
      <c r="BD127" s="113"/>
      <c r="BE127" s="114"/>
      <c r="BF127" s="146" t="str">
        <f t="shared" si="20"/>
        <v/>
      </c>
      <c r="BG127" s="147" t="s">
        <v>84</v>
      </c>
      <c r="BH127" s="148"/>
      <c r="BI127" s="156"/>
      <c r="BJ127" s="150">
        <f>'Degrémont sortie'!BI127</f>
        <v>0</v>
      </c>
      <c r="BK127" s="151">
        <f>'Degrémont sortie'!BJ127</f>
        <v>0</v>
      </c>
    </row>
    <row r="128" spans="1:63" ht="14.25" outlineLevel="1">
      <c r="A128" s="152">
        <f t="shared" si="13"/>
        <v>43580</v>
      </c>
      <c r="B128" s="122">
        <v>788</v>
      </c>
      <c r="C128" s="123">
        <v>8</v>
      </c>
      <c r="D128" s="124">
        <v>88.1</v>
      </c>
      <c r="E128" s="125">
        <v>463.3</v>
      </c>
      <c r="F128" s="126">
        <v>28</v>
      </c>
      <c r="G128" s="127">
        <f t="shared" si="0"/>
        <v>13400.000000000002</v>
      </c>
      <c r="H128" s="128">
        <f t="shared" si="1"/>
        <v>10559.200000000003</v>
      </c>
      <c r="I128" s="129">
        <v>1</v>
      </c>
      <c r="J128" s="126">
        <v>18800</v>
      </c>
      <c r="K128" s="79">
        <f t="shared" si="2"/>
        <v>18800</v>
      </c>
      <c r="L128" s="128">
        <f t="shared" si="3"/>
        <v>14814.4</v>
      </c>
      <c r="M128" s="130">
        <v>1</v>
      </c>
      <c r="N128" s="126">
        <v>906</v>
      </c>
      <c r="O128" s="80">
        <f t="shared" si="4"/>
        <v>906</v>
      </c>
      <c r="P128" s="81">
        <f t="shared" si="5"/>
        <v>713.928</v>
      </c>
      <c r="Q128" s="129">
        <v>20</v>
      </c>
      <c r="R128" s="131">
        <v>23.7</v>
      </c>
      <c r="S128" s="127">
        <f t="shared" si="6"/>
        <v>474</v>
      </c>
      <c r="T128" s="128">
        <f t="shared" si="7"/>
        <v>373.512</v>
      </c>
      <c r="U128" s="113"/>
      <c r="V128" s="81">
        <f t="shared" si="14"/>
        <v>0</v>
      </c>
      <c r="W128" s="132"/>
      <c r="X128" s="153"/>
      <c r="Y128" s="94"/>
      <c r="Z128" s="132"/>
      <c r="AA128" s="153"/>
      <c r="AB128" s="94"/>
      <c r="AC128" s="133"/>
      <c r="AD128" s="93" t="str">
        <f t="shared" si="8"/>
        <v/>
      </c>
      <c r="AE128" s="94" t="e">
        <f t="shared" si="9"/>
        <v>#VALUE!</v>
      </c>
      <c r="AF128" s="134" t="s">
        <v>85</v>
      </c>
      <c r="AG128" s="135">
        <v>0.01</v>
      </c>
      <c r="AH128" s="136">
        <f t="shared" si="10"/>
        <v>3.9399999999999999E-3</v>
      </c>
      <c r="AI128" s="80"/>
      <c r="AJ128" s="154"/>
      <c r="AK128" s="100" t="str">
        <f t="shared" si="21"/>
        <v/>
      </c>
      <c r="AL128" s="138"/>
      <c r="AM128" s="113"/>
      <c r="AN128" s="103" t="str">
        <f t="shared" si="12"/>
        <v/>
      </c>
      <c r="AO128" s="139"/>
      <c r="AP128" s="140"/>
      <c r="AQ128" s="141" t="str">
        <f t="shared" si="15"/>
        <v/>
      </c>
      <c r="AR128" s="142"/>
      <c r="AS128" s="140"/>
      <c r="AT128" s="143" t="str">
        <f t="shared" si="16"/>
        <v/>
      </c>
      <c r="AU128" s="139"/>
      <c r="AV128" s="113"/>
      <c r="AW128" s="107" t="str">
        <f t="shared" si="17"/>
        <v/>
      </c>
      <c r="AX128" s="113"/>
      <c r="AY128" s="113"/>
      <c r="AZ128" s="144" t="str">
        <f t="shared" si="18"/>
        <v/>
      </c>
      <c r="BA128" s="80"/>
      <c r="BB128" s="140"/>
      <c r="BC128" s="145" t="str">
        <f t="shared" si="19"/>
        <v/>
      </c>
      <c r="BD128" s="113"/>
      <c r="BE128" s="114"/>
      <c r="BF128" s="146" t="str">
        <f t="shared" si="20"/>
        <v/>
      </c>
      <c r="BG128" s="147" t="s">
        <v>84</v>
      </c>
      <c r="BH128" s="148"/>
      <c r="BI128" s="156"/>
      <c r="BJ128" s="150">
        <f>'Degrémont sortie'!BI128</f>
        <v>0</v>
      </c>
      <c r="BK128" s="151">
        <f>'Degrémont sortie'!BJ128</f>
        <v>0</v>
      </c>
    </row>
    <row r="129" spans="1:63" ht="15.75" customHeight="1" outlineLevel="1">
      <c r="A129" s="121">
        <f t="shared" si="13"/>
        <v>43581</v>
      </c>
      <c r="B129" s="122">
        <v>1089</v>
      </c>
      <c r="C129" s="123">
        <v>7.8</v>
      </c>
      <c r="D129" s="124">
        <v>90.1</v>
      </c>
      <c r="E129" s="125">
        <v>442.8</v>
      </c>
      <c r="F129" s="126">
        <v>26</v>
      </c>
      <c r="G129" s="127">
        <f t="shared" si="0"/>
        <v>13565.384615384617</v>
      </c>
      <c r="H129" s="128">
        <f t="shared" si="1"/>
        <v>14772.703846153849</v>
      </c>
      <c r="I129" s="129">
        <v>1</v>
      </c>
      <c r="J129" s="126">
        <v>18100</v>
      </c>
      <c r="K129" s="79">
        <f t="shared" si="2"/>
        <v>18100</v>
      </c>
      <c r="L129" s="128">
        <f t="shared" si="3"/>
        <v>19710.900000000001</v>
      </c>
      <c r="M129" s="130">
        <v>1</v>
      </c>
      <c r="N129" s="126">
        <v>907</v>
      </c>
      <c r="O129" s="80">
        <f t="shared" si="4"/>
        <v>907</v>
      </c>
      <c r="P129" s="81">
        <f t="shared" si="5"/>
        <v>987.72299999999996</v>
      </c>
      <c r="Q129" s="129">
        <v>20</v>
      </c>
      <c r="R129" s="131">
        <v>21.9</v>
      </c>
      <c r="S129" s="127">
        <f t="shared" si="6"/>
        <v>438</v>
      </c>
      <c r="T129" s="128">
        <f t="shared" si="7"/>
        <v>476.98200000000003</v>
      </c>
      <c r="U129" s="113"/>
      <c r="V129" s="81">
        <f t="shared" si="14"/>
        <v>0</v>
      </c>
      <c r="W129" s="132"/>
      <c r="X129" s="153"/>
      <c r="Y129" s="94"/>
      <c r="Z129" s="132"/>
      <c r="AA129" s="153"/>
      <c r="AB129" s="94"/>
      <c r="AC129" s="133"/>
      <c r="AD129" s="93" t="str">
        <f t="shared" si="8"/>
        <v/>
      </c>
      <c r="AE129" s="94" t="e">
        <f t="shared" si="9"/>
        <v>#VALUE!</v>
      </c>
      <c r="AF129" s="134" t="s">
        <v>85</v>
      </c>
      <c r="AG129" s="135">
        <v>0.01</v>
      </c>
      <c r="AH129" s="136">
        <f t="shared" si="10"/>
        <v>5.4450000000000002E-3</v>
      </c>
      <c r="AI129" s="80"/>
      <c r="AJ129" s="154"/>
      <c r="AK129" s="100" t="str">
        <f t="shared" si="21"/>
        <v/>
      </c>
      <c r="AL129" s="138"/>
      <c r="AM129" s="113"/>
      <c r="AN129" s="103" t="str">
        <f t="shared" si="12"/>
        <v/>
      </c>
      <c r="AO129" s="139"/>
      <c r="AP129" s="140"/>
      <c r="AQ129" s="141" t="str">
        <f t="shared" si="15"/>
        <v/>
      </c>
      <c r="AR129" s="142"/>
      <c r="AS129" s="140"/>
      <c r="AT129" s="143" t="str">
        <f t="shared" si="16"/>
        <v/>
      </c>
      <c r="AU129" s="139"/>
      <c r="AV129" s="113"/>
      <c r="AW129" s="107" t="str">
        <f t="shared" si="17"/>
        <v/>
      </c>
      <c r="AX129" s="113"/>
      <c r="AY129" s="113"/>
      <c r="AZ129" s="144" t="str">
        <f t="shared" si="18"/>
        <v/>
      </c>
      <c r="BA129" s="80"/>
      <c r="BB129" s="140"/>
      <c r="BC129" s="145" t="str">
        <f t="shared" si="19"/>
        <v/>
      </c>
      <c r="BD129" s="113"/>
      <c r="BE129" s="114"/>
      <c r="BF129" s="146" t="str">
        <f t="shared" si="20"/>
        <v/>
      </c>
      <c r="BG129" s="147" t="s">
        <v>84</v>
      </c>
      <c r="BH129" s="148"/>
      <c r="BI129" s="156"/>
      <c r="BJ129" s="150">
        <f>'Degrémont sortie'!BI129</f>
        <v>0</v>
      </c>
      <c r="BK129" s="151">
        <f>'Degrémont sortie'!BJ129</f>
        <v>0</v>
      </c>
    </row>
    <row r="130" spans="1:63" ht="15.75" customHeight="1" outlineLevel="1">
      <c r="A130" s="152">
        <f t="shared" si="13"/>
        <v>43582</v>
      </c>
      <c r="B130" s="122">
        <v>931</v>
      </c>
      <c r="C130" s="123">
        <v>7.7</v>
      </c>
      <c r="D130" s="124">
        <v>91.2</v>
      </c>
      <c r="E130" s="125">
        <v>326.5</v>
      </c>
      <c r="F130" s="126">
        <v>27</v>
      </c>
      <c r="G130" s="127">
        <f t="shared" si="0"/>
        <v>8714.8148148148157</v>
      </c>
      <c r="H130" s="128">
        <f t="shared" si="1"/>
        <v>8113.4925925925936</v>
      </c>
      <c r="I130" s="129">
        <v>1</v>
      </c>
      <c r="J130" s="126">
        <v>12200</v>
      </c>
      <c r="K130" s="79">
        <f t="shared" si="2"/>
        <v>12200</v>
      </c>
      <c r="L130" s="128">
        <f t="shared" si="3"/>
        <v>11358.2</v>
      </c>
      <c r="M130" s="130">
        <v>1</v>
      </c>
      <c r="N130" s="126">
        <v>762</v>
      </c>
      <c r="O130" s="80">
        <f t="shared" si="4"/>
        <v>762</v>
      </c>
      <c r="P130" s="81">
        <f t="shared" si="5"/>
        <v>709.42200000000003</v>
      </c>
      <c r="Q130" s="129">
        <v>20</v>
      </c>
      <c r="R130" s="131">
        <v>18.3</v>
      </c>
      <c r="S130" s="127">
        <f t="shared" si="6"/>
        <v>366</v>
      </c>
      <c r="T130" s="128">
        <f t="shared" si="7"/>
        <v>340.74599999999998</v>
      </c>
      <c r="U130" s="113"/>
      <c r="V130" s="81">
        <f t="shared" si="14"/>
        <v>0</v>
      </c>
      <c r="W130" s="132"/>
      <c r="X130" s="153"/>
      <c r="Y130" s="94"/>
      <c r="Z130" s="132"/>
      <c r="AA130" s="153"/>
      <c r="AB130" s="94"/>
      <c r="AC130" s="133"/>
      <c r="AD130" s="93" t="str">
        <f t="shared" si="8"/>
        <v/>
      </c>
      <c r="AE130" s="94" t="e">
        <f t="shared" si="9"/>
        <v>#VALUE!</v>
      </c>
      <c r="AF130" s="134" t="s">
        <v>85</v>
      </c>
      <c r="AG130" s="135">
        <v>0.01</v>
      </c>
      <c r="AH130" s="136">
        <f t="shared" si="10"/>
        <v>4.6550000000000003E-3</v>
      </c>
      <c r="AI130" s="80"/>
      <c r="AJ130" s="154"/>
      <c r="AK130" s="100" t="str">
        <f t="shared" si="21"/>
        <v/>
      </c>
      <c r="AL130" s="138"/>
      <c r="AM130" s="113"/>
      <c r="AN130" s="103" t="str">
        <f t="shared" si="12"/>
        <v/>
      </c>
      <c r="AO130" s="139"/>
      <c r="AP130" s="140"/>
      <c r="AQ130" s="141" t="str">
        <f t="shared" si="15"/>
        <v/>
      </c>
      <c r="AR130" s="142"/>
      <c r="AS130" s="140"/>
      <c r="AT130" s="143" t="str">
        <f t="shared" si="16"/>
        <v/>
      </c>
      <c r="AU130" s="139"/>
      <c r="AV130" s="113"/>
      <c r="AW130" s="107" t="str">
        <f t="shared" si="17"/>
        <v/>
      </c>
      <c r="AX130" s="113"/>
      <c r="AY130" s="113"/>
      <c r="AZ130" s="144" t="str">
        <f t="shared" si="18"/>
        <v/>
      </c>
      <c r="BA130" s="80"/>
      <c r="BB130" s="140"/>
      <c r="BC130" s="145" t="str">
        <f t="shared" si="19"/>
        <v/>
      </c>
      <c r="BD130" s="113"/>
      <c r="BE130" s="114"/>
      <c r="BF130" s="146" t="str">
        <f t="shared" si="20"/>
        <v/>
      </c>
      <c r="BG130" s="147" t="s">
        <v>84</v>
      </c>
      <c r="BH130" s="148"/>
      <c r="BI130" s="156"/>
      <c r="BJ130" s="150">
        <f>'Degrémont sortie'!BI130</f>
        <v>0</v>
      </c>
      <c r="BK130" s="151">
        <f>'Degrémont sortie'!BJ130</f>
        <v>0</v>
      </c>
    </row>
    <row r="131" spans="1:63" ht="15.75" customHeight="1" outlineLevel="1">
      <c r="A131" s="121">
        <f t="shared" si="13"/>
        <v>43583</v>
      </c>
      <c r="B131" s="207"/>
      <c r="C131" s="208"/>
      <c r="D131" s="210"/>
      <c r="E131" s="211"/>
      <c r="F131" s="80"/>
      <c r="G131" s="127">
        <f t="shared" si="0"/>
        <v>0</v>
      </c>
      <c r="H131" s="128">
        <f t="shared" si="1"/>
        <v>0</v>
      </c>
      <c r="I131" s="129">
        <v>1</v>
      </c>
      <c r="J131" s="80"/>
      <c r="K131" s="79">
        <f t="shared" si="2"/>
        <v>0</v>
      </c>
      <c r="L131" s="128">
        <f t="shared" si="3"/>
        <v>0</v>
      </c>
      <c r="M131" s="130">
        <v>1</v>
      </c>
      <c r="N131" s="80"/>
      <c r="O131" s="80" t="str">
        <f t="shared" si="4"/>
        <v/>
      </c>
      <c r="P131" s="81">
        <f t="shared" si="5"/>
        <v>0</v>
      </c>
      <c r="Q131" s="213"/>
      <c r="R131" s="113"/>
      <c r="S131" s="127" t="str">
        <f t="shared" si="6"/>
        <v/>
      </c>
      <c r="T131" s="128">
        <f t="shared" si="7"/>
        <v>0</v>
      </c>
      <c r="U131" s="113"/>
      <c r="V131" s="81">
        <f t="shared" si="14"/>
        <v>0</v>
      </c>
      <c r="W131" s="132"/>
      <c r="X131" s="153"/>
      <c r="Y131" s="94"/>
      <c r="Z131" s="132"/>
      <c r="AA131" s="153"/>
      <c r="AB131" s="94"/>
      <c r="AC131" s="133"/>
      <c r="AD131" s="93" t="str">
        <f t="shared" si="8"/>
        <v/>
      </c>
      <c r="AE131" s="94" t="str">
        <f t="shared" si="9"/>
        <v/>
      </c>
      <c r="AF131" s="139"/>
      <c r="AG131" s="215"/>
      <c r="AH131" s="136" t="str">
        <f t="shared" si="10"/>
        <v/>
      </c>
      <c r="AI131" s="80"/>
      <c r="AJ131" s="154"/>
      <c r="AK131" s="100" t="str">
        <f t="shared" si="21"/>
        <v/>
      </c>
      <c r="AL131" s="138"/>
      <c r="AM131" s="113"/>
      <c r="AN131" s="103" t="str">
        <f t="shared" si="12"/>
        <v/>
      </c>
      <c r="AO131" s="139"/>
      <c r="AP131" s="140"/>
      <c r="AQ131" s="141" t="str">
        <f t="shared" si="15"/>
        <v/>
      </c>
      <c r="AR131" s="142"/>
      <c r="AS131" s="140"/>
      <c r="AT131" s="143" t="str">
        <f t="shared" si="16"/>
        <v/>
      </c>
      <c r="AU131" s="139"/>
      <c r="AV131" s="113"/>
      <c r="AW131" s="107" t="str">
        <f t="shared" si="17"/>
        <v/>
      </c>
      <c r="AX131" s="113"/>
      <c r="AY131" s="113"/>
      <c r="AZ131" s="144" t="str">
        <f t="shared" si="18"/>
        <v/>
      </c>
      <c r="BA131" s="80"/>
      <c r="BB131" s="140"/>
      <c r="BC131" s="145" t="str">
        <f t="shared" si="19"/>
        <v/>
      </c>
      <c r="BD131" s="113"/>
      <c r="BE131" s="114"/>
      <c r="BF131" s="146" t="str">
        <f t="shared" si="20"/>
        <v/>
      </c>
      <c r="BG131" s="147" t="s">
        <v>84</v>
      </c>
      <c r="BH131" s="148"/>
      <c r="BI131" s="156"/>
      <c r="BJ131" s="150">
        <f>'Degrémont sortie'!BI131</f>
        <v>0</v>
      </c>
      <c r="BK131" s="151">
        <f>'Degrémont sortie'!BJ131</f>
        <v>0</v>
      </c>
    </row>
    <row r="132" spans="1:63" ht="15.75" customHeight="1" outlineLevel="1">
      <c r="A132" s="152">
        <f t="shared" si="13"/>
        <v>43584</v>
      </c>
      <c r="B132" s="122">
        <v>677</v>
      </c>
      <c r="C132" s="123">
        <v>7.7</v>
      </c>
      <c r="D132" s="124">
        <v>89.3</v>
      </c>
      <c r="E132" s="125">
        <v>923</v>
      </c>
      <c r="F132" s="126">
        <v>29</v>
      </c>
      <c r="G132" s="127">
        <f t="shared" si="0"/>
        <v>28748.275862068964</v>
      </c>
      <c r="H132" s="128">
        <f t="shared" si="1"/>
        <v>19462.582758620687</v>
      </c>
      <c r="I132" s="129">
        <v>1</v>
      </c>
      <c r="J132" s="126">
        <v>33000</v>
      </c>
      <c r="K132" s="79">
        <f t="shared" si="2"/>
        <v>33000</v>
      </c>
      <c r="L132" s="128">
        <f t="shared" si="3"/>
        <v>22341</v>
      </c>
      <c r="M132" s="130">
        <v>1</v>
      </c>
      <c r="N132" s="126">
        <v>1150</v>
      </c>
      <c r="O132" s="80">
        <f t="shared" si="4"/>
        <v>1150</v>
      </c>
      <c r="P132" s="81">
        <f t="shared" si="5"/>
        <v>778.55</v>
      </c>
      <c r="Q132" s="129">
        <v>50</v>
      </c>
      <c r="R132" s="131">
        <v>22.7</v>
      </c>
      <c r="S132" s="127">
        <f t="shared" si="6"/>
        <v>1135</v>
      </c>
      <c r="T132" s="128">
        <f t="shared" si="7"/>
        <v>768.39499999999998</v>
      </c>
      <c r="U132" s="113"/>
      <c r="V132" s="81">
        <f t="shared" si="14"/>
        <v>0</v>
      </c>
      <c r="W132" s="132"/>
      <c r="X132" s="153"/>
      <c r="Y132" s="94"/>
      <c r="Z132" s="132"/>
      <c r="AA132" s="153"/>
      <c r="AB132" s="94"/>
      <c r="AC132" s="133"/>
      <c r="AD132" s="93" t="str">
        <f t="shared" si="8"/>
        <v/>
      </c>
      <c r="AE132" s="94" t="e">
        <f t="shared" si="9"/>
        <v>#VALUE!</v>
      </c>
      <c r="AF132" s="134" t="s">
        <v>85</v>
      </c>
      <c r="AG132" s="135">
        <v>0.01</v>
      </c>
      <c r="AH132" s="136">
        <f t="shared" si="10"/>
        <v>3.3850000000000004E-3</v>
      </c>
      <c r="AI132" s="80"/>
      <c r="AJ132" s="154"/>
      <c r="AK132" s="100" t="str">
        <f t="shared" si="21"/>
        <v/>
      </c>
      <c r="AL132" s="138"/>
      <c r="AM132" s="113"/>
      <c r="AN132" s="103" t="str">
        <f t="shared" si="12"/>
        <v/>
      </c>
      <c r="AO132" s="139"/>
      <c r="AP132" s="140"/>
      <c r="AQ132" s="141" t="str">
        <f t="shared" si="15"/>
        <v/>
      </c>
      <c r="AR132" s="142"/>
      <c r="AS132" s="140"/>
      <c r="AT132" s="143" t="str">
        <f t="shared" si="16"/>
        <v/>
      </c>
      <c r="AU132" s="139"/>
      <c r="AV132" s="113"/>
      <c r="AW132" s="107" t="str">
        <f t="shared" si="17"/>
        <v/>
      </c>
      <c r="AX132" s="113"/>
      <c r="AY132" s="113"/>
      <c r="AZ132" s="144" t="str">
        <f t="shared" si="18"/>
        <v/>
      </c>
      <c r="BA132" s="80"/>
      <c r="BB132" s="140"/>
      <c r="BC132" s="145" t="str">
        <f t="shared" si="19"/>
        <v/>
      </c>
      <c r="BD132" s="113"/>
      <c r="BE132" s="114"/>
      <c r="BF132" s="146" t="str">
        <f t="shared" si="20"/>
        <v/>
      </c>
      <c r="BG132" s="147" t="s">
        <v>84</v>
      </c>
      <c r="BH132" s="148"/>
      <c r="BI132" s="149" t="s">
        <v>187</v>
      </c>
      <c r="BJ132" s="150">
        <f>'Degrémont sortie'!BI132</f>
        <v>0</v>
      </c>
      <c r="BK132" s="151">
        <f>'Degrémont sortie'!BJ132</f>
        <v>0</v>
      </c>
    </row>
    <row r="133" spans="1:63" ht="15.75" customHeight="1" outlineLevel="1">
      <c r="A133" s="121">
        <f t="shared" si="13"/>
        <v>43585</v>
      </c>
      <c r="B133" s="122">
        <v>1287</v>
      </c>
      <c r="C133" s="123">
        <v>7.85</v>
      </c>
      <c r="D133" s="124">
        <v>87.6</v>
      </c>
      <c r="E133" s="125">
        <v>300</v>
      </c>
      <c r="F133" s="126">
        <v>38</v>
      </c>
      <c r="G133" s="127">
        <f t="shared" si="0"/>
        <v>5589.4736842105267</v>
      </c>
      <c r="H133" s="128">
        <f t="shared" si="1"/>
        <v>7193.652631578947</v>
      </c>
      <c r="I133" s="129">
        <v>1</v>
      </c>
      <c r="J133" s="126">
        <v>6055</v>
      </c>
      <c r="K133" s="79">
        <f t="shared" si="2"/>
        <v>6055</v>
      </c>
      <c r="L133" s="128">
        <f t="shared" si="3"/>
        <v>7792.7849999999999</v>
      </c>
      <c r="M133" s="130">
        <v>1</v>
      </c>
      <c r="N133" s="126">
        <v>761</v>
      </c>
      <c r="O133" s="80">
        <f t="shared" si="4"/>
        <v>761</v>
      </c>
      <c r="P133" s="81">
        <f t="shared" si="5"/>
        <v>979.40700000000004</v>
      </c>
      <c r="Q133" s="129">
        <v>50</v>
      </c>
      <c r="R133" s="131">
        <v>5.65</v>
      </c>
      <c r="S133" s="127">
        <f t="shared" si="6"/>
        <v>282.5</v>
      </c>
      <c r="T133" s="128">
        <f t="shared" si="7"/>
        <v>363.57749999999999</v>
      </c>
      <c r="U133" s="131">
        <v>166</v>
      </c>
      <c r="V133" s="81">
        <f t="shared" si="14"/>
        <v>213.642</v>
      </c>
      <c r="W133" s="132"/>
      <c r="X133" s="153"/>
      <c r="Y133" s="94"/>
      <c r="Z133" s="132"/>
      <c r="AA133" s="153"/>
      <c r="AB133" s="94"/>
      <c r="AC133" s="133"/>
      <c r="AD133" s="93" t="str">
        <f t="shared" si="8"/>
        <v/>
      </c>
      <c r="AE133" s="94" t="e">
        <f t="shared" si="9"/>
        <v>#VALUE!</v>
      </c>
      <c r="AF133" s="134" t="s">
        <v>85</v>
      </c>
      <c r="AG133" s="135">
        <v>0.01</v>
      </c>
      <c r="AH133" s="136">
        <f t="shared" si="10"/>
        <v>6.4350000000000006E-3</v>
      </c>
      <c r="AI133" s="80"/>
      <c r="AJ133" s="154"/>
      <c r="AK133" s="100" t="str">
        <f t="shared" si="21"/>
        <v/>
      </c>
      <c r="AL133" s="138"/>
      <c r="AM133" s="131">
        <v>220</v>
      </c>
      <c r="AN133" s="103">
        <f t="shared" si="12"/>
        <v>1375</v>
      </c>
      <c r="AO133" s="139"/>
      <c r="AP133" s="155">
        <v>447.6</v>
      </c>
      <c r="AQ133" s="141">
        <f t="shared" si="15"/>
        <v>2797.5</v>
      </c>
      <c r="AR133" s="142"/>
      <c r="AS133" s="155">
        <v>2.36</v>
      </c>
      <c r="AT133" s="143">
        <f t="shared" si="16"/>
        <v>14.75</v>
      </c>
      <c r="AU133" s="139"/>
      <c r="AV133" s="131">
        <v>74.150000000000006</v>
      </c>
      <c r="AW133" s="107">
        <f t="shared" si="17"/>
        <v>463.43750000000006</v>
      </c>
      <c r="AX133" s="113"/>
      <c r="AY133" s="131">
        <v>448.63</v>
      </c>
      <c r="AZ133" s="144">
        <f t="shared" si="18"/>
        <v>2803.9375</v>
      </c>
      <c r="BA133" s="126" t="s">
        <v>85</v>
      </c>
      <c r="BB133" s="155">
        <v>0.15</v>
      </c>
      <c r="BC133" s="145">
        <f t="shared" si="19"/>
        <v>0.46875</v>
      </c>
      <c r="BD133" s="131" t="s">
        <v>85</v>
      </c>
      <c r="BE133" s="158">
        <v>0.13</v>
      </c>
      <c r="BF133" s="146">
        <f t="shared" si="20"/>
        <v>0.40625</v>
      </c>
      <c r="BG133" s="147" t="s">
        <v>84</v>
      </c>
      <c r="BH133" s="148"/>
      <c r="BI133" s="156"/>
      <c r="BJ133" s="150">
        <f>'Degrémont sortie'!BI133</f>
        <v>0</v>
      </c>
      <c r="BK133" s="151">
        <f>'Degrémont sortie'!BJ133</f>
        <v>0</v>
      </c>
    </row>
    <row r="134" spans="1:63" ht="14.25" outlineLevel="1">
      <c r="A134" s="152">
        <f t="shared" si="13"/>
        <v>43586</v>
      </c>
      <c r="B134" s="207"/>
      <c r="C134" s="123">
        <v>8.1999999999999993</v>
      </c>
      <c r="D134" s="124">
        <v>90.2</v>
      </c>
      <c r="E134" s="125">
        <v>418</v>
      </c>
      <c r="F134" s="126">
        <v>22</v>
      </c>
      <c r="G134" s="127">
        <f t="shared" si="0"/>
        <v>14900</v>
      </c>
      <c r="H134" s="128">
        <f t="shared" si="1"/>
        <v>0</v>
      </c>
      <c r="I134" s="129">
        <v>3</v>
      </c>
      <c r="J134" s="126">
        <v>7000</v>
      </c>
      <c r="K134" s="79">
        <f t="shared" si="2"/>
        <v>21000</v>
      </c>
      <c r="L134" s="128">
        <f t="shared" si="3"/>
        <v>0</v>
      </c>
      <c r="M134" s="130">
        <v>1</v>
      </c>
      <c r="N134" s="126">
        <v>672</v>
      </c>
      <c r="O134" s="80">
        <f t="shared" si="4"/>
        <v>672</v>
      </c>
      <c r="P134" s="81">
        <f t="shared" si="5"/>
        <v>0</v>
      </c>
      <c r="Q134" s="129">
        <v>100</v>
      </c>
      <c r="R134" s="131">
        <v>6.62</v>
      </c>
      <c r="S134" s="127">
        <f t="shared" si="6"/>
        <v>662</v>
      </c>
      <c r="T134" s="128">
        <f t="shared" si="7"/>
        <v>0</v>
      </c>
      <c r="U134" s="113"/>
      <c r="V134" s="81">
        <f t="shared" si="14"/>
        <v>0</v>
      </c>
      <c r="W134" s="132"/>
      <c r="X134" s="153"/>
      <c r="Y134" s="94"/>
      <c r="Z134" s="132"/>
      <c r="AA134" s="153"/>
      <c r="AB134" s="94"/>
      <c r="AC134" s="133"/>
      <c r="AD134" s="93" t="str">
        <f t="shared" si="8"/>
        <v/>
      </c>
      <c r="AE134" s="94" t="str">
        <f t="shared" si="9"/>
        <v/>
      </c>
      <c r="AF134" s="139"/>
      <c r="AG134" s="215"/>
      <c r="AH134" s="136" t="str">
        <f t="shared" si="10"/>
        <v/>
      </c>
      <c r="AI134" s="80"/>
      <c r="AJ134" s="154"/>
      <c r="AK134" s="100" t="str">
        <f t="shared" si="21"/>
        <v/>
      </c>
      <c r="AL134" s="138"/>
      <c r="AM134" s="113"/>
      <c r="AN134" s="103" t="str">
        <f t="shared" si="12"/>
        <v/>
      </c>
      <c r="AO134" s="139"/>
      <c r="AP134" s="140"/>
      <c r="AQ134" s="141" t="str">
        <f t="shared" si="15"/>
        <v/>
      </c>
      <c r="AR134" s="142"/>
      <c r="AS134" s="140"/>
      <c r="AT134" s="143" t="str">
        <f t="shared" si="16"/>
        <v/>
      </c>
      <c r="AU134" s="139"/>
      <c r="AV134" s="113"/>
      <c r="AW134" s="107" t="str">
        <f t="shared" si="17"/>
        <v/>
      </c>
      <c r="AX134" s="113"/>
      <c r="AY134" s="113"/>
      <c r="AZ134" s="144" t="str">
        <f t="shared" si="18"/>
        <v/>
      </c>
      <c r="BA134" s="80"/>
      <c r="BB134" s="140"/>
      <c r="BC134" s="145" t="str">
        <f t="shared" si="19"/>
        <v/>
      </c>
      <c r="BD134" s="113"/>
      <c r="BE134" s="114"/>
      <c r="BF134" s="146" t="str">
        <f t="shared" si="20"/>
        <v/>
      </c>
      <c r="BG134" s="147" t="s">
        <v>84</v>
      </c>
      <c r="BH134" s="148"/>
      <c r="BI134" s="156"/>
      <c r="BJ134" s="150" t="str">
        <f>'Degrémont sortie'!BI134</f>
        <v>Fe : 0,35 mg/L; Zn : 0,65mg/L</v>
      </c>
      <c r="BK134" s="151">
        <f>'Degrémont sortie'!BJ134</f>
        <v>0</v>
      </c>
    </row>
    <row r="135" spans="1:63" ht="14.25" outlineLevel="1">
      <c r="A135" s="121">
        <f t="shared" si="13"/>
        <v>43587</v>
      </c>
      <c r="B135" s="122">
        <v>704</v>
      </c>
      <c r="C135" s="123">
        <v>7.9</v>
      </c>
      <c r="D135" s="124">
        <v>90</v>
      </c>
      <c r="E135" s="125">
        <v>379</v>
      </c>
      <c r="F135" s="126">
        <v>23</v>
      </c>
      <c r="G135" s="127">
        <f t="shared" si="0"/>
        <v>12565.217391304348</v>
      </c>
      <c r="H135" s="128">
        <f t="shared" si="1"/>
        <v>8845.9130434782619</v>
      </c>
      <c r="I135" s="129">
        <v>2</v>
      </c>
      <c r="J135" s="126">
        <v>6548</v>
      </c>
      <c r="K135" s="79">
        <f t="shared" si="2"/>
        <v>13096</v>
      </c>
      <c r="L135" s="128">
        <f t="shared" si="3"/>
        <v>9219.5840000000007</v>
      </c>
      <c r="M135" s="130">
        <v>1</v>
      </c>
      <c r="N135" s="126">
        <v>568</v>
      </c>
      <c r="O135" s="80">
        <f t="shared" si="4"/>
        <v>568</v>
      </c>
      <c r="P135" s="81">
        <f t="shared" si="5"/>
        <v>399.87200000000001</v>
      </c>
      <c r="Q135" s="129">
        <v>50</v>
      </c>
      <c r="R135" s="131">
        <v>11.5</v>
      </c>
      <c r="S135" s="127">
        <f t="shared" si="6"/>
        <v>575</v>
      </c>
      <c r="T135" s="128">
        <f t="shared" si="7"/>
        <v>404.8</v>
      </c>
      <c r="U135" s="113"/>
      <c r="V135" s="81">
        <f t="shared" si="14"/>
        <v>0</v>
      </c>
      <c r="W135" s="132"/>
      <c r="X135" s="153"/>
      <c r="Y135" s="94"/>
      <c r="Z135" s="132"/>
      <c r="AA135" s="153"/>
      <c r="AB135" s="94"/>
      <c r="AC135" s="133"/>
      <c r="AD135" s="93" t="str">
        <f t="shared" si="8"/>
        <v/>
      </c>
      <c r="AE135" s="94" t="e">
        <f t="shared" si="9"/>
        <v>#VALUE!</v>
      </c>
      <c r="AF135" s="134" t="s">
        <v>85</v>
      </c>
      <c r="AG135" s="135">
        <v>0.01</v>
      </c>
      <c r="AH135" s="136">
        <f t="shared" si="10"/>
        <v>3.5200000000000001E-3</v>
      </c>
      <c r="AI135" s="80"/>
      <c r="AJ135" s="154"/>
      <c r="AK135" s="100" t="str">
        <f t="shared" si="21"/>
        <v/>
      </c>
      <c r="AL135" s="138"/>
      <c r="AM135" s="113"/>
      <c r="AN135" s="103" t="str">
        <f t="shared" si="12"/>
        <v/>
      </c>
      <c r="AO135" s="139"/>
      <c r="AP135" s="140"/>
      <c r="AQ135" s="141" t="str">
        <f t="shared" si="15"/>
        <v/>
      </c>
      <c r="AR135" s="142"/>
      <c r="AS135" s="140"/>
      <c r="AT135" s="143" t="str">
        <f t="shared" si="16"/>
        <v/>
      </c>
      <c r="AU135" s="139"/>
      <c r="AV135" s="113"/>
      <c r="AW135" s="107" t="str">
        <f t="shared" si="17"/>
        <v/>
      </c>
      <c r="AX135" s="113"/>
      <c r="AY135" s="113"/>
      <c r="AZ135" s="144" t="str">
        <f t="shared" si="18"/>
        <v/>
      </c>
      <c r="BA135" s="80"/>
      <c r="BB135" s="140"/>
      <c r="BC135" s="145" t="str">
        <f t="shared" si="19"/>
        <v/>
      </c>
      <c r="BD135" s="113"/>
      <c r="BE135" s="114"/>
      <c r="BF135" s="146" t="str">
        <f t="shared" si="20"/>
        <v/>
      </c>
      <c r="BG135" s="147" t="s">
        <v>84</v>
      </c>
      <c r="BH135" s="148"/>
      <c r="BI135" s="156"/>
      <c r="BJ135" s="150">
        <f>'Degrémont sortie'!BI135</f>
        <v>0</v>
      </c>
      <c r="BK135" s="151">
        <f>'Degrémont sortie'!BJ135</f>
        <v>0</v>
      </c>
    </row>
    <row r="136" spans="1:63" ht="24" customHeight="1" outlineLevel="1">
      <c r="A136" s="152">
        <f t="shared" si="13"/>
        <v>43588</v>
      </c>
      <c r="B136" s="122">
        <v>620</v>
      </c>
      <c r="C136" s="123">
        <v>7</v>
      </c>
      <c r="D136" s="124">
        <v>89.5</v>
      </c>
      <c r="E136" s="125">
        <v>233.2</v>
      </c>
      <c r="F136" s="126">
        <v>24</v>
      </c>
      <c r="G136" s="127">
        <f t="shared" si="0"/>
        <v>5987.5</v>
      </c>
      <c r="H136" s="128">
        <f t="shared" si="1"/>
        <v>3712.25</v>
      </c>
      <c r="I136" s="129">
        <v>1</v>
      </c>
      <c r="J136" s="126">
        <v>7722</v>
      </c>
      <c r="K136" s="79">
        <f t="shared" si="2"/>
        <v>7722</v>
      </c>
      <c r="L136" s="128">
        <f t="shared" si="3"/>
        <v>4787.6400000000003</v>
      </c>
      <c r="M136" s="130">
        <v>1</v>
      </c>
      <c r="N136" s="126">
        <v>2125</v>
      </c>
      <c r="O136" s="80">
        <f t="shared" si="4"/>
        <v>2125</v>
      </c>
      <c r="P136" s="81">
        <f t="shared" si="5"/>
        <v>1317.5</v>
      </c>
      <c r="Q136" s="129">
        <v>40</v>
      </c>
      <c r="R136" s="131">
        <v>6.65</v>
      </c>
      <c r="S136" s="127">
        <f t="shared" si="6"/>
        <v>266</v>
      </c>
      <c r="T136" s="128">
        <f t="shared" si="7"/>
        <v>164.92</v>
      </c>
      <c r="U136" s="113"/>
      <c r="V136" s="81">
        <f t="shared" si="14"/>
        <v>0</v>
      </c>
      <c r="W136" s="132"/>
      <c r="X136" s="153"/>
      <c r="Y136" s="94"/>
      <c r="Z136" s="132"/>
      <c r="AA136" s="153"/>
      <c r="AB136" s="94"/>
      <c r="AC136" s="133"/>
      <c r="AD136" s="93" t="str">
        <f t="shared" si="8"/>
        <v/>
      </c>
      <c r="AE136" s="94" t="e">
        <f t="shared" si="9"/>
        <v>#VALUE!</v>
      </c>
      <c r="AF136" s="134" t="s">
        <v>85</v>
      </c>
      <c r="AG136" s="135">
        <v>0.01</v>
      </c>
      <c r="AH136" s="136">
        <f t="shared" si="10"/>
        <v>3.0999999999999999E-3</v>
      </c>
      <c r="AI136" s="80"/>
      <c r="AJ136" s="154"/>
      <c r="AK136" s="100" t="str">
        <f t="shared" si="21"/>
        <v/>
      </c>
      <c r="AL136" s="138"/>
      <c r="AM136" s="113"/>
      <c r="AN136" s="103" t="str">
        <f t="shared" si="12"/>
        <v/>
      </c>
      <c r="AO136" s="139"/>
      <c r="AP136" s="140"/>
      <c r="AQ136" s="141" t="str">
        <f t="shared" si="15"/>
        <v/>
      </c>
      <c r="AR136" s="142"/>
      <c r="AS136" s="140"/>
      <c r="AT136" s="143" t="str">
        <f t="shared" si="16"/>
        <v/>
      </c>
      <c r="AU136" s="139"/>
      <c r="AV136" s="113"/>
      <c r="AW136" s="107" t="str">
        <f t="shared" si="17"/>
        <v/>
      </c>
      <c r="AX136" s="113"/>
      <c r="AY136" s="113"/>
      <c r="AZ136" s="144" t="str">
        <f t="shared" si="18"/>
        <v/>
      </c>
      <c r="BA136" s="80"/>
      <c r="BB136" s="140"/>
      <c r="BC136" s="145" t="str">
        <f t="shared" si="19"/>
        <v/>
      </c>
      <c r="BD136" s="113"/>
      <c r="BE136" s="114"/>
      <c r="BF136" s="146" t="str">
        <f t="shared" si="20"/>
        <v/>
      </c>
      <c r="BG136" s="147" t="s">
        <v>84</v>
      </c>
      <c r="BH136" s="148"/>
      <c r="BI136" s="149" t="s">
        <v>188</v>
      </c>
      <c r="BJ136" s="150" t="str">
        <f>'Degrémont sortie'!BI136</f>
        <v>Fe : 13 mg/L ; Zn : 21 mg/L. MES confirmé par DCO et commentaire Terrain</v>
      </c>
      <c r="BK136" s="151">
        <f>'Degrémont sortie'!BJ136</f>
        <v>0</v>
      </c>
    </row>
    <row r="137" spans="1:63" ht="19.5" customHeight="1" outlineLevel="1">
      <c r="A137" s="121">
        <f t="shared" si="13"/>
        <v>43589</v>
      </c>
      <c r="B137" s="122">
        <v>1200</v>
      </c>
      <c r="C137" s="123">
        <v>8</v>
      </c>
      <c r="D137" s="124">
        <v>90.6</v>
      </c>
      <c r="E137" s="125">
        <v>382.3</v>
      </c>
      <c r="F137" s="126">
        <v>21</v>
      </c>
      <c r="G137" s="127">
        <f t="shared" si="0"/>
        <v>13890.476190476193</v>
      </c>
      <c r="H137" s="128">
        <f t="shared" si="1"/>
        <v>16668.571428571431</v>
      </c>
      <c r="I137" s="129">
        <v>5</v>
      </c>
      <c r="J137" s="126">
        <v>3684</v>
      </c>
      <c r="K137" s="79">
        <f t="shared" si="2"/>
        <v>18420</v>
      </c>
      <c r="L137" s="128">
        <f t="shared" si="3"/>
        <v>22104</v>
      </c>
      <c r="M137" s="130">
        <v>1</v>
      </c>
      <c r="N137" s="126">
        <v>1294</v>
      </c>
      <c r="O137" s="80">
        <f t="shared" si="4"/>
        <v>1294</v>
      </c>
      <c r="P137" s="81">
        <f t="shared" si="5"/>
        <v>1552.8</v>
      </c>
      <c r="Q137" s="129">
        <v>40</v>
      </c>
      <c r="R137" s="131">
        <v>12.9</v>
      </c>
      <c r="S137" s="127">
        <f t="shared" si="6"/>
        <v>516</v>
      </c>
      <c r="T137" s="128">
        <f t="shared" si="7"/>
        <v>619.20000000000005</v>
      </c>
      <c r="U137" s="113"/>
      <c r="V137" s="81">
        <f t="shared" si="14"/>
        <v>0</v>
      </c>
      <c r="W137" s="132"/>
      <c r="X137" s="153"/>
      <c r="Y137" s="94"/>
      <c r="Z137" s="132"/>
      <c r="AA137" s="153"/>
      <c r="AB137" s="94"/>
      <c r="AC137" s="133"/>
      <c r="AD137" s="93" t="str">
        <f t="shared" si="8"/>
        <v/>
      </c>
      <c r="AE137" s="94" t="e">
        <f t="shared" si="9"/>
        <v>#VALUE!</v>
      </c>
      <c r="AF137" s="134" t="s">
        <v>85</v>
      </c>
      <c r="AG137" s="135">
        <v>0.01</v>
      </c>
      <c r="AH137" s="136">
        <f t="shared" si="10"/>
        <v>6.0000000000000001E-3</v>
      </c>
      <c r="AI137" s="80"/>
      <c r="AJ137" s="154"/>
      <c r="AK137" s="100" t="str">
        <f t="shared" si="21"/>
        <v/>
      </c>
      <c r="AL137" s="138"/>
      <c r="AM137" s="113"/>
      <c r="AN137" s="103" t="str">
        <f t="shared" si="12"/>
        <v/>
      </c>
      <c r="AO137" s="139"/>
      <c r="AP137" s="140"/>
      <c r="AQ137" s="141" t="str">
        <f t="shared" si="15"/>
        <v/>
      </c>
      <c r="AR137" s="142"/>
      <c r="AS137" s="140"/>
      <c r="AT137" s="143" t="str">
        <f t="shared" si="16"/>
        <v/>
      </c>
      <c r="AU137" s="139"/>
      <c r="AV137" s="113"/>
      <c r="AW137" s="107" t="str">
        <f t="shared" si="17"/>
        <v/>
      </c>
      <c r="AX137" s="113"/>
      <c r="AY137" s="113"/>
      <c r="AZ137" s="144" t="str">
        <f t="shared" si="18"/>
        <v/>
      </c>
      <c r="BA137" s="80"/>
      <c r="BB137" s="140"/>
      <c r="BC137" s="145" t="str">
        <f t="shared" si="19"/>
        <v/>
      </c>
      <c r="BD137" s="113"/>
      <c r="BE137" s="114"/>
      <c r="BF137" s="146" t="str">
        <f t="shared" si="20"/>
        <v/>
      </c>
      <c r="BG137" s="147" t="s">
        <v>84</v>
      </c>
      <c r="BH137" s="148"/>
      <c r="BI137" s="156"/>
      <c r="BJ137" s="150" t="str">
        <f>'Degrémont sortie'!BI137</f>
        <v>Fe: 1,3 mg/L ; Zn : 2,3mg/L. MES confirmé par DCO et commentaire Terrain</v>
      </c>
      <c r="BK137" s="151">
        <f>'Degrémont sortie'!BJ137</f>
        <v>0</v>
      </c>
    </row>
    <row r="138" spans="1:63" ht="14.25" outlineLevel="1">
      <c r="A138" s="152">
        <f t="shared" si="13"/>
        <v>43590</v>
      </c>
      <c r="B138" s="207"/>
      <c r="C138" s="208"/>
      <c r="D138" s="210"/>
      <c r="E138" s="211"/>
      <c r="F138" s="80"/>
      <c r="G138" s="127">
        <f t="shared" si="0"/>
        <v>0</v>
      </c>
      <c r="H138" s="128">
        <f t="shared" si="1"/>
        <v>0</v>
      </c>
      <c r="I138" s="129">
        <v>1</v>
      </c>
      <c r="J138" s="80"/>
      <c r="K138" s="79">
        <f t="shared" si="2"/>
        <v>0</v>
      </c>
      <c r="L138" s="128">
        <f t="shared" si="3"/>
        <v>0</v>
      </c>
      <c r="M138" s="130">
        <v>1</v>
      </c>
      <c r="N138" s="80"/>
      <c r="O138" s="80" t="str">
        <f t="shared" si="4"/>
        <v/>
      </c>
      <c r="P138" s="81">
        <f t="shared" si="5"/>
        <v>0</v>
      </c>
      <c r="Q138" s="213"/>
      <c r="R138" s="113"/>
      <c r="S138" s="127" t="str">
        <f t="shared" si="6"/>
        <v/>
      </c>
      <c r="T138" s="128">
        <f t="shared" si="7"/>
        <v>0</v>
      </c>
      <c r="U138" s="113"/>
      <c r="V138" s="81">
        <f t="shared" si="14"/>
        <v>0</v>
      </c>
      <c r="W138" s="132"/>
      <c r="X138" s="153"/>
      <c r="Y138" s="94"/>
      <c r="Z138" s="132"/>
      <c r="AA138" s="153"/>
      <c r="AB138" s="94"/>
      <c r="AC138" s="133"/>
      <c r="AD138" s="93" t="str">
        <f t="shared" si="8"/>
        <v/>
      </c>
      <c r="AE138" s="94" t="str">
        <f t="shared" si="9"/>
        <v/>
      </c>
      <c r="AF138" s="139"/>
      <c r="AG138" s="215"/>
      <c r="AH138" s="136" t="str">
        <f t="shared" si="10"/>
        <v/>
      </c>
      <c r="AI138" s="80"/>
      <c r="AJ138" s="154"/>
      <c r="AK138" s="100" t="str">
        <f t="shared" si="21"/>
        <v/>
      </c>
      <c r="AL138" s="138"/>
      <c r="AM138" s="113"/>
      <c r="AN138" s="103" t="str">
        <f t="shared" si="12"/>
        <v/>
      </c>
      <c r="AO138" s="139"/>
      <c r="AP138" s="140"/>
      <c r="AQ138" s="141" t="str">
        <f t="shared" si="15"/>
        <v/>
      </c>
      <c r="AR138" s="142"/>
      <c r="AS138" s="140"/>
      <c r="AT138" s="143" t="str">
        <f t="shared" si="16"/>
        <v/>
      </c>
      <c r="AU138" s="139"/>
      <c r="AV138" s="113"/>
      <c r="AW138" s="107" t="str">
        <f t="shared" si="17"/>
        <v/>
      </c>
      <c r="AX138" s="113"/>
      <c r="AY138" s="113"/>
      <c r="AZ138" s="144" t="str">
        <f t="shared" si="18"/>
        <v/>
      </c>
      <c r="BA138" s="80"/>
      <c r="BB138" s="140"/>
      <c r="BC138" s="145" t="str">
        <f t="shared" si="19"/>
        <v/>
      </c>
      <c r="BD138" s="113"/>
      <c r="BE138" s="114"/>
      <c r="BF138" s="146" t="str">
        <f t="shared" si="20"/>
        <v/>
      </c>
      <c r="BG138" s="147" t="s">
        <v>84</v>
      </c>
      <c r="BH138" s="148"/>
      <c r="BI138" s="156"/>
      <c r="BJ138" s="150">
        <f>'Degrémont sortie'!BI138</f>
        <v>0</v>
      </c>
      <c r="BK138" s="151">
        <f>'Degrémont sortie'!BJ138</f>
        <v>0</v>
      </c>
    </row>
    <row r="139" spans="1:63" ht="14.25" outlineLevel="1">
      <c r="A139" s="121">
        <f t="shared" si="13"/>
        <v>43591</v>
      </c>
      <c r="B139" s="122">
        <v>782</v>
      </c>
      <c r="C139" s="123">
        <v>7.4</v>
      </c>
      <c r="D139" s="124">
        <v>90.5</v>
      </c>
      <c r="E139" s="125">
        <v>304</v>
      </c>
      <c r="F139" s="126">
        <v>21</v>
      </c>
      <c r="G139" s="127">
        <f t="shared" si="0"/>
        <v>10166.666666666666</v>
      </c>
      <c r="H139" s="128">
        <f t="shared" si="1"/>
        <v>7950.333333333333</v>
      </c>
      <c r="I139" s="129">
        <v>2</v>
      </c>
      <c r="J139" s="126">
        <v>5083</v>
      </c>
      <c r="K139" s="79">
        <f t="shared" si="2"/>
        <v>10166</v>
      </c>
      <c r="L139" s="128">
        <f t="shared" si="3"/>
        <v>7949.8119999999999</v>
      </c>
      <c r="M139" s="130">
        <v>1</v>
      </c>
      <c r="N139" s="126">
        <v>517</v>
      </c>
      <c r="O139" s="80">
        <f t="shared" si="4"/>
        <v>517</v>
      </c>
      <c r="P139" s="81">
        <f t="shared" si="5"/>
        <v>404.29399999999998</v>
      </c>
      <c r="Q139" s="129">
        <v>20</v>
      </c>
      <c r="R139" s="131">
        <v>20.2</v>
      </c>
      <c r="S139" s="127">
        <f t="shared" si="6"/>
        <v>404</v>
      </c>
      <c r="T139" s="128">
        <f t="shared" si="7"/>
        <v>315.928</v>
      </c>
      <c r="U139" s="113"/>
      <c r="V139" s="81">
        <f t="shared" si="14"/>
        <v>0</v>
      </c>
      <c r="W139" s="132"/>
      <c r="X139" s="153"/>
      <c r="Y139" s="94"/>
      <c r="Z139" s="132"/>
      <c r="AA139" s="153"/>
      <c r="AB139" s="94"/>
      <c r="AC139" s="133"/>
      <c r="AD139" s="93" t="str">
        <f t="shared" si="8"/>
        <v/>
      </c>
      <c r="AE139" s="94" t="e">
        <f t="shared" si="9"/>
        <v>#VALUE!</v>
      </c>
      <c r="AF139" s="134" t="s">
        <v>85</v>
      </c>
      <c r="AG139" s="135">
        <v>0.01</v>
      </c>
      <c r="AH139" s="136">
        <f t="shared" si="10"/>
        <v>3.9100000000000003E-3</v>
      </c>
      <c r="AI139" s="80"/>
      <c r="AJ139" s="154"/>
      <c r="AK139" s="100" t="str">
        <f t="shared" si="21"/>
        <v/>
      </c>
      <c r="AL139" s="138"/>
      <c r="AM139" s="113"/>
      <c r="AN139" s="103" t="str">
        <f t="shared" si="12"/>
        <v/>
      </c>
      <c r="AO139" s="139"/>
      <c r="AP139" s="140"/>
      <c r="AQ139" s="141" t="str">
        <f t="shared" si="15"/>
        <v/>
      </c>
      <c r="AR139" s="142"/>
      <c r="AS139" s="140"/>
      <c r="AT139" s="143" t="str">
        <f t="shared" si="16"/>
        <v/>
      </c>
      <c r="AU139" s="139"/>
      <c r="AV139" s="113"/>
      <c r="AW139" s="107" t="str">
        <f t="shared" si="17"/>
        <v/>
      </c>
      <c r="AX139" s="113"/>
      <c r="AY139" s="113"/>
      <c r="AZ139" s="144" t="str">
        <f t="shared" si="18"/>
        <v/>
      </c>
      <c r="BA139" s="80"/>
      <c r="BB139" s="140"/>
      <c r="BC139" s="145" t="str">
        <f t="shared" si="19"/>
        <v/>
      </c>
      <c r="BD139" s="113"/>
      <c r="BE139" s="114"/>
      <c r="BF139" s="146" t="str">
        <f t="shared" si="20"/>
        <v/>
      </c>
      <c r="BG139" s="147" t="s">
        <v>84</v>
      </c>
      <c r="BH139" s="148"/>
      <c r="BI139" s="156"/>
      <c r="BJ139" s="150" t="str">
        <f>'Degrémont sortie'!BI139</f>
        <v>Zn : 0,35mg/L</v>
      </c>
      <c r="BK139" s="151">
        <f>'Degrémont sortie'!BJ139</f>
        <v>0</v>
      </c>
    </row>
    <row r="140" spans="1:63" ht="14.25" outlineLevel="1">
      <c r="A140" s="152">
        <f t="shared" si="13"/>
        <v>43592</v>
      </c>
      <c r="B140" s="122">
        <v>1003</v>
      </c>
      <c r="C140" s="123">
        <v>7.4</v>
      </c>
      <c r="D140" s="124">
        <v>88.8</v>
      </c>
      <c r="E140" s="125">
        <v>317.39999999999998</v>
      </c>
      <c r="F140" s="126">
        <v>21</v>
      </c>
      <c r="G140" s="127">
        <f t="shared" si="0"/>
        <v>10885.714285714284</v>
      </c>
      <c r="H140" s="128">
        <f t="shared" si="1"/>
        <v>10918.371428571427</v>
      </c>
      <c r="I140" s="129">
        <v>2</v>
      </c>
      <c r="J140" s="126">
        <v>5987</v>
      </c>
      <c r="K140" s="79">
        <f t="shared" si="2"/>
        <v>11974</v>
      </c>
      <c r="L140" s="128">
        <f t="shared" si="3"/>
        <v>12009.922</v>
      </c>
      <c r="M140" s="130">
        <v>1</v>
      </c>
      <c r="N140" s="126">
        <v>708</v>
      </c>
      <c r="O140" s="80">
        <f t="shared" si="4"/>
        <v>708</v>
      </c>
      <c r="P140" s="81">
        <f t="shared" si="5"/>
        <v>710.12400000000002</v>
      </c>
      <c r="Q140" s="129">
        <v>50</v>
      </c>
      <c r="R140" s="131">
        <v>12.1</v>
      </c>
      <c r="S140" s="127">
        <f t="shared" si="6"/>
        <v>605</v>
      </c>
      <c r="T140" s="128">
        <f t="shared" si="7"/>
        <v>606.81500000000005</v>
      </c>
      <c r="U140" s="131">
        <v>107</v>
      </c>
      <c r="V140" s="81">
        <f t="shared" si="14"/>
        <v>107.321</v>
      </c>
      <c r="W140" s="132"/>
      <c r="X140" s="153"/>
      <c r="Y140" s="94"/>
      <c r="Z140" s="132"/>
      <c r="AA140" s="153"/>
      <c r="AB140" s="94"/>
      <c r="AC140" s="133"/>
      <c r="AD140" s="93" t="str">
        <f t="shared" si="8"/>
        <v/>
      </c>
      <c r="AE140" s="94" t="e">
        <f t="shared" si="9"/>
        <v>#VALUE!</v>
      </c>
      <c r="AF140" s="134" t="s">
        <v>85</v>
      </c>
      <c r="AG140" s="135">
        <v>0.01</v>
      </c>
      <c r="AH140" s="136">
        <f t="shared" si="10"/>
        <v>5.0149999999999995E-3</v>
      </c>
      <c r="AI140" s="80"/>
      <c r="AJ140" s="154"/>
      <c r="AK140" s="100" t="str">
        <f t="shared" si="21"/>
        <v/>
      </c>
      <c r="AL140" s="138"/>
      <c r="AM140" s="131">
        <v>64</v>
      </c>
      <c r="AN140" s="103">
        <f t="shared" si="12"/>
        <v>412.35199999999998</v>
      </c>
      <c r="AO140" s="139"/>
      <c r="AP140" s="155">
        <v>267.92</v>
      </c>
      <c r="AQ140" s="141">
        <f t="shared" si="15"/>
        <v>1726.20856</v>
      </c>
      <c r="AR140" s="142"/>
      <c r="AS140" s="155">
        <v>1.32</v>
      </c>
      <c r="AT140" s="143">
        <f t="shared" si="16"/>
        <v>8.5047599999999992</v>
      </c>
      <c r="AU140" s="139"/>
      <c r="AV140" s="131">
        <v>37.57</v>
      </c>
      <c r="AW140" s="107">
        <f t="shared" si="17"/>
        <v>242.06350999999998</v>
      </c>
      <c r="AX140" s="113"/>
      <c r="AY140" s="131">
        <v>405.27</v>
      </c>
      <c r="AZ140" s="144">
        <f t="shared" si="18"/>
        <v>2611.1546099999996</v>
      </c>
      <c r="BA140" s="80"/>
      <c r="BB140" s="155">
        <v>0.94</v>
      </c>
      <c r="BC140" s="145">
        <f t="shared" si="19"/>
        <v>6.0564199999999992</v>
      </c>
      <c r="BD140" s="131" t="s">
        <v>85</v>
      </c>
      <c r="BE140" s="158">
        <v>0.13</v>
      </c>
      <c r="BF140" s="146">
        <f t="shared" si="20"/>
        <v>0.41879499999999997</v>
      </c>
      <c r="BG140" s="147" t="s">
        <v>84</v>
      </c>
      <c r="BH140" s="148"/>
      <c r="BI140" s="156"/>
      <c r="BJ140" s="150">
        <f>'Degrémont sortie'!BI140</f>
        <v>0</v>
      </c>
      <c r="BK140" s="151">
        <f>'Degrémont sortie'!BJ140</f>
        <v>0</v>
      </c>
    </row>
    <row r="141" spans="1:63" ht="15.75" customHeight="1" outlineLevel="1">
      <c r="A141" s="121">
        <f t="shared" si="13"/>
        <v>43593</v>
      </c>
      <c r="B141" s="122">
        <v>847</v>
      </c>
      <c r="C141" s="123">
        <v>7.9</v>
      </c>
      <c r="D141" s="124">
        <v>88.6</v>
      </c>
      <c r="E141" s="125">
        <v>400</v>
      </c>
      <c r="F141" s="126">
        <v>22</v>
      </c>
      <c r="G141" s="127">
        <f t="shared" si="0"/>
        <v>14154.545454545454</v>
      </c>
      <c r="H141" s="128">
        <f t="shared" si="1"/>
        <v>11988.9</v>
      </c>
      <c r="I141" s="129">
        <v>2</v>
      </c>
      <c r="J141" s="126">
        <v>6850</v>
      </c>
      <c r="K141" s="79">
        <f t="shared" si="2"/>
        <v>13700</v>
      </c>
      <c r="L141" s="128">
        <f t="shared" si="3"/>
        <v>11603.9</v>
      </c>
      <c r="M141" s="130">
        <v>1</v>
      </c>
      <c r="N141" s="126">
        <v>657</v>
      </c>
      <c r="O141" s="80">
        <f t="shared" si="4"/>
        <v>657</v>
      </c>
      <c r="P141" s="81">
        <f t="shared" si="5"/>
        <v>556.47900000000004</v>
      </c>
      <c r="Q141" s="129">
        <v>50</v>
      </c>
      <c r="R141" s="131">
        <v>11</v>
      </c>
      <c r="S141" s="127">
        <f t="shared" si="6"/>
        <v>550</v>
      </c>
      <c r="T141" s="128">
        <f t="shared" si="7"/>
        <v>465.85</v>
      </c>
      <c r="U141" s="113"/>
      <c r="V141" s="81">
        <f t="shared" si="14"/>
        <v>0</v>
      </c>
      <c r="W141" s="132"/>
      <c r="X141" s="153"/>
      <c r="Y141" s="94"/>
      <c r="Z141" s="132"/>
      <c r="AA141" s="153"/>
      <c r="AB141" s="94"/>
      <c r="AC141" s="133"/>
      <c r="AD141" s="93" t="str">
        <f t="shared" si="8"/>
        <v/>
      </c>
      <c r="AE141" s="94" t="e">
        <f t="shared" si="9"/>
        <v>#VALUE!</v>
      </c>
      <c r="AF141" s="134" t="s">
        <v>85</v>
      </c>
      <c r="AG141" s="135">
        <v>0.01</v>
      </c>
      <c r="AH141" s="136">
        <f t="shared" si="10"/>
        <v>4.235E-3</v>
      </c>
      <c r="AI141" s="80"/>
      <c r="AJ141" s="154"/>
      <c r="AK141" s="100" t="str">
        <f t="shared" si="21"/>
        <v/>
      </c>
      <c r="AL141" s="138"/>
      <c r="AM141" s="113"/>
      <c r="AN141" s="103" t="str">
        <f t="shared" si="12"/>
        <v/>
      </c>
      <c r="AO141" s="139"/>
      <c r="AP141" s="140"/>
      <c r="AQ141" s="141" t="str">
        <f t="shared" si="15"/>
        <v/>
      </c>
      <c r="AR141" s="142"/>
      <c r="AS141" s="140"/>
      <c r="AT141" s="143" t="str">
        <f t="shared" si="16"/>
        <v/>
      </c>
      <c r="AU141" s="139"/>
      <c r="AV141" s="113"/>
      <c r="AW141" s="107" t="str">
        <f t="shared" si="17"/>
        <v/>
      </c>
      <c r="AX141" s="113"/>
      <c r="AY141" s="113"/>
      <c r="AZ141" s="144" t="str">
        <f t="shared" si="18"/>
        <v/>
      </c>
      <c r="BA141" s="80"/>
      <c r="BB141" s="140"/>
      <c r="BC141" s="145" t="str">
        <f t="shared" si="19"/>
        <v/>
      </c>
      <c r="BD141" s="113"/>
      <c r="BE141" s="114"/>
      <c r="BF141" s="146" t="str">
        <f t="shared" si="20"/>
        <v/>
      </c>
      <c r="BG141" s="147" t="s">
        <v>84</v>
      </c>
      <c r="BH141" s="148"/>
      <c r="BI141" s="156"/>
      <c r="BJ141" s="150">
        <f>'Degrémont sortie'!BI141</f>
        <v>0</v>
      </c>
      <c r="BK141" s="151">
        <f>'Degrémont sortie'!BJ141</f>
        <v>0</v>
      </c>
    </row>
    <row r="142" spans="1:63" ht="15.75" customHeight="1" outlineLevel="1">
      <c r="A142" s="152">
        <f t="shared" si="13"/>
        <v>43594</v>
      </c>
      <c r="B142" s="122">
        <v>897</v>
      </c>
      <c r="C142" s="123">
        <v>8.1999999999999993</v>
      </c>
      <c r="D142" s="124">
        <v>89</v>
      </c>
      <c r="E142" s="125">
        <v>394</v>
      </c>
      <c r="F142" s="126">
        <v>23</v>
      </c>
      <c r="G142" s="127">
        <f t="shared" si="0"/>
        <v>13260.869565217392</v>
      </c>
      <c r="H142" s="128">
        <f t="shared" si="1"/>
        <v>11895</v>
      </c>
      <c r="I142" s="129">
        <v>2</v>
      </c>
      <c r="J142" s="126">
        <v>6735</v>
      </c>
      <c r="K142" s="79">
        <f t="shared" si="2"/>
        <v>13470</v>
      </c>
      <c r="L142" s="128">
        <f t="shared" si="3"/>
        <v>12082.59</v>
      </c>
      <c r="M142" s="130">
        <v>1</v>
      </c>
      <c r="N142" s="126">
        <v>581</v>
      </c>
      <c r="O142" s="80">
        <f t="shared" si="4"/>
        <v>581</v>
      </c>
      <c r="P142" s="81">
        <f t="shared" si="5"/>
        <v>521.15700000000004</v>
      </c>
      <c r="Q142" s="129">
        <v>50</v>
      </c>
      <c r="R142" s="131">
        <v>10.9</v>
      </c>
      <c r="S142" s="127">
        <f t="shared" si="6"/>
        <v>545</v>
      </c>
      <c r="T142" s="128">
        <f t="shared" si="7"/>
        <v>488.86500000000001</v>
      </c>
      <c r="U142" s="113"/>
      <c r="V142" s="81">
        <f t="shared" si="14"/>
        <v>0</v>
      </c>
      <c r="W142" s="132"/>
      <c r="X142" s="153"/>
      <c r="Y142" s="94"/>
      <c r="Z142" s="132"/>
      <c r="AA142" s="153"/>
      <c r="AB142" s="94"/>
      <c r="AC142" s="133"/>
      <c r="AD142" s="93" t="str">
        <f t="shared" si="8"/>
        <v/>
      </c>
      <c r="AE142" s="94" t="e">
        <f t="shared" si="9"/>
        <v>#VALUE!</v>
      </c>
      <c r="AF142" s="134" t="s">
        <v>85</v>
      </c>
      <c r="AG142" s="135">
        <v>0.01</v>
      </c>
      <c r="AH142" s="136">
        <f t="shared" si="10"/>
        <v>4.4850000000000003E-3</v>
      </c>
      <c r="AI142" s="80"/>
      <c r="AJ142" s="154"/>
      <c r="AK142" s="100" t="str">
        <f t="shared" si="21"/>
        <v/>
      </c>
      <c r="AL142" s="138"/>
      <c r="AM142" s="113"/>
      <c r="AN142" s="103" t="str">
        <f t="shared" si="12"/>
        <v/>
      </c>
      <c r="AO142" s="139"/>
      <c r="AP142" s="140"/>
      <c r="AQ142" s="141" t="str">
        <f t="shared" si="15"/>
        <v/>
      </c>
      <c r="AR142" s="142"/>
      <c r="AS142" s="140"/>
      <c r="AT142" s="143" t="str">
        <f t="shared" si="16"/>
        <v/>
      </c>
      <c r="AU142" s="139"/>
      <c r="AV142" s="113"/>
      <c r="AW142" s="107" t="str">
        <f t="shared" si="17"/>
        <v/>
      </c>
      <c r="AX142" s="113"/>
      <c r="AY142" s="113"/>
      <c r="AZ142" s="144" t="str">
        <f t="shared" si="18"/>
        <v/>
      </c>
      <c r="BA142" s="80"/>
      <c r="BB142" s="140"/>
      <c r="BC142" s="145" t="str">
        <f t="shared" si="19"/>
        <v/>
      </c>
      <c r="BD142" s="113"/>
      <c r="BE142" s="114"/>
      <c r="BF142" s="146" t="str">
        <f t="shared" si="20"/>
        <v/>
      </c>
      <c r="BG142" s="147" t="s">
        <v>84</v>
      </c>
      <c r="BH142" s="148"/>
      <c r="BI142" s="156"/>
      <c r="BJ142" s="150">
        <f>'Degrémont sortie'!BI142</f>
        <v>0</v>
      </c>
      <c r="BK142" s="151">
        <f>'Degrémont sortie'!BJ142</f>
        <v>0</v>
      </c>
    </row>
    <row r="143" spans="1:63" ht="15.75" customHeight="1" outlineLevel="1">
      <c r="A143" s="121">
        <f t="shared" si="13"/>
        <v>43595</v>
      </c>
      <c r="B143" s="122">
        <v>1038</v>
      </c>
      <c r="C143" s="123">
        <v>7.6</v>
      </c>
      <c r="D143" s="124">
        <v>87.6</v>
      </c>
      <c r="E143" s="125">
        <v>443</v>
      </c>
      <c r="F143" s="126">
        <v>24</v>
      </c>
      <c r="G143" s="127">
        <f t="shared" si="0"/>
        <v>14808.333333333334</v>
      </c>
      <c r="H143" s="128">
        <f t="shared" si="1"/>
        <v>15371.05</v>
      </c>
      <c r="I143" s="129">
        <v>2</v>
      </c>
      <c r="J143" s="126">
        <v>7179</v>
      </c>
      <c r="K143" s="79">
        <f t="shared" si="2"/>
        <v>14358</v>
      </c>
      <c r="L143" s="128">
        <f t="shared" si="3"/>
        <v>14903.603999999999</v>
      </c>
      <c r="M143" s="130">
        <v>1</v>
      </c>
      <c r="N143" s="126">
        <v>533</v>
      </c>
      <c r="O143" s="80">
        <f t="shared" si="4"/>
        <v>533</v>
      </c>
      <c r="P143" s="81">
        <f t="shared" si="5"/>
        <v>553.25400000000002</v>
      </c>
      <c r="Q143" s="129">
        <v>50</v>
      </c>
      <c r="R143" s="131">
        <v>12.1</v>
      </c>
      <c r="S143" s="127">
        <f t="shared" si="6"/>
        <v>605</v>
      </c>
      <c r="T143" s="128">
        <f t="shared" si="7"/>
        <v>627.99</v>
      </c>
      <c r="U143" s="113"/>
      <c r="V143" s="81">
        <f t="shared" si="14"/>
        <v>0</v>
      </c>
      <c r="W143" s="132"/>
      <c r="X143" s="153"/>
      <c r="Y143" s="94"/>
      <c r="Z143" s="132"/>
      <c r="AA143" s="153"/>
      <c r="AB143" s="94"/>
      <c r="AC143" s="133"/>
      <c r="AD143" s="93" t="str">
        <f t="shared" si="8"/>
        <v/>
      </c>
      <c r="AE143" s="94" t="e">
        <f t="shared" si="9"/>
        <v>#VALUE!</v>
      </c>
      <c r="AF143" s="134" t="s">
        <v>85</v>
      </c>
      <c r="AG143" s="135">
        <v>0.01</v>
      </c>
      <c r="AH143" s="136">
        <f t="shared" si="10"/>
        <v>5.1900000000000002E-3</v>
      </c>
      <c r="AI143" s="80"/>
      <c r="AJ143" s="154"/>
      <c r="AK143" s="100" t="str">
        <f t="shared" si="21"/>
        <v/>
      </c>
      <c r="AL143" s="138"/>
      <c r="AM143" s="113"/>
      <c r="AN143" s="103" t="str">
        <f t="shared" si="12"/>
        <v/>
      </c>
      <c r="AO143" s="139"/>
      <c r="AP143" s="140"/>
      <c r="AQ143" s="141" t="str">
        <f t="shared" si="15"/>
        <v/>
      </c>
      <c r="AR143" s="142"/>
      <c r="AS143" s="140"/>
      <c r="AT143" s="143" t="str">
        <f t="shared" si="16"/>
        <v/>
      </c>
      <c r="AU143" s="139"/>
      <c r="AV143" s="113"/>
      <c r="AW143" s="107" t="str">
        <f t="shared" si="17"/>
        <v/>
      </c>
      <c r="AX143" s="113"/>
      <c r="AY143" s="113"/>
      <c r="AZ143" s="144" t="str">
        <f t="shared" si="18"/>
        <v/>
      </c>
      <c r="BA143" s="80"/>
      <c r="BB143" s="140"/>
      <c r="BC143" s="145" t="str">
        <f t="shared" si="19"/>
        <v/>
      </c>
      <c r="BD143" s="113"/>
      <c r="BE143" s="114"/>
      <c r="BF143" s="146" t="str">
        <f t="shared" si="20"/>
        <v/>
      </c>
      <c r="BG143" s="147" t="s">
        <v>84</v>
      </c>
      <c r="BH143" s="148"/>
      <c r="BI143" s="149" t="s">
        <v>190</v>
      </c>
      <c r="BJ143" s="150">
        <f>'Degrémont sortie'!BI143</f>
        <v>0</v>
      </c>
      <c r="BK143" s="151">
        <f>'Degrémont sortie'!BJ143</f>
        <v>0</v>
      </c>
    </row>
    <row r="144" spans="1:63" ht="15.75" customHeight="1" outlineLevel="1">
      <c r="A144" s="152">
        <f t="shared" si="13"/>
        <v>43596</v>
      </c>
      <c r="B144" s="122">
        <v>323</v>
      </c>
      <c r="C144" s="123">
        <v>6.9</v>
      </c>
      <c r="D144" s="124">
        <v>88.6</v>
      </c>
      <c r="E144" s="125">
        <v>407.8</v>
      </c>
      <c r="F144" s="126">
        <v>26</v>
      </c>
      <c r="G144" s="127">
        <f t="shared" si="0"/>
        <v>12276.92307692308</v>
      </c>
      <c r="H144" s="128">
        <f t="shared" si="1"/>
        <v>3965.4461538461551</v>
      </c>
      <c r="I144" s="129">
        <v>2</v>
      </c>
      <c r="J144" s="126">
        <v>6387</v>
      </c>
      <c r="K144" s="79">
        <f t="shared" si="2"/>
        <v>12774</v>
      </c>
      <c r="L144" s="128">
        <f t="shared" si="3"/>
        <v>4126.0020000000004</v>
      </c>
      <c r="M144" s="130">
        <v>1</v>
      </c>
      <c r="N144" s="126">
        <v>748</v>
      </c>
      <c r="O144" s="80">
        <f t="shared" si="4"/>
        <v>748</v>
      </c>
      <c r="P144" s="81">
        <f t="shared" si="5"/>
        <v>241.60400000000001</v>
      </c>
      <c r="Q144" s="129">
        <v>50</v>
      </c>
      <c r="R144" s="131">
        <v>13.4</v>
      </c>
      <c r="S144" s="127">
        <f t="shared" si="6"/>
        <v>670</v>
      </c>
      <c r="T144" s="128">
        <f t="shared" si="7"/>
        <v>216.41</v>
      </c>
      <c r="U144" s="113"/>
      <c r="V144" s="81">
        <f t="shared" si="14"/>
        <v>0</v>
      </c>
      <c r="W144" s="132"/>
      <c r="X144" s="153"/>
      <c r="Y144" s="94"/>
      <c r="Z144" s="132"/>
      <c r="AA144" s="153"/>
      <c r="AB144" s="94"/>
      <c r="AC144" s="133"/>
      <c r="AD144" s="93" t="str">
        <f t="shared" si="8"/>
        <v/>
      </c>
      <c r="AE144" s="94" t="e">
        <f t="shared" si="9"/>
        <v>#VALUE!</v>
      </c>
      <c r="AF144" s="134" t="s">
        <v>85</v>
      </c>
      <c r="AG144" s="135">
        <v>0.01</v>
      </c>
      <c r="AH144" s="136">
        <f t="shared" si="10"/>
        <v>1.6149999999999999E-3</v>
      </c>
      <c r="AI144" s="80"/>
      <c r="AJ144" s="154"/>
      <c r="AK144" s="100" t="str">
        <f t="shared" si="21"/>
        <v/>
      </c>
      <c r="AL144" s="138"/>
      <c r="AM144" s="113"/>
      <c r="AN144" s="103" t="str">
        <f t="shared" si="12"/>
        <v/>
      </c>
      <c r="AO144" s="139"/>
      <c r="AP144" s="140"/>
      <c r="AQ144" s="141" t="str">
        <f t="shared" si="15"/>
        <v/>
      </c>
      <c r="AR144" s="142"/>
      <c r="AS144" s="140"/>
      <c r="AT144" s="143" t="str">
        <f t="shared" si="16"/>
        <v/>
      </c>
      <c r="AU144" s="139"/>
      <c r="AV144" s="113"/>
      <c r="AW144" s="107" t="str">
        <f t="shared" si="17"/>
        <v/>
      </c>
      <c r="AX144" s="113"/>
      <c r="AY144" s="113"/>
      <c r="AZ144" s="144" t="str">
        <f t="shared" si="18"/>
        <v/>
      </c>
      <c r="BA144" s="80"/>
      <c r="BB144" s="140"/>
      <c r="BC144" s="145" t="str">
        <f t="shared" si="19"/>
        <v/>
      </c>
      <c r="BD144" s="113"/>
      <c r="BE144" s="114"/>
      <c r="BF144" s="146" t="str">
        <f t="shared" si="20"/>
        <v/>
      </c>
      <c r="BG144" s="147" t="s">
        <v>84</v>
      </c>
      <c r="BH144" s="148"/>
      <c r="BI144" s="149" t="s">
        <v>191</v>
      </c>
      <c r="BJ144" s="150">
        <f>'Degrémont sortie'!BI144</f>
        <v>0</v>
      </c>
      <c r="BK144" s="151">
        <f>'Degrémont sortie'!BJ144</f>
        <v>0</v>
      </c>
    </row>
    <row r="145" spans="1:63" ht="15.75" customHeight="1" outlineLevel="1">
      <c r="A145" s="121">
        <f t="shared" si="13"/>
        <v>43597</v>
      </c>
      <c r="B145" s="207"/>
      <c r="C145" s="208"/>
      <c r="D145" s="210"/>
      <c r="E145" s="211"/>
      <c r="F145" s="80"/>
      <c r="G145" s="127">
        <f t="shared" si="0"/>
        <v>0</v>
      </c>
      <c r="H145" s="128">
        <f t="shared" si="1"/>
        <v>0</v>
      </c>
      <c r="I145" s="129">
        <v>1</v>
      </c>
      <c r="J145" s="80"/>
      <c r="K145" s="79">
        <f t="shared" si="2"/>
        <v>0</v>
      </c>
      <c r="L145" s="128">
        <f t="shared" si="3"/>
        <v>0</v>
      </c>
      <c r="M145" s="130">
        <v>1</v>
      </c>
      <c r="N145" s="80"/>
      <c r="O145" s="80" t="str">
        <f t="shared" si="4"/>
        <v/>
      </c>
      <c r="P145" s="81">
        <f t="shared" si="5"/>
        <v>0</v>
      </c>
      <c r="Q145" s="213"/>
      <c r="R145" s="113"/>
      <c r="S145" s="127" t="str">
        <f t="shared" si="6"/>
        <v/>
      </c>
      <c r="T145" s="128">
        <f t="shared" si="7"/>
        <v>0</v>
      </c>
      <c r="U145" s="113"/>
      <c r="V145" s="81">
        <f t="shared" si="14"/>
        <v>0</v>
      </c>
      <c r="W145" s="132"/>
      <c r="X145" s="153"/>
      <c r="Y145" s="94"/>
      <c r="Z145" s="132"/>
      <c r="AA145" s="153"/>
      <c r="AB145" s="94"/>
      <c r="AC145" s="133"/>
      <c r="AD145" s="93" t="str">
        <f t="shared" si="8"/>
        <v/>
      </c>
      <c r="AE145" s="94" t="str">
        <f t="shared" si="9"/>
        <v/>
      </c>
      <c r="AF145" s="139"/>
      <c r="AG145" s="215"/>
      <c r="AH145" s="136" t="str">
        <f t="shared" si="10"/>
        <v/>
      </c>
      <c r="AI145" s="80"/>
      <c r="AJ145" s="154"/>
      <c r="AK145" s="100" t="str">
        <f t="shared" si="21"/>
        <v/>
      </c>
      <c r="AL145" s="138"/>
      <c r="AM145" s="113"/>
      <c r="AN145" s="103" t="str">
        <f t="shared" si="12"/>
        <v/>
      </c>
      <c r="AO145" s="139"/>
      <c r="AP145" s="140"/>
      <c r="AQ145" s="141" t="str">
        <f t="shared" si="15"/>
        <v/>
      </c>
      <c r="AR145" s="142"/>
      <c r="AS145" s="140"/>
      <c r="AT145" s="143" t="str">
        <f t="shared" si="16"/>
        <v/>
      </c>
      <c r="AU145" s="139"/>
      <c r="AV145" s="113"/>
      <c r="AW145" s="107" t="str">
        <f t="shared" si="17"/>
        <v/>
      </c>
      <c r="AX145" s="113"/>
      <c r="AY145" s="113"/>
      <c r="AZ145" s="144" t="str">
        <f t="shared" si="18"/>
        <v/>
      </c>
      <c r="BA145" s="80"/>
      <c r="BB145" s="140"/>
      <c r="BC145" s="145" t="str">
        <f t="shared" si="19"/>
        <v/>
      </c>
      <c r="BD145" s="113"/>
      <c r="BE145" s="114"/>
      <c r="BF145" s="146" t="str">
        <f t="shared" si="20"/>
        <v/>
      </c>
      <c r="BG145" s="147" t="s">
        <v>84</v>
      </c>
      <c r="BH145" s="148"/>
      <c r="BI145" s="149" t="s">
        <v>190</v>
      </c>
      <c r="BJ145" s="150">
        <f>'Degrémont sortie'!BI145</f>
        <v>0</v>
      </c>
      <c r="BK145" s="151">
        <f>'Degrémont sortie'!BJ145</f>
        <v>0</v>
      </c>
    </row>
    <row r="146" spans="1:63" ht="14.25" outlineLevel="1">
      <c r="A146" s="152">
        <f t="shared" si="13"/>
        <v>43598</v>
      </c>
      <c r="B146" s="183">
        <v>1034</v>
      </c>
      <c r="C146" s="184">
        <v>8.6</v>
      </c>
      <c r="D146" s="185">
        <v>89.8</v>
      </c>
      <c r="E146" s="186">
        <v>263</v>
      </c>
      <c r="F146" s="187">
        <v>25</v>
      </c>
      <c r="G146" s="127">
        <f t="shared" si="0"/>
        <v>6928</v>
      </c>
      <c r="H146" s="128">
        <f t="shared" si="1"/>
        <v>7163.5519999999997</v>
      </c>
      <c r="I146" s="188">
        <v>2</v>
      </c>
      <c r="J146" s="187">
        <v>3735</v>
      </c>
      <c r="K146" s="79">
        <f t="shared" si="2"/>
        <v>7470</v>
      </c>
      <c r="L146" s="128">
        <f t="shared" si="3"/>
        <v>7723.98</v>
      </c>
      <c r="M146" s="189">
        <v>1</v>
      </c>
      <c r="N146" s="187">
        <v>541</v>
      </c>
      <c r="O146" s="80">
        <f t="shared" si="4"/>
        <v>541</v>
      </c>
      <c r="P146" s="81">
        <f t="shared" si="5"/>
        <v>559.39400000000001</v>
      </c>
      <c r="Q146" s="188">
        <v>40</v>
      </c>
      <c r="R146" s="190">
        <v>7</v>
      </c>
      <c r="S146" s="127">
        <f t="shared" si="6"/>
        <v>280</v>
      </c>
      <c r="T146" s="128">
        <f t="shared" si="7"/>
        <v>289.52</v>
      </c>
      <c r="U146" s="191"/>
      <c r="V146" s="81">
        <f t="shared" si="14"/>
        <v>0</v>
      </c>
      <c r="W146" s="132"/>
      <c r="X146" s="153"/>
      <c r="Y146" s="94"/>
      <c r="Z146" s="132"/>
      <c r="AA146" s="153"/>
      <c r="AB146" s="94"/>
      <c r="AC146" s="133"/>
      <c r="AD146" s="93" t="str">
        <f t="shared" si="8"/>
        <v/>
      </c>
      <c r="AE146" s="94" t="e">
        <f t="shared" si="9"/>
        <v>#VALUE!</v>
      </c>
      <c r="AF146" s="192" t="s">
        <v>85</v>
      </c>
      <c r="AG146" s="193">
        <v>0.01</v>
      </c>
      <c r="AH146" s="136">
        <f t="shared" si="10"/>
        <v>5.1700000000000001E-3</v>
      </c>
      <c r="AI146" s="80"/>
      <c r="AJ146" s="154"/>
      <c r="AK146" s="100" t="str">
        <f t="shared" si="21"/>
        <v/>
      </c>
      <c r="AL146" s="194"/>
      <c r="AM146" s="191"/>
      <c r="AN146" s="103" t="str">
        <f t="shared" si="12"/>
        <v/>
      </c>
      <c r="AO146" s="195"/>
      <c r="AP146" s="196"/>
      <c r="AQ146" s="141" t="str">
        <f t="shared" si="15"/>
        <v/>
      </c>
      <c r="AR146" s="197"/>
      <c r="AS146" s="196"/>
      <c r="AT146" s="143" t="str">
        <f t="shared" si="16"/>
        <v/>
      </c>
      <c r="AU146" s="195"/>
      <c r="AV146" s="191"/>
      <c r="AW146" s="107" t="str">
        <f t="shared" si="17"/>
        <v/>
      </c>
      <c r="AX146" s="191"/>
      <c r="AY146" s="191"/>
      <c r="AZ146" s="144" t="str">
        <f t="shared" si="18"/>
        <v/>
      </c>
      <c r="BA146" s="198"/>
      <c r="BB146" s="196"/>
      <c r="BC146" s="145" t="str">
        <f t="shared" si="19"/>
        <v/>
      </c>
      <c r="BD146" s="191"/>
      <c r="BE146" s="199"/>
      <c r="BF146" s="146" t="str">
        <f t="shared" si="20"/>
        <v/>
      </c>
      <c r="BG146" s="147" t="s">
        <v>84</v>
      </c>
      <c r="BH146" s="200"/>
      <c r="BI146" s="391"/>
      <c r="BJ146" s="150">
        <f>'Degrémont sortie'!BI146</f>
        <v>0</v>
      </c>
      <c r="BK146" s="151">
        <f>'Degrémont sortie'!BJ146</f>
        <v>0</v>
      </c>
    </row>
    <row r="147" spans="1:63" ht="14.25" outlineLevel="1">
      <c r="A147" s="121">
        <f t="shared" si="13"/>
        <v>43599</v>
      </c>
      <c r="B147" s="122">
        <v>924</v>
      </c>
      <c r="C147" s="123">
        <v>8.4</v>
      </c>
      <c r="D147" s="124">
        <v>89.1</v>
      </c>
      <c r="E147" s="125">
        <v>307</v>
      </c>
      <c r="F147" s="126">
        <v>24</v>
      </c>
      <c r="G147" s="127">
        <f t="shared" si="0"/>
        <v>9079.1666666666661</v>
      </c>
      <c r="H147" s="128">
        <f t="shared" si="1"/>
        <v>8389.15</v>
      </c>
      <c r="I147" s="129">
        <v>2</v>
      </c>
      <c r="J147" s="126">
        <v>4382</v>
      </c>
      <c r="K147" s="79">
        <f t="shared" si="2"/>
        <v>8764</v>
      </c>
      <c r="L147" s="128">
        <f t="shared" si="3"/>
        <v>8097.9359999999997</v>
      </c>
      <c r="M147" s="130">
        <v>1</v>
      </c>
      <c r="N147" s="126">
        <v>450</v>
      </c>
      <c r="O147" s="80">
        <f t="shared" si="4"/>
        <v>450</v>
      </c>
      <c r="P147" s="81">
        <f t="shared" si="5"/>
        <v>415.8</v>
      </c>
      <c r="Q147" s="129">
        <v>50</v>
      </c>
      <c r="R147" s="131">
        <v>7.35</v>
      </c>
      <c r="S147" s="127">
        <f t="shared" si="6"/>
        <v>367.5</v>
      </c>
      <c r="T147" s="128">
        <f t="shared" si="7"/>
        <v>339.57</v>
      </c>
      <c r="U147" s="131">
        <v>111</v>
      </c>
      <c r="V147" s="81">
        <f t="shared" si="14"/>
        <v>102.56399999999999</v>
      </c>
      <c r="W147" s="132"/>
      <c r="X147" s="153"/>
      <c r="Y147" s="94"/>
      <c r="Z147" s="132"/>
      <c r="AA147" s="153"/>
      <c r="AB147" s="94"/>
      <c r="AC147" s="133"/>
      <c r="AD147" s="93" t="str">
        <f t="shared" si="8"/>
        <v/>
      </c>
      <c r="AE147" s="94" t="e">
        <f t="shared" si="9"/>
        <v>#VALUE!</v>
      </c>
      <c r="AF147" s="134" t="s">
        <v>85</v>
      </c>
      <c r="AG147" s="135">
        <v>0.01</v>
      </c>
      <c r="AH147" s="136">
        <f t="shared" si="10"/>
        <v>4.62E-3</v>
      </c>
      <c r="AI147" s="80"/>
      <c r="AJ147" s="154"/>
      <c r="AK147" s="100" t="str">
        <f t="shared" si="21"/>
        <v/>
      </c>
      <c r="AL147" s="138"/>
      <c r="AM147" s="131">
        <v>2.8</v>
      </c>
      <c r="AN147" s="103">
        <f t="shared" si="12"/>
        <v>19.770799999999998</v>
      </c>
      <c r="AO147" s="139"/>
      <c r="AP147" s="155">
        <v>350.51</v>
      </c>
      <c r="AQ147" s="141">
        <f t="shared" si="15"/>
        <v>2474.95111</v>
      </c>
      <c r="AR147" s="142"/>
      <c r="AS147" s="155">
        <v>1.44</v>
      </c>
      <c r="AT147" s="143">
        <f t="shared" si="16"/>
        <v>10.16784</v>
      </c>
      <c r="AU147" s="139"/>
      <c r="AV147" s="131">
        <v>47.92</v>
      </c>
      <c r="AW147" s="107">
        <f t="shared" si="17"/>
        <v>338.36312000000004</v>
      </c>
      <c r="AX147" s="113"/>
      <c r="AY147" s="131">
        <v>459.18</v>
      </c>
      <c r="AZ147" s="144">
        <f t="shared" si="18"/>
        <v>3242.26998</v>
      </c>
      <c r="BA147" s="80"/>
      <c r="BB147" s="155">
        <v>1.07</v>
      </c>
      <c r="BC147" s="145">
        <f t="shared" si="19"/>
        <v>7.5552700000000002</v>
      </c>
      <c r="BD147" s="131" t="s">
        <v>85</v>
      </c>
      <c r="BE147" s="158">
        <v>0.13</v>
      </c>
      <c r="BF147" s="146">
        <f t="shared" si="20"/>
        <v>0.45896500000000001</v>
      </c>
      <c r="BG147" s="147" t="s">
        <v>84</v>
      </c>
      <c r="BH147" s="148"/>
      <c r="BI147" s="156"/>
      <c r="BJ147" s="150">
        <f>'Degrémont sortie'!BI147</f>
        <v>0</v>
      </c>
      <c r="BK147" s="151">
        <f>'Degrémont sortie'!BJ147</f>
        <v>0</v>
      </c>
    </row>
    <row r="148" spans="1:63" ht="14.25" outlineLevel="1">
      <c r="A148" s="152">
        <f t="shared" si="13"/>
        <v>43600</v>
      </c>
      <c r="B148" s="122">
        <v>995</v>
      </c>
      <c r="C148" s="123">
        <v>8.6999999999999993</v>
      </c>
      <c r="D148" s="124">
        <v>90.5</v>
      </c>
      <c r="E148" s="125">
        <v>352</v>
      </c>
      <c r="F148" s="126">
        <v>25</v>
      </c>
      <c r="G148" s="127">
        <f t="shared" si="0"/>
        <v>10460</v>
      </c>
      <c r="H148" s="128">
        <f t="shared" si="1"/>
        <v>10407.700000000001</v>
      </c>
      <c r="I148" s="129">
        <v>2</v>
      </c>
      <c r="J148" s="126">
        <v>4691</v>
      </c>
      <c r="K148" s="79">
        <f t="shared" si="2"/>
        <v>9382</v>
      </c>
      <c r="L148" s="128">
        <f t="shared" si="3"/>
        <v>9335.09</v>
      </c>
      <c r="M148" s="130">
        <v>1</v>
      </c>
      <c r="N148" s="126">
        <v>263</v>
      </c>
      <c r="O148" s="80">
        <f t="shared" si="4"/>
        <v>263</v>
      </c>
      <c r="P148" s="81">
        <f t="shared" si="5"/>
        <v>261.685</v>
      </c>
      <c r="Q148" s="129">
        <v>50</v>
      </c>
      <c r="R148" s="131">
        <v>7.8</v>
      </c>
      <c r="S148" s="127">
        <f t="shared" si="6"/>
        <v>390</v>
      </c>
      <c r="T148" s="128">
        <f t="shared" si="7"/>
        <v>388.05</v>
      </c>
      <c r="U148" s="113"/>
      <c r="V148" s="81">
        <f t="shared" si="14"/>
        <v>0</v>
      </c>
      <c r="W148" s="132"/>
      <c r="X148" s="153"/>
      <c r="Y148" s="94"/>
      <c r="Z148" s="132"/>
      <c r="AA148" s="153"/>
      <c r="AB148" s="94"/>
      <c r="AC148" s="133"/>
      <c r="AD148" s="93" t="str">
        <f t="shared" si="8"/>
        <v/>
      </c>
      <c r="AE148" s="94" t="e">
        <f t="shared" si="9"/>
        <v>#VALUE!</v>
      </c>
      <c r="AF148" s="134" t="s">
        <v>85</v>
      </c>
      <c r="AG148" s="135">
        <v>0.01</v>
      </c>
      <c r="AH148" s="136">
        <f t="shared" si="10"/>
        <v>4.9750000000000003E-3</v>
      </c>
      <c r="AI148" s="80"/>
      <c r="AJ148" s="154"/>
      <c r="AK148" s="100" t="str">
        <f t="shared" si="21"/>
        <v/>
      </c>
      <c r="AL148" s="138"/>
      <c r="AM148" s="113"/>
      <c r="AN148" s="103" t="str">
        <f t="shared" si="12"/>
        <v/>
      </c>
      <c r="AO148" s="139"/>
      <c r="AP148" s="140"/>
      <c r="AQ148" s="141" t="str">
        <f t="shared" si="15"/>
        <v/>
      </c>
      <c r="AR148" s="142"/>
      <c r="AS148" s="140"/>
      <c r="AT148" s="143" t="str">
        <f t="shared" si="16"/>
        <v/>
      </c>
      <c r="AU148" s="139"/>
      <c r="AV148" s="113"/>
      <c r="AW148" s="107" t="str">
        <f t="shared" si="17"/>
        <v/>
      </c>
      <c r="AX148" s="113"/>
      <c r="AY148" s="113"/>
      <c r="AZ148" s="144" t="str">
        <f t="shared" si="18"/>
        <v/>
      </c>
      <c r="BA148" s="80"/>
      <c r="BB148" s="140"/>
      <c r="BC148" s="145" t="str">
        <f t="shared" si="19"/>
        <v/>
      </c>
      <c r="BD148" s="113"/>
      <c r="BE148" s="114"/>
      <c r="BF148" s="146" t="str">
        <f t="shared" si="20"/>
        <v/>
      </c>
      <c r="BG148" s="147" t="s">
        <v>84</v>
      </c>
      <c r="BH148" s="148"/>
      <c r="BI148" s="156"/>
      <c r="BJ148" s="150">
        <f>'Degrémont sortie'!BI148</f>
        <v>0</v>
      </c>
      <c r="BK148" s="151">
        <f>'Degrémont sortie'!BJ148</f>
        <v>0</v>
      </c>
    </row>
    <row r="149" spans="1:63" ht="14.25" outlineLevel="1">
      <c r="A149" s="121">
        <f t="shared" si="13"/>
        <v>43601</v>
      </c>
      <c r="B149" s="122">
        <v>1008</v>
      </c>
      <c r="C149" s="123">
        <v>7.85</v>
      </c>
      <c r="D149" s="124">
        <v>88.2</v>
      </c>
      <c r="E149" s="125">
        <v>267.10000000000002</v>
      </c>
      <c r="F149" s="126">
        <v>26</v>
      </c>
      <c r="G149" s="127">
        <f t="shared" si="0"/>
        <v>6880.7692307692323</v>
      </c>
      <c r="H149" s="128">
        <f t="shared" si="1"/>
        <v>6935.8153846153855</v>
      </c>
      <c r="I149" s="129">
        <v>2</v>
      </c>
      <c r="J149" s="126">
        <v>4089</v>
      </c>
      <c r="K149" s="79">
        <f t="shared" si="2"/>
        <v>8178</v>
      </c>
      <c r="L149" s="128">
        <f t="shared" si="3"/>
        <v>8243.4240000000009</v>
      </c>
      <c r="M149" s="130">
        <v>1</v>
      </c>
      <c r="N149" s="126">
        <v>1583</v>
      </c>
      <c r="O149" s="80">
        <f t="shared" si="4"/>
        <v>1583</v>
      </c>
      <c r="P149" s="81">
        <f t="shared" si="5"/>
        <v>1595.664</v>
      </c>
      <c r="Q149" s="129">
        <v>50</v>
      </c>
      <c r="R149" s="131">
        <v>6.92</v>
      </c>
      <c r="S149" s="127">
        <f t="shared" si="6"/>
        <v>346</v>
      </c>
      <c r="T149" s="128">
        <f t="shared" si="7"/>
        <v>348.76799999999997</v>
      </c>
      <c r="U149" s="113"/>
      <c r="V149" s="81">
        <f t="shared" si="14"/>
        <v>0</v>
      </c>
      <c r="W149" s="132"/>
      <c r="X149" s="153"/>
      <c r="Y149" s="94"/>
      <c r="Z149" s="132"/>
      <c r="AA149" s="153"/>
      <c r="AB149" s="94"/>
      <c r="AC149" s="133"/>
      <c r="AD149" s="93" t="str">
        <f t="shared" si="8"/>
        <v/>
      </c>
      <c r="AE149" s="94" t="e">
        <f t="shared" si="9"/>
        <v>#VALUE!</v>
      </c>
      <c r="AF149" s="134" t="s">
        <v>85</v>
      </c>
      <c r="AG149" s="135">
        <v>0.01</v>
      </c>
      <c r="AH149" s="136">
        <f t="shared" si="10"/>
        <v>5.0400000000000002E-3</v>
      </c>
      <c r="AI149" s="80"/>
      <c r="AJ149" s="154"/>
      <c r="AK149" s="100" t="str">
        <f t="shared" si="21"/>
        <v/>
      </c>
      <c r="AL149" s="138"/>
      <c r="AM149" s="113"/>
      <c r="AN149" s="103" t="str">
        <f t="shared" si="12"/>
        <v/>
      </c>
      <c r="AO149" s="139"/>
      <c r="AP149" s="140"/>
      <c r="AQ149" s="141" t="str">
        <f t="shared" si="15"/>
        <v/>
      </c>
      <c r="AR149" s="142"/>
      <c r="AS149" s="140"/>
      <c r="AT149" s="143" t="str">
        <f t="shared" si="16"/>
        <v/>
      </c>
      <c r="AU149" s="139"/>
      <c r="AV149" s="113"/>
      <c r="AW149" s="107" t="str">
        <f t="shared" si="17"/>
        <v/>
      </c>
      <c r="AX149" s="113"/>
      <c r="AY149" s="113"/>
      <c r="AZ149" s="144" t="str">
        <f t="shared" si="18"/>
        <v/>
      </c>
      <c r="BA149" s="80"/>
      <c r="BB149" s="140"/>
      <c r="BC149" s="145" t="str">
        <f t="shared" si="19"/>
        <v/>
      </c>
      <c r="BD149" s="113"/>
      <c r="BE149" s="114"/>
      <c r="BF149" s="146" t="str">
        <f t="shared" si="20"/>
        <v/>
      </c>
      <c r="BG149" s="147" t="s">
        <v>84</v>
      </c>
      <c r="BH149" s="148"/>
      <c r="BI149" s="149" t="s">
        <v>192</v>
      </c>
      <c r="BJ149" s="150">
        <f>'Degrémont sortie'!BI149</f>
        <v>0</v>
      </c>
      <c r="BK149" s="151">
        <f>'Degrémont sortie'!BJ149</f>
        <v>0</v>
      </c>
    </row>
    <row r="150" spans="1:63" ht="14.25" outlineLevel="1">
      <c r="A150" s="152">
        <f t="shared" si="13"/>
        <v>43602</v>
      </c>
      <c r="B150" s="122">
        <v>755</v>
      </c>
      <c r="C150" s="123">
        <v>7.2</v>
      </c>
      <c r="D150" s="124">
        <v>88.9</v>
      </c>
      <c r="E150" s="125">
        <v>216</v>
      </c>
      <c r="F150" s="126">
        <v>28</v>
      </c>
      <c r="G150" s="127">
        <f t="shared" si="0"/>
        <v>4539.2857142857147</v>
      </c>
      <c r="H150" s="128">
        <f t="shared" si="1"/>
        <v>3427.1607142857147</v>
      </c>
      <c r="I150" s="129">
        <v>1</v>
      </c>
      <c r="J150" s="126">
        <v>5331</v>
      </c>
      <c r="K150" s="79">
        <f t="shared" si="2"/>
        <v>5331</v>
      </c>
      <c r="L150" s="128">
        <f t="shared" si="3"/>
        <v>4024.9050000000002</v>
      </c>
      <c r="M150" s="130">
        <v>1</v>
      </c>
      <c r="N150" s="126">
        <v>723</v>
      </c>
      <c r="O150" s="80">
        <f t="shared" si="4"/>
        <v>723</v>
      </c>
      <c r="P150" s="81">
        <f t="shared" si="5"/>
        <v>545.86500000000001</v>
      </c>
      <c r="Q150" s="129">
        <v>20</v>
      </c>
      <c r="R150" s="131">
        <v>10.8</v>
      </c>
      <c r="S150" s="127">
        <f t="shared" si="6"/>
        <v>216</v>
      </c>
      <c r="T150" s="128">
        <f t="shared" si="7"/>
        <v>163.08000000000001</v>
      </c>
      <c r="U150" s="113"/>
      <c r="V150" s="81">
        <f t="shared" si="14"/>
        <v>0</v>
      </c>
      <c r="W150" s="132"/>
      <c r="X150" s="153"/>
      <c r="Y150" s="94"/>
      <c r="Z150" s="132"/>
      <c r="AA150" s="153"/>
      <c r="AB150" s="94"/>
      <c r="AC150" s="133"/>
      <c r="AD150" s="93" t="str">
        <f t="shared" si="8"/>
        <v/>
      </c>
      <c r="AE150" s="94" t="e">
        <f t="shared" si="9"/>
        <v>#VALUE!</v>
      </c>
      <c r="AF150" s="134" t="s">
        <v>85</v>
      </c>
      <c r="AG150" s="135">
        <v>0.01</v>
      </c>
      <c r="AH150" s="136">
        <f t="shared" si="10"/>
        <v>3.7749999999999997E-3</v>
      </c>
      <c r="AI150" s="80"/>
      <c r="AJ150" s="154"/>
      <c r="AK150" s="100" t="str">
        <f t="shared" si="21"/>
        <v/>
      </c>
      <c r="AL150" s="138"/>
      <c r="AM150" s="113"/>
      <c r="AN150" s="103" t="str">
        <f t="shared" si="12"/>
        <v/>
      </c>
      <c r="AO150" s="139"/>
      <c r="AP150" s="140"/>
      <c r="AQ150" s="141" t="str">
        <f t="shared" si="15"/>
        <v/>
      </c>
      <c r="AR150" s="142"/>
      <c r="AS150" s="140"/>
      <c r="AT150" s="143" t="str">
        <f t="shared" si="16"/>
        <v/>
      </c>
      <c r="AU150" s="139"/>
      <c r="AV150" s="113"/>
      <c r="AW150" s="107" t="str">
        <f t="shared" si="17"/>
        <v/>
      </c>
      <c r="AX150" s="113"/>
      <c r="AY150" s="113"/>
      <c r="AZ150" s="144" t="str">
        <f t="shared" si="18"/>
        <v/>
      </c>
      <c r="BA150" s="80"/>
      <c r="BB150" s="140"/>
      <c r="BC150" s="145" t="str">
        <f t="shared" si="19"/>
        <v/>
      </c>
      <c r="BD150" s="113"/>
      <c r="BE150" s="114"/>
      <c r="BF150" s="146" t="str">
        <f t="shared" si="20"/>
        <v/>
      </c>
      <c r="BG150" s="147" t="s">
        <v>84</v>
      </c>
      <c r="BH150" s="148"/>
      <c r="BI150" s="156"/>
      <c r="BJ150" s="150">
        <f>'Degrémont sortie'!BI150</f>
        <v>0</v>
      </c>
      <c r="BK150" s="151">
        <f>'Degrémont sortie'!BJ150</f>
        <v>0</v>
      </c>
    </row>
    <row r="151" spans="1:63" ht="14.25" outlineLevel="1">
      <c r="A151" s="121">
        <f t="shared" si="13"/>
        <v>43603</v>
      </c>
      <c r="B151" s="122">
        <v>1048</v>
      </c>
      <c r="C151" s="123">
        <v>7.7</v>
      </c>
      <c r="D151" s="124">
        <v>90</v>
      </c>
      <c r="E151" s="125">
        <v>119.9</v>
      </c>
      <c r="F151" s="126">
        <v>31</v>
      </c>
      <c r="G151" s="127">
        <f t="shared" si="0"/>
        <v>964.51612903225828</v>
      </c>
      <c r="H151" s="128">
        <f t="shared" si="1"/>
        <v>1010.8129032258066</v>
      </c>
      <c r="I151" s="129">
        <v>1</v>
      </c>
      <c r="J151" s="126">
        <v>2208</v>
      </c>
      <c r="K151" s="79">
        <f t="shared" si="2"/>
        <v>2208</v>
      </c>
      <c r="L151" s="128">
        <f t="shared" si="3"/>
        <v>2313.9839999999999</v>
      </c>
      <c r="M151" s="130">
        <v>1</v>
      </c>
      <c r="N151" s="126">
        <v>1009</v>
      </c>
      <c r="O151" s="80">
        <f t="shared" si="4"/>
        <v>1009</v>
      </c>
      <c r="P151" s="81">
        <f t="shared" si="5"/>
        <v>1057.432</v>
      </c>
      <c r="Q151" s="129">
        <v>20</v>
      </c>
      <c r="R151" s="131">
        <v>3.05</v>
      </c>
      <c r="S151" s="127">
        <f t="shared" si="6"/>
        <v>61</v>
      </c>
      <c r="T151" s="128">
        <f t="shared" si="7"/>
        <v>63.927999999999997</v>
      </c>
      <c r="U151" s="113"/>
      <c r="V151" s="81">
        <f t="shared" si="14"/>
        <v>0</v>
      </c>
      <c r="W151" s="132"/>
      <c r="X151" s="153"/>
      <c r="Y151" s="94"/>
      <c r="Z151" s="132"/>
      <c r="AA151" s="153"/>
      <c r="AB151" s="94"/>
      <c r="AC151" s="133"/>
      <c r="AD151" s="93" t="str">
        <f t="shared" si="8"/>
        <v/>
      </c>
      <c r="AE151" s="94" t="e">
        <f t="shared" si="9"/>
        <v>#VALUE!</v>
      </c>
      <c r="AF151" s="134" t="s">
        <v>85</v>
      </c>
      <c r="AG151" s="135">
        <v>0.01</v>
      </c>
      <c r="AH151" s="136">
        <f t="shared" si="10"/>
        <v>5.2399999999999999E-3</v>
      </c>
      <c r="AI151" s="80"/>
      <c r="AJ151" s="154"/>
      <c r="AK151" s="100" t="str">
        <f t="shared" si="21"/>
        <v/>
      </c>
      <c r="AL151" s="138"/>
      <c r="AM151" s="113"/>
      <c r="AN151" s="103" t="str">
        <f t="shared" si="12"/>
        <v/>
      </c>
      <c r="AO151" s="139"/>
      <c r="AP151" s="140"/>
      <c r="AQ151" s="141" t="str">
        <f t="shared" si="15"/>
        <v/>
      </c>
      <c r="AR151" s="142"/>
      <c r="AS151" s="140"/>
      <c r="AT151" s="143" t="str">
        <f t="shared" si="16"/>
        <v/>
      </c>
      <c r="AU151" s="139"/>
      <c r="AV151" s="113"/>
      <c r="AW151" s="107" t="str">
        <f t="shared" si="17"/>
        <v/>
      </c>
      <c r="AX151" s="113"/>
      <c r="AY151" s="113"/>
      <c r="AZ151" s="144" t="str">
        <f t="shared" si="18"/>
        <v/>
      </c>
      <c r="BA151" s="80"/>
      <c r="BB151" s="140"/>
      <c r="BC151" s="145" t="str">
        <f t="shared" si="19"/>
        <v/>
      </c>
      <c r="BD151" s="113"/>
      <c r="BE151" s="114"/>
      <c r="BF151" s="146" t="str">
        <f t="shared" si="20"/>
        <v/>
      </c>
      <c r="BG151" s="147" t="s">
        <v>84</v>
      </c>
      <c r="BH151" s="148"/>
      <c r="BI151" s="156"/>
      <c r="BJ151" s="150">
        <f>'Degrémont sortie'!BI151</f>
        <v>0</v>
      </c>
      <c r="BK151" s="151">
        <f>'Degrémont sortie'!BJ151</f>
        <v>0</v>
      </c>
    </row>
    <row r="152" spans="1:63" ht="14.25" outlineLevel="1">
      <c r="A152" s="152">
        <f t="shared" si="13"/>
        <v>43604</v>
      </c>
      <c r="B152" s="207"/>
      <c r="C152" s="208"/>
      <c r="D152" s="210"/>
      <c r="E152" s="211"/>
      <c r="F152" s="80"/>
      <c r="G152" s="127">
        <f t="shared" si="0"/>
        <v>0</v>
      </c>
      <c r="H152" s="128">
        <f t="shared" si="1"/>
        <v>0</v>
      </c>
      <c r="I152" s="129">
        <v>1</v>
      </c>
      <c r="J152" s="80"/>
      <c r="K152" s="79">
        <f t="shared" si="2"/>
        <v>0</v>
      </c>
      <c r="L152" s="128">
        <f t="shared" si="3"/>
        <v>0</v>
      </c>
      <c r="M152" s="130">
        <v>1</v>
      </c>
      <c r="N152" s="80"/>
      <c r="O152" s="80" t="str">
        <f t="shared" si="4"/>
        <v/>
      </c>
      <c r="P152" s="81">
        <f t="shared" si="5"/>
        <v>0</v>
      </c>
      <c r="Q152" s="213"/>
      <c r="R152" s="113"/>
      <c r="S152" s="127" t="str">
        <f t="shared" si="6"/>
        <v/>
      </c>
      <c r="T152" s="128">
        <f t="shared" si="7"/>
        <v>0</v>
      </c>
      <c r="U152" s="113"/>
      <c r="V152" s="81">
        <f t="shared" si="14"/>
        <v>0</v>
      </c>
      <c r="W152" s="132"/>
      <c r="X152" s="153"/>
      <c r="Y152" s="94"/>
      <c r="Z152" s="132"/>
      <c r="AA152" s="153"/>
      <c r="AB152" s="94"/>
      <c r="AC152" s="133"/>
      <c r="AD152" s="93" t="str">
        <f t="shared" si="8"/>
        <v/>
      </c>
      <c r="AE152" s="94" t="str">
        <f t="shared" si="9"/>
        <v/>
      </c>
      <c r="AF152" s="139"/>
      <c r="AG152" s="215"/>
      <c r="AH152" s="136" t="str">
        <f t="shared" si="10"/>
        <v/>
      </c>
      <c r="AI152" s="80"/>
      <c r="AJ152" s="154"/>
      <c r="AK152" s="100" t="str">
        <f t="shared" si="21"/>
        <v/>
      </c>
      <c r="AL152" s="138"/>
      <c r="AM152" s="113"/>
      <c r="AN152" s="103" t="str">
        <f t="shared" si="12"/>
        <v/>
      </c>
      <c r="AO152" s="139"/>
      <c r="AP152" s="140"/>
      <c r="AQ152" s="141" t="str">
        <f t="shared" si="15"/>
        <v/>
      </c>
      <c r="AR152" s="142"/>
      <c r="AS152" s="140"/>
      <c r="AT152" s="143" t="str">
        <f t="shared" si="16"/>
        <v/>
      </c>
      <c r="AU152" s="139"/>
      <c r="AV152" s="113"/>
      <c r="AW152" s="107" t="str">
        <f t="shared" si="17"/>
        <v/>
      </c>
      <c r="AX152" s="113"/>
      <c r="AY152" s="113"/>
      <c r="AZ152" s="144" t="str">
        <f t="shared" si="18"/>
        <v/>
      </c>
      <c r="BA152" s="80"/>
      <c r="BB152" s="140"/>
      <c r="BC152" s="145" t="str">
        <f t="shared" si="19"/>
        <v/>
      </c>
      <c r="BD152" s="113"/>
      <c r="BE152" s="114"/>
      <c r="BF152" s="146" t="str">
        <f t="shared" si="20"/>
        <v/>
      </c>
      <c r="BG152" s="147" t="s">
        <v>84</v>
      </c>
      <c r="BH152" s="148"/>
      <c r="BI152" s="156"/>
      <c r="BJ152" s="150">
        <f>'Degrémont sortie'!BI152</f>
        <v>0</v>
      </c>
      <c r="BK152" s="151">
        <f>'Degrémont sortie'!BJ152</f>
        <v>0</v>
      </c>
    </row>
    <row r="153" spans="1:63" ht="15.75" customHeight="1" outlineLevel="1">
      <c r="A153" s="121">
        <f t="shared" si="13"/>
        <v>43605</v>
      </c>
      <c r="B153" s="122">
        <v>855</v>
      </c>
      <c r="C153" s="123">
        <v>8</v>
      </c>
      <c r="D153" s="124">
        <v>88.8</v>
      </c>
      <c r="E153" s="125">
        <v>158.30000000000001</v>
      </c>
      <c r="F153" s="126">
        <v>27</v>
      </c>
      <c r="G153" s="127">
        <f t="shared" si="0"/>
        <v>2574.0740740740748</v>
      </c>
      <c r="H153" s="128">
        <f t="shared" si="1"/>
        <v>2200.8333333333339</v>
      </c>
      <c r="I153" s="129">
        <v>1</v>
      </c>
      <c r="J153" s="126">
        <v>3412</v>
      </c>
      <c r="K153" s="79">
        <f t="shared" si="2"/>
        <v>3412</v>
      </c>
      <c r="L153" s="128">
        <f t="shared" si="3"/>
        <v>2917.26</v>
      </c>
      <c r="M153" s="130">
        <v>1</v>
      </c>
      <c r="N153" s="126">
        <v>758</v>
      </c>
      <c r="O153" s="80">
        <f t="shared" si="4"/>
        <v>758</v>
      </c>
      <c r="P153" s="81">
        <f t="shared" si="5"/>
        <v>648.09</v>
      </c>
      <c r="Q153" s="129">
        <v>20</v>
      </c>
      <c r="R153" s="131">
        <v>4.79</v>
      </c>
      <c r="S153" s="127">
        <f t="shared" si="6"/>
        <v>95.8</v>
      </c>
      <c r="T153" s="128">
        <f t="shared" si="7"/>
        <v>81.909000000000006</v>
      </c>
      <c r="U153" s="113"/>
      <c r="V153" s="81">
        <f t="shared" si="14"/>
        <v>0</v>
      </c>
      <c r="W153" s="132"/>
      <c r="X153" s="153"/>
      <c r="Y153" s="94"/>
      <c r="Z153" s="132"/>
      <c r="AA153" s="153"/>
      <c r="AB153" s="94"/>
      <c r="AC153" s="133"/>
      <c r="AD153" s="93" t="str">
        <f t="shared" si="8"/>
        <v/>
      </c>
      <c r="AE153" s="94" t="e">
        <f t="shared" si="9"/>
        <v>#VALUE!</v>
      </c>
      <c r="AF153" s="134" t="s">
        <v>85</v>
      </c>
      <c r="AG153" s="135">
        <v>0.01</v>
      </c>
      <c r="AH153" s="136">
        <f t="shared" si="10"/>
        <v>4.2750000000000002E-3</v>
      </c>
      <c r="AI153" s="80"/>
      <c r="AJ153" s="154"/>
      <c r="AK153" s="100" t="str">
        <f t="shared" si="21"/>
        <v/>
      </c>
      <c r="AL153" s="138"/>
      <c r="AM153" s="113"/>
      <c r="AN153" s="103" t="str">
        <f t="shared" si="12"/>
        <v/>
      </c>
      <c r="AO153" s="139"/>
      <c r="AP153" s="140"/>
      <c r="AQ153" s="141" t="str">
        <f t="shared" si="15"/>
        <v/>
      </c>
      <c r="AR153" s="142"/>
      <c r="AS153" s="140"/>
      <c r="AT153" s="143" t="str">
        <f t="shared" si="16"/>
        <v/>
      </c>
      <c r="AU153" s="139"/>
      <c r="AV153" s="113"/>
      <c r="AW153" s="107" t="str">
        <f t="shared" si="17"/>
        <v/>
      </c>
      <c r="AX153" s="113"/>
      <c r="AY153" s="113"/>
      <c r="AZ153" s="144" t="str">
        <f t="shared" si="18"/>
        <v/>
      </c>
      <c r="BA153" s="80"/>
      <c r="BB153" s="140"/>
      <c r="BC153" s="145" t="str">
        <f t="shared" si="19"/>
        <v/>
      </c>
      <c r="BD153" s="113"/>
      <c r="BE153" s="114"/>
      <c r="BF153" s="146" t="str">
        <f t="shared" si="20"/>
        <v/>
      </c>
      <c r="BG153" s="147" t="s">
        <v>84</v>
      </c>
      <c r="BH153" s="148"/>
      <c r="BI153" s="156"/>
      <c r="BJ153" s="150">
        <f>'Degrémont sortie'!BI153</f>
        <v>0</v>
      </c>
      <c r="BK153" s="151">
        <f>'Degrémont sortie'!BJ153</f>
        <v>0</v>
      </c>
    </row>
    <row r="154" spans="1:63" ht="15.75" customHeight="1" outlineLevel="1">
      <c r="A154" s="152">
        <f t="shared" si="13"/>
        <v>43606</v>
      </c>
      <c r="B154" s="122">
        <v>903</v>
      </c>
      <c r="C154" s="123">
        <v>7.6</v>
      </c>
      <c r="D154" s="124">
        <v>90.4</v>
      </c>
      <c r="E154" s="125">
        <v>135.6</v>
      </c>
      <c r="F154" s="126">
        <v>42</v>
      </c>
      <c r="G154" s="127">
        <f t="shared" si="0"/>
        <v>1076.1904761904759</v>
      </c>
      <c r="H154" s="128">
        <f t="shared" si="1"/>
        <v>971.79999999999973</v>
      </c>
      <c r="I154" s="129">
        <v>1</v>
      </c>
      <c r="J154" s="126">
        <v>1555</v>
      </c>
      <c r="K154" s="79">
        <f t="shared" si="2"/>
        <v>1555</v>
      </c>
      <c r="L154" s="128">
        <f t="shared" si="3"/>
        <v>1404.165</v>
      </c>
      <c r="M154" s="130">
        <v>1</v>
      </c>
      <c r="N154" s="126">
        <v>544</v>
      </c>
      <c r="O154" s="80">
        <f t="shared" si="4"/>
        <v>544</v>
      </c>
      <c r="P154" s="81">
        <f t="shared" si="5"/>
        <v>491.23200000000003</v>
      </c>
      <c r="Q154" s="129">
        <v>20</v>
      </c>
      <c r="R154" s="131">
        <v>1.78</v>
      </c>
      <c r="S154" s="127">
        <f t="shared" si="6"/>
        <v>35.6</v>
      </c>
      <c r="T154" s="128">
        <f t="shared" si="7"/>
        <v>32.146800000000006</v>
      </c>
      <c r="U154" s="131">
        <v>67.400000000000006</v>
      </c>
      <c r="V154" s="81">
        <f t="shared" si="14"/>
        <v>60.862200000000001</v>
      </c>
      <c r="W154" s="132"/>
      <c r="X154" s="153"/>
      <c r="Y154" s="94"/>
      <c r="Z154" s="132"/>
      <c r="AA154" s="153"/>
      <c r="AB154" s="94"/>
      <c r="AC154" s="133"/>
      <c r="AD154" s="93" t="str">
        <f t="shared" si="8"/>
        <v/>
      </c>
      <c r="AE154" s="94" t="e">
        <f t="shared" si="9"/>
        <v>#VALUE!</v>
      </c>
      <c r="AF154" s="139"/>
      <c r="AG154" s="215"/>
      <c r="AH154" s="136">
        <f t="shared" si="10"/>
        <v>0</v>
      </c>
      <c r="AI154" s="80"/>
      <c r="AJ154" s="154"/>
      <c r="AK154" s="100" t="str">
        <f t="shared" si="21"/>
        <v/>
      </c>
      <c r="AL154" s="138"/>
      <c r="AM154" s="131">
        <v>69</v>
      </c>
      <c r="AN154" s="103">
        <f t="shared" si="12"/>
        <v>504.32100000000003</v>
      </c>
      <c r="AO154" s="139"/>
      <c r="AP154" s="155">
        <v>161.88999999999999</v>
      </c>
      <c r="AQ154" s="141">
        <f t="shared" si="15"/>
        <v>1183.2540099999999</v>
      </c>
      <c r="AR154" s="142"/>
      <c r="AS154" s="155">
        <v>0.56999999999999995</v>
      </c>
      <c r="AT154" s="143">
        <f t="shared" si="16"/>
        <v>4.1661299999999999</v>
      </c>
      <c r="AU154" s="139"/>
      <c r="AV154" s="131">
        <v>19.850000000000001</v>
      </c>
      <c r="AW154" s="107">
        <f t="shared" si="17"/>
        <v>145.08365000000001</v>
      </c>
      <c r="AX154" s="113"/>
      <c r="AY154" s="131">
        <v>197.08</v>
      </c>
      <c r="AZ154" s="144">
        <f t="shared" si="18"/>
        <v>1440.4577200000001</v>
      </c>
      <c r="BA154" s="80"/>
      <c r="BB154" s="155">
        <v>0.47</v>
      </c>
      <c r="BC154" s="145">
        <f t="shared" si="19"/>
        <v>3.4352299999999998</v>
      </c>
      <c r="BD154" s="131" t="s">
        <v>85</v>
      </c>
      <c r="BE154" s="158">
        <v>0.13</v>
      </c>
      <c r="BF154" s="146">
        <f t="shared" si="20"/>
        <v>0.47508500000000004</v>
      </c>
      <c r="BG154" s="147" t="s">
        <v>84</v>
      </c>
      <c r="BH154" s="148"/>
      <c r="BI154" s="156"/>
      <c r="BJ154" s="150">
        <f>'Degrémont sortie'!BI154</f>
        <v>0</v>
      </c>
      <c r="BK154" s="151">
        <f>'Degrémont sortie'!BJ154</f>
        <v>0</v>
      </c>
    </row>
    <row r="155" spans="1:63" ht="15.75" customHeight="1" outlineLevel="1">
      <c r="A155" s="121">
        <f t="shared" si="13"/>
        <v>43607</v>
      </c>
      <c r="B155" s="122">
        <v>821</v>
      </c>
      <c r="C155" s="123">
        <v>7.8</v>
      </c>
      <c r="D155" s="124">
        <v>89.6</v>
      </c>
      <c r="E155" s="125">
        <v>180.2</v>
      </c>
      <c r="F155" s="126">
        <v>38</v>
      </c>
      <c r="G155" s="127">
        <f t="shared" si="0"/>
        <v>2384.2105263157896</v>
      </c>
      <c r="H155" s="128">
        <f t="shared" si="1"/>
        <v>1957.4368421052632</v>
      </c>
      <c r="I155" s="129">
        <v>1</v>
      </c>
      <c r="J155" s="126">
        <v>2891</v>
      </c>
      <c r="K155" s="79">
        <f t="shared" si="2"/>
        <v>2891</v>
      </c>
      <c r="L155" s="128">
        <f t="shared" si="3"/>
        <v>2373.511</v>
      </c>
      <c r="M155" s="130">
        <v>1</v>
      </c>
      <c r="N155" s="126">
        <v>580</v>
      </c>
      <c r="O155" s="80">
        <f t="shared" si="4"/>
        <v>580</v>
      </c>
      <c r="P155" s="81">
        <f t="shared" si="5"/>
        <v>476.18</v>
      </c>
      <c r="Q155" s="129">
        <v>20</v>
      </c>
      <c r="R155" s="131">
        <v>5.13</v>
      </c>
      <c r="S155" s="127">
        <f t="shared" si="6"/>
        <v>102.6</v>
      </c>
      <c r="T155" s="128">
        <f t="shared" si="7"/>
        <v>84.234599999999986</v>
      </c>
      <c r="U155" s="113"/>
      <c r="V155" s="81">
        <f t="shared" si="14"/>
        <v>0</v>
      </c>
      <c r="W155" s="132"/>
      <c r="X155" s="153"/>
      <c r="Y155" s="94"/>
      <c r="Z155" s="132"/>
      <c r="AA155" s="153"/>
      <c r="AB155" s="94"/>
      <c r="AC155" s="133"/>
      <c r="AD155" s="93" t="str">
        <f t="shared" si="8"/>
        <v/>
      </c>
      <c r="AE155" s="94" t="e">
        <f t="shared" si="9"/>
        <v>#VALUE!</v>
      </c>
      <c r="AF155" s="134" t="s">
        <v>85</v>
      </c>
      <c r="AG155" s="135">
        <v>0.01</v>
      </c>
      <c r="AH155" s="136">
        <f t="shared" si="10"/>
        <v>4.1050000000000001E-3</v>
      </c>
      <c r="AI155" s="80"/>
      <c r="AJ155" s="154"/>
      <c r="AK155" s="100" t="str">
        <f t="shared" si="21"/>
        <v/>
      </c>
      <c r="AL155" s="138"/>
      <c r="AM155" s="113"/>
      <c r="AN155" s="103" t="str">
        <f t="shared" si="12"/>
        <v/>
      </c>
      <c r="AO155" s="139"/>
      <c r="AP155" s="140"/>
      <c r="AQ155" s="141" t="str">
        <f t="shared" si="15"/>
        <v/>
      </c>
      <c r="AR155" s="142"/>
      <c r="AS155" s="140"/>
      <c r="AT155" s="143" t="str">
        <f t="shared" si="16"/>
        <v/>
      </c>
      <c r="AU155" s="139"/>
      <c r="AV155" s="113"/>
      <c r="AW155" s="107" t="str">
        <f t="shared" si="17"/>
        <v/>
      </c>
      <c r="AX155" s="113"/>
      <c r="AY155" s="113"/>
      <c r="AZ155" s="144" t="str">
        <f t="shared" si="18"/>
        <v/>
      </c>
      <c r="BA155" s="80"/>
      <c r="BB155" s="140"/>
      <c r="BC155" s="145" t="str">
        <f t="shared" si="19"/>
        <v/>
      </c>
      <c r="BD155" s="113"/>
      <c r="BE155" s="114"/>
      <c r="BF155" s="146" t="str">
        <f t="shared" si="20"/>
        <v/>
      </c>
      <c r="BG155" s="147" t="s">
        <v>84</v>
      </c>
      <c r="BH155" s="148"/>
      <c r="BI155" s="156"/>
      <c r="BJ155" s="150">
        <f>'Degrémont sortie'!BI155</f>
        <v>0</v>
      </c>
      <c r="BK155" s="151">
        <f>'Degrémont sortie'!BJ155</f>
        <v>0</v>
      </c>
    </row>
    <row r="156" spans="1:63" ht="15.75" customHeight="1" outlineLevel="1">
      <c r="A156" s="152">
        <f t="shared" si="13"/>
        <v>43608</v>
      </c>
      <c r="B156" s="122">
        <v>1037</v>
      </c>
      <c r="C156" s="123">
        <v>7.83</v>
      </c>
      <c r="D156" s="124">
        <v>91.7</v>
      </c>
      <c r="E156" s="125">
        <v>188</v>
      </c>
      <c r="F156" s="126">
        <v>25</v>
      </c>
      <c r="G156" s="127">
        <f t="shared" si="0"/>
        <v>3852</v>
      </c>
      <c r="H156" s="128">
        <f t="shared" si="1"/>
        <v>3994.5239999999999</v>
      </c>
      <c r="I156" s="129">
        <v>1</v>
      </c>
      <c r="J156" s="126">
        <v>4191</v>
      </c>
      <c r="K156" s="79">
        <f t="shared" si="2"/>
        <v>4191</v>
      </c>
      <c r="L156" s="128">
        <f t="shared" si="3"/>
        <v>4346.067</v>
      </c>
      <c r="M156" s="130">
        <v>1</v>
      </c>
      <c r="N156" s="126">
        <v>498</v>
      </c>
      <c r="O156" s="80">
        <f t="shared" si="4"/>
        <v>498</v>
      </c>
      <c r="P156" s="81">
        <f t="shared" si="5"/>
        <v>516.42600000000004</v>
      </c>
      <c r="Q156" s="129">
        <v>20</v>
      </c>
      <c r="R156" s="131">
        <v>6.1</v>
      </c>
      <c r="S156" s="127">
        <f t="shared" si="6"/>
        <v>122</v>
      </c>
      <c r="T156" s="128">
        <f t="shared" si="7"/>
        <v>126.514</v>
      </c>
      <c r="U156" s="113"/>
      <c r="V156" s="81">
        <f t="shared" si="14"/>
        <v>0</v>
      </c>
      <c r="W156" s="132"/>
      <c r="X156" s="153"/>
      <c r="Y156" s="94"/>
      <c r="Z156" s="132"/>
      <c r="AA156" s="153"/>
      <c r="AB156" s="94"/>
      <c r="AC156" s="133"/>
      <c r="AD156" s="93" t="str">
        <f t="shared" si="8"/>
        <v/>
      </c>
      <c r="AE156" s="94" t="e">
        <f t="shared" si="9"/>
        <v>#VALUE!</v>
      </c>
      <c r="AF156" s="134" t="s">
        <v>85</v>
      </c>
      <c r="AG156" s="135">
        <v>0.01</v>
      </c>
      <c r="AH156" s="136">
        <f t="shared" si="10"/>
        <v>5.1850000000000004E-3</v>
      </c>
      <c r="AI156" s="80"/>
      <c r="AJ156" s="154"/>
      <c r="AK156" s="100" t="str">
        <f t="shared" si="21"/>
        <v/>
      </c>
      <c r="AL156" s="138"/>
      <c r="AM156" s="113"/>
      <c r="AN156" s="103" t="str">
        <f t="shared" si="12"/>
        <v/>
      </c>
      <c r="AO156" s="139"/>
      <c r="AP156" s="140"/>
      <c r="AQ156" s="141" t="str">
        <f t="shared" si="15"/>
        <v/>
      </c>
      <c r="AR156" s="142"/>
      <c r="AS156" s="140"/>
      <c r="AT156" s="143" t="str">
        <f t="shared" si="16"/>
        <v/>
      </c>
      <c r="AU156" s="139"/>
      <c r="AV156" s="113"/>
      <c r="AW156" s="107" t="str">
        <f t="shared" si="17"/>
        <v/>
      </c>
      <c r="AX156" s="113"/>
      <c r="AY156" s="113"/>
      <c r="AZ156" s="144" t="str">
        <f t="shared" si="18"/>
        <v/>
      </c>
      <c r="BA156" s="80"/>
      <c r="BB156" s="140"/>
      <c r="BC156" s="145" t="str">
        <f t="shared" si="19"/>
        <v/>
      </c>
      <c r="BD156" s="113"/>
      <c r="BE156" s="114"/>
      <c r="BF156" s="146" t="str">
        <f t="shared" si="20"/>
        <v/>
      </c>
      <c r="BG156" s="147" t="s">
        <v>84</v>
      </c>
      <c r="BH156" s="148"/>
      <c r="BI156" s="156"/>
      <c r="BJ156" s="150">
        <f>'Degrémont sortie'!BI156</f>
        <v>0</v>
      </c>
      <c r="BK156" s="151">
        <f>'Degrémont sortie'!BJ156</f>
        <v>0</v>
      </c>
    </row>
    <row r="157" spans="1:63" ht="15.75" customHeight="1" outlineLevel="1">
      <c r="A157" s="121">
        <f t="shared" si="13"/>
        <v>43609</v>
      </c>
      <c r="B157" s="122">
        <v>724</v>
      </c>
      <c r="C157" s="123">
        <v>7.4</v>
      </c>
      <c r="D157" s="124">
        <v>89.1</v>
      </c>
      <c r="E157" s="125">
        <v>278</v>
      </c>
      <c r="F157" s="126">
        <v>25</v>
      </c>
      <c r="G157" s="127">
        <f t="shared" si="0"/>
        <v>7556</v>
      </c>
      <c r="H157" s="128">
        <f t="shared" si="1"/>
        <v>5470.5439999999999</v>
      </c>
      <c r="I157" s="129">
        <v>1</v>
      </c>
      <c r="J157" s="126">
        <v>7165</v>
      </c>
      <c r="K157" s="79">
        <f t="shared" si="2"/>
        <v>7165</v>
      </c>
      <c r="L157" s="128">
        <f t="shared" si="3"/>
        <v>5187.46</v>
      </c>
      <c r="M157" s="130">
        <v>1</v>
      </c>
      <c r="N157" s="126">
        <v>498</v>
      </c>
      <c r="O157" s="80">
        <f t="shared" si="4"/>
        <v>498</v>
      </c>
      <c r="P157" s="81">
        <f t="shared" si="5"/>
        <v>360.55200000000002</v>
      </c>
      <c r="Q157" s="129">
        <v>20</v>
      </c>
      <c r="R157" s="131">
        <v>5</v>
      </c>
      <c r="S157" s="127">
        <f t="shared" si="6"/>
        <v>100</v>
      </c>
      <c r="T157" s="128">
        <f t="shared" si="7"/>
        <v>72.400000000000006</v>
      </c>
      <c r="U157" s="113"/>
      <c r="V157" s="81">
        <f t="shared" si="14"/>
        <v>0</v>
      </c>
      <c r="W157" s="132"/>
      <c r="X157" s="153"/>
      <c r="Y157" s="94"/>
      <c r="Z157" s="132"/>
      <c r="AA157" s="153"/>
      <c r="AB157" s="94"/>
      <c r="AC157" s="133"/>
      <c r="AD157" s="93" t="str">
        <f t="shared" si="8"/>
        <v/>
      </c>
      <c r="AE157" s="94" t="e">
        <f t="shared" si="9"/>
        <v>#VALUE!</v>
      </c>
      <c r="AF157" s="134" t="s">
        <v>85</v>
      </c>
      <c r="AG157" s="135">
        <v>0.01</v>
      </c>
      <c r="AH157" s="136">
        <f t="shared" si="10"/>
        <v>3.62E-3</v>
      </c>
      <c r="AI157" s="80"/>
      <c r="AJ157" s="154"/>
      <c r="AK157" s="100" t="str">
        <f t="shared" si="21"/>
        <v/>
      </c>
      <c r="AL157" s="138"/>
      <c r="AM157" s="113"/>
      <c r="AN157" s="103" t="str">
        <f t="shared" si="12"/>
        <v/>
      </c>
      <c r="AO157" s="139"/>
      <c r="AP157" s="140"/>
      <c r="AQ157" s="141" t="str">
        <f t="shared" si="15"/>
        <v/>
      </c>
      <c r="AR157" s="142"/>
      <c r="AS157" s="140"/>
      <c r="AT157" s="143" t="str">
        <f t="shared" si="16"/>
        <v/>
      </c>
      <c r="AU157" s="139"/>
      <c r="AV157" s="113"/>
      <c r="AW157" s="107" t="str">
        <f t="shared" si="17"/>
        <v/>
      </c>
      <c r="AX157" s="113"/>
      <c r="AY157" s="113"/>
      <c r="AZ157" s="144" t="str">
        <f t="shared" si="18"/>
        <v/>
      </c>
      <c r="BA157" s="80"/>
      <c r="BB157" s="140"/>
      <c r="BC157" s="145" t="str">
        <f t="shared" si="19"/>
        <v/>
      </c>
      <c r="BD157" s="113"/>
      <c r="BE157" s="114"/>
      <c r="BF157" s="146" t="str">
        <f t="shared" si="20"/>
        <v/>
      </c>
      <c r="BG157" s="147" t="s">
        <v>84</v>
      </c>
      <c r="BH157" s="148"/>
      <c r="BI157" s="149" t="s">
        <v>193</v>
      </c>
      <c r="BJ157" s="150">
        <f>'Degrémont sortie'!BI157</f>
        <v>0</v>
      </c>
      <c r="BK157" s="151">
        <f>'Degrémont sortie'!BJ157</f>
        <v>0</v>
      </c>
    </row>
    <row r="158" spans="1:63" ht="14.25" outlineLevel="1">
      <c r="A158" s="152">
        <f t="shared" si="13"/>
        <v>43610</v>
      </c>
      <c r="B158" s="122">
        <v>1374</v>
      </c>
      <c r="C158" s="123">
        <v>8</v>
      </c>
      <c r="D158" s="124">
        <v>89.4</v>
      </c>
      <c r="E158" s="125">
        <v>178.9</v>
      </c>
      <c r="F158" s="126">
        <v>25</v>
      </c>
      <c r="G158" s="127">
        <f t="shared" si="0"/>
        <v>3580</v>
      </c>
      <c r="H158" s="128">
        <f t="shared" si="1"/>
        <v>4918.92</v>
      </c>
      <c r="I158" s="129">
        <v>1</v>
      </c>
      <c r="J158" s="126">
        <v>3565</v>
      </c>
      <c r="K158" s="79">
        <f t="shared" si="2"/>
        <v>3565</v>
      </c>
      <c r="L158" s="128">
        <f t="shared" si="3"/>
        <v>4898.3100000000004</v>
      </c>
      <c r="M158" s="130">
        <v>1</v>
      </c>
      <c r="N158" s="126">
        <v>432</v>
      </c>
      <c r="O158" s="80">
        <f t="shared" si="4"/>
        <v>432</v>
      </c>
      <c r="P158" s="81">
        <f t="shared" si="5"/>
        <v>593.56799999999998</v>
      </c>
      <c r="Q158" s="129">
        <v>20</v>
      </c>
      <c r="R158" s="131">
        <v>4.8</v>
      </c>
      <c r="S158" s="127">
        <f t="shared" si="6"/>
        <v>96</v>
      </c>
      <c r="T158" s="128">
        <f t="shared" si="7"/>
        <v>131.904</v>
      </c>
      <c r="U158" s="113"/>
      <c r="V158" s="81">
        <f t="shared" si="14"/>
        <v>0</v>
      </c>
      <c r="W158" s="132"/>
      <c r="X158" s="153"/>
      <c r="Y158" s="94"/>
      <c r="Z158" s="132"/>
      <c r="AA158" s="153"/>
      <c r="AB158" s="94"/>
      <c r="AC158" s="133"/>
      <c r="AD158" s="93" t="str">
        <f t="shared" si="8"/>
        <v/>
      </c>
      <c r="AE158" s="94" t="e">
        <f t="shared" si="9"/>
        <v>#VALUE!</v>
      </c>
      <c r="AF158" s="134" t="s">
        <v>85</v>
      </c>
      <c r="AG158" s="135">
        <v>0.01</v>
      </c>
      <c r="AH158" s="136">
        <f t="shared" si="10"/>
        <v>6.8700000000000002E-3</v>
      </c>
      <c r="AI158" s="80"/>
      <c r="AJ158" s="154"/>
      <c r="AK158" s="100" t="str">
        <f t="shared" si="21"/>
        <v/>
      </c>
      <c r="AL158" s="138"/>
      <c r="AM158" s="113"/>
      <c r="AN158" s="103" t="str">
        <f t="shared" si="12"/>
        <v/>
      </c>
      <c r="AO158" s="139"/>
      <c r="AP158" s="140"/>
      <c r="AQ158" s="141" t="str">
        <f t="shared" si="15"/>
        <v/>
      </c>
      <c r="AR158" s="142"/>
      <c r="AS158" s="140"/>
      <c r="AT158" s="143" t="str">
        <f t="shared" si="16"/>
        <v/>
      </c>
      <c r="AU158" s="139"/>
      <c r="AV158" s="113"/>
      <c r="AW158" s="107" t="str">
        <f t="shared" si="17"/>
        <v/>
      </c>
      <c r="AX158" s="113"/>
      <c r="AY158" s="113"/>
      <c r="AZ158" s="144" t="str">
        <f t="shared" si="18"/>
        <v/>
      </c>
      <c r="BA158" s="80"/>
      <c r="BB158" s="140"/>
      <c r="BC158" s="145" t="str">
        <f t="shared" si="19"/>
        <v/>
      </c>
      <c r="BD158" s="113"/>
      <c r="BE158" s="114"/>
      <c r="BF158" s="146" t="str">
        <f t="shared" si="20"/>
        <v/>
      </c>
      <c r="BG158" s="147" t="s">
        <v>84</v>
      </c>
      <c r="BH158" s="148"/>
      <c r="BI158" s="156"/>
      <c r="BJ158" s="150">
        <f>'Degrémont sortie'!BI158</f>
        <v>0</v>
      </c>
      <c r="BK158" s="151">
        <f>'Degrémont sortie'!BJ158</f>
        <v>0</v>
      </c>
    </row>
    <row r="159" spans="1:63" ht="14.25" outlineLevel="1">
      <c r="A159" s="121">
        <f t="shared" si="13"/>
        <v>43611</v>
      </c>
      <c r="B159" s="122">
        <v>500</v>
      </c>
      <c r="C159" s="123">
        <v>7.6</v>
      </c>
      <c r="D159" s="124">
        <v>88.8</v>
      </c>
      <c r="E159" s="125">
        <v>183</v>
      </c>
      <c r="F159" s="126">
        <v>5</v>
      </c>
      <c r="G159" s="127">
        <f t="shared" si="0"/>
        <v>18840</v>
      </c>
      <c r="H159" s="128">
        <f t="shared" si="1"/>
        <v>9420</v>
      </c>
      <c r="I159" s="129">
        <v>1</v>
      </c>
      <c r="J159" s="126">
        <v>3600</v>
      </c>
      <c r="K159" s="79">
        <f t="shared" si="2"/>
        <v>3600</v>
      </c>
      <c r="L159" s="128">
        <f t="shared" si="3"/>
        <v>1800</v>
      </c>
      <c r="M159" s="130">
        <v>1</v>
      </c>
      <c r="N159" s="126">
        <v>448</v>
      </c>
      <c r="O159" s="80">
        <f t="shared" si="4"/>
        <v>448</v>
      </c>
      <c r="P159" s="81">
        <f t="shared" si="5"/>
        <v>224</v>
      </c>
      <c r="Q159" s="129">
        <v>20</v>
      </c>
      <c r="R159" s="131">
        <v>5.2</v>
      </c>
      <c r="S159" s="127">
        <f t="shared" si="6"/>
        <v>104</v>
      </c>
      <c r="T159" s="128">
        <f t="shared" si="7"/>
        <v>52</v>
      </c>
      <c r="U159" s="113"/>
      <c r="V159" s="81">
        <f t="shared" si="14"/>
        <v>0</v>
      </c>
      <c r="W159" s="132"/>
      <c r="X159" s="153"/>
      <c r="Y159" s="94"/>
      <c r="Z159" s="132"/>
      <c r="AA159" s="153"/>
      <c r="AB159" s="94"/>
      <c r="AC159" s="133"/>
      <c r="AD159" s="93" t="str">
        <f t="shared" si="8"/>
        <v/>
      </c>
      <c r="AE159" s="94" t="e">
        <f t="shared" si="9"/>
        <v>#VALUE!</v>
      </c>
      <c r="AF159" s="134" t="s">
        <v>85</v>
      </c>
      <c r="AG159" s="135">
        <v>0.01</v>
      </c>
      <c r="AH159" s="136">
        <f t="shared" si="10"/>
        <v>2.5000000000000001E-3</v>
      </c>
      <c r="AI159" s="80"/>
      <c r="AJ159" s="154"/>
      <c r="AK159" s="100" t="str">
        <f t="shared" si="21"/>
        <v/>
      </c>
      <c r="AL159" s="138"/>
      <c r="AM159" s="113"/>
      <c r="AN159" s="103" t="str">
        <f t="shared" si="12"/>
        <v/>
      </c>
      <c r="AO159" s="139"/>
      <c r="AP159" s="140"/>
      <c r="AQ159" s="141" t="str">
        <f t="shared" si="15"/>
        <v/>
      </c>
      <c r="AR159" s="142"/>
      <c r="AS159" s="140"/>
      <c r="AT159" s="143" t="str">
        <f t="shared" si="16"/>
        <v/>
      </c>
      <c r="AU159" s="139"/>
      <c r="AV159" s="113"/>
      <c r="AW159" s="107" t="str">
        <f t="shared" si="17"/>
        <v/>
      </c>
      <c r="AX159" s="113"/>
      <c r="AY159" s="113"/>
      <c r="AZ159" s="144" t="str">
        <f t="shared" si="18"/>
        <v/>
      </c>
      <c r="BA159" s="80"/>
      <c r="BB159" s="140"/>
      <c r="BC159" s="145" t="str">
        <f t="shared" si="19"/>
        <v/>
      </c>
      <c r="BD159" s="113"/>
      <c r="BE159" s="114"/>
      <c r="BF159" s="146" t="str">
        <f t="shared" si="20"/>
        <v/>
      </c>
      <c r="BG159" s="147" t="s">
        <v>84</v>
      </c>
      <c r="BH159" s="148"/>
      <c r="BI159" s="156"/>
      <c r="BJ159" s="150">
        <f>'Degrémont sortie'!BI159</f>
        <v>0</v>
      </c>
      <c r="BK159" s="151">
        <f>'Degrémont sortie'!BJ159</f>
        <v>0</v>
      </c>
    </row>
    <row r="160" spans="1:63" ht="14.25" outlineLevel="1">
      <c r="A160" s="152">
        <f t="shared" si="13"/>
        <v>43612</v>
      </c>
      <c r="B160" s="122">
        <v>754</v>
      </c>
      <c r="C160" s="123">
        <v>7.71</v>
      </c>
      <c r="D160" s="124">
        <v>90</v>
      </c>
      <c r="E160" s="125">
        <v>190</v>
      </c>
      <c r="F160" s="126">
        <v>25</v>
      </c>
      <c r="G160" s="127">
        <f t="shared" si="0"/>
        <v>4000</v>
      </c>
      <c r="H160" s="128">
        <f t="shared" si="1"/>
        <v>3016</v>
      </c>
      <c r="I160" s="129">
        <v>1</v>
      </c>
      <c r="J160" s="126">
        <v>4940</v>
      </c>
      <c r="K160" s="79">
        <f t="shared" si="2"/>
        <v>4940</v>
      </c>
      <c r="L160" s="128">
        <f t="shared" si="3"/>
        <v>3724.76</v>
      </c>
      <c r="M160" s="130">
        <v>1</v>
      </c>
      <c r="N160" s="126">
        <v>468</v>
      </c>
      <c r="O160" s="80">
        <f t="shared" si="4"/>
        <v>468</v>
      </c>
      <c r="P160" s="81">
        <f t="shared" si="5"/>
        <v>352.87200000000001</v>
      </c>
      <c r="Q160" s="129">
        <v>20</v>
      </c>
      <c r="R160" s="131">
        <v>3.82</v>
      </c>
      <c r="S160" s="127">
        <f t="shared" si="6"/>
        <v>76.399999999999991</v>
      </c>
      <c r="T160" s="128">
        <f t="shared" si="7"/>
        <v>57.605599999999988</v>
      </c>
      <c r="U160" s="113"/>
      <c r="V160" s="81">
        <f t="shared" si="14"/>
        <v>0</v>
      </c>
      <c r="W160" s="132"/>
      <c r="X160" s="153"/>
      <c r="Y160" s="94"/>
      <c r="Z160" s="132"/>
      <c r="AA160" s="153"/>
      <c r="AB160" s="94"/>
      <c r="AC160" s="133"/>
      <c r="AD160" s="93" t="str">
        <f t="shared" si="8"/>
        <v/>
      </c>
      <c r="AE160" s="94" t="e">
        <f t="shared" si="9"/>
        <v>#VALUE!</v>
      </c>
      <c r="AF160" s="134" t="s">
        <v>85</v>
      </c>
      <c r="AG160" s="135">
        <v>0.01</v>
      </c>
      <c r="AH160" s="136">
        <f t="shared" si="10"/>
        <v>3.7699999999999999E-3</v>
      </c>
      <c r="AI160" s="80"/>
      <c r="AJ160" s="154"/>
      <c r="AK160" s="100" t="str">
        <f t="shared" si="21"/>
        <v/>
      </c>
      <c r="AL160" s="138"/>
      <c r="AM160" s="113"/>
      <c r="AN160" s="103" t="str">
        <f t="shared" si="12"/>
        <v/>
      </c>
      <c r="AO160" s="139"/>
      <c r="AP160" s="140"/>
      <c r="AQ160" s="141" t="str">
        <f t="shared" si="15"/>
        <v/>
      </c>
      <c r="AR160" s="142"/>
      <c r="AS160" s="140"/>
      <c r="AT160" s="143" t="str">
        <f t="shared" si="16"/>
        <v/>
      </c>
      <c r="AU160" s="139"/>
      <c r="AV160" s="113"/>
      <c r="AW160" s="107" t="str">
        <f t="shared" si="17"/>
        <v/>
      </c>
      <c r="AX160" s="113"/>
      <c r="AY160" s="113"/>
      <c r="AZ160" s="144" t="str">
        <f t="shared" si="18"/>
        <v/>
      </c>
      <c r="BA160" s="80"/>
      <c r="BB160" s="140"/>
      <c r="BC160" s="145" t="str">
        <f t="shared" si="19"/>
        <v/>
      </c>
      <c r="BD160" s="113"/>
      <c r="BE160" s="114"/>
      <c r="BF160" s="146" t="str">
        <f t="shared" si="20"/>
        <v/>
      </c>
      <c r="BG160" s="147" t="s">
        <v>84</v>
      </c>
      <c r="BH160" s="392" t="s">
        <v>194</v>
      </c>
      <c r="BI160" s="156"/>
      <c r="BJ160" s="150">
        <f>'Degrémont sortie'!BI160</f>
        <v>0</v>
      </c>
      <c r="BK160" s="151">
        <f>'Degrémont sortie'!BJ160</f>
        <v>0</v>
      </c>
    </row>
    <row r="161" spans="1:63" ht="14.25" outlineLevel="1">
      <c r="A161" s="121">
        <f t="shared" si="13"/>
        <v>43613</v>
      </c>
      <c r="B161" s="122">
        <v>1005</v>
      </c>
      <c r="C161" s="123">
        <v>7</v>
      </c>
      <c r="D161" s="124">
        <v>90.7</v>
      </c>
      <c r="E161" s="125">
        <v>170</v>
      </c>
      <c r="F161" s="126">
        <v>25</v>
      </c>
      <c r="G161" s="127">
        <f t="shared" si="0"/>
        <v>3172</v>
      </c>
      <c r="H161" s="128">
        <f t="shared" si="1"/>
        <v>3187.86</v>
      </c>
      <c r="I161" s="129">
        <v>1</v>
      </c>
      <c r="J161" s="126">
        <v>3241</v>
      </c>
      <c r="K161" s="79">
        <f t="shared" si="2"/>
        <v>3241</v>
      </c>
      <c r="L161" s="128">
        <f t="shared" si="3"/>
        <v>3257.2049999999999</v>
      </c>
      <c r="M161" s="130">
        <v>1</v>
      </c>
      <c r="N161" s="126">
        <v>400</v>
      </c>
      <c r="O161" s="80">
        <f t="shared" si="4"/>
        <v>400</v>
      </c>
      <c r="P161" s="81">
        <f t="shared" si="5"/>
        <v>402</v>
      </c>
      <c r="Q161" s="129">
        <v>20</v>
      </c>
      <c r="R161" s="131">
        <v>4.2</v>
      </c>
      <c r="S161" s="127">
        <f t="shared" si="6"/>
        <v>84</v>
      </c>
      <c r="T161" s="128">
        <f t="shared" si="7"/>
        <v>84.42</v>
      </c>
      <c r="U161" s="131">
        <v>14</v>
      </c>
      <c r="V161" s="81">
        <f t="shared" si="14"/>
        <v>14.07</v>
      </c>
      <c r="W161" s="132"/>
      <c r="X161" s="153"/>
      <c r="Y161" s="94"/>
      <c r="Z161" s="132"/>
      <c r="AA161" s="153"/>
      <c r="AB161" s="94"/>
      <c r="AC161" s="133"/>
      <c r="AD161" s="93" t="str">
        <f t="shared" si="8"/>
        <v/>
      </c>
      <c r="AE161" s="94" t="e">
        <f t="shared" si="9"/>
        <v>#VALUE!</v>
      </c>
      <c r="AF161" s="139"/>
      <c r="AG161" s="215"/>
      <c r="AH161" s="136">
        <f t="shared" si="10"/>
        <v>0</v>
      </c>
      <c r="AI161" s="80"/>
      <c r="AJ161" s="154"/>
      <c r="AK161" s="100" t="str">
        <f t="shared" si="21"/>
        <v/>
      </c>
      <c r="AL161" s="138"/>
      <c r="AM161" s="131">
        <v>77</v>
      </c>
      <c r="AN161" s="103">
        <f t="shared" si="12"/>
        <v>617.77099999999996</v>
      </c>
      <c r="AO161" s="139"/>
      <c r="AP161" s="155">
        <v>166.36</v>
      </c>
      <c r="AQ161" s="141">
        <f t="shared" si="15"/>
        <v>1334.7062800000001</v>
      </c>
      <c r="AR161" s="142"/>
      <c r="AS161" s="155">
        <v>0.57999999999999996</v>
      </c>
      <c r="AT161" s="143">
        <f t="shared" si="16"/>
        <v>4.6533399999999991</v>
      </c>
      <c r="AU161" s="139"/>
      <c r="AV161" s="131">
        <v>23.3</v>
      </c>
      <c r="AW161" s="107">
        <f t="shared" si="17"/>
        <v>186.9359</v>
      </c>
      <c r="AX161" s="113"/>
      <c r="AY161" s="131">
        <v>236.35</v>
      </c>
      <c r="AZ161" s="144">
        <f t="shared" si="18"/>
        <v>1896.23605</v>
      </c>
      <c r="BA161" s="80"/>
      <c r="BB161" s="155">
        <v>0.6</v>
      </c>
      <c r="BC161" s="145">
        <f t="shared" si="19"/>
        <v>4.8137999999999996</v>
      </c>
      <c r="BD161" s="131" t="s">
        <v>85</v>
      </c>
      <c r="BE161" s="158">
        <v>0.13</v>
      </c>
      <c r="BF161" s="146">
        <f t="shared" si="20"/>
        <v>0.52149500000000004</v>
      </c>
      <c r="BG161" s="147" t="s">
        <v>84</v>
      </c>
      <c r="BH161" s="148"/>
      <c r="BI161" s="156"/>
      <c r="BJ161" s="150">
        <f>'Degrémont sortie'!BI161</f>
        <v>0</v>
      </c>
      <c r="BK161" s="151">
        <f>'Degrémont sortie'!BJ161</f>
        <v>0</v>
      </c>
    </row>
    <row r="162" spans="1:63" ht="14.25" outlineLevel="1">
      <c r="A162" s="152">
        <f t="shared" si="13"/>
        <v>43614</v>
      </c>
      <c r="B162" s="122">
        <v>905</v>
      </c>
      <c r="C162" s="123">
        <v>7.2</v>
      </c>
      <c r="D162" s="124">
        <v>89.7</v>
      </c>
      <c r="E162" s="125">
        <v>160</v>
      </c>
      <c r="F162" s="126">
        <v>25</v>
      </c>
      <c r="G162" s="127">
        <f t="shared" si="0"/>
        <v>2812</v>
      </c>
      <c r="H162" s="128">
        <f t="shared" si="1"/>
        <v>2544.86</v>
      </c>
      <c r="I162" s="129">
        <v>1</v>
      </c>
      <c r="J162" s="126">
        <v>3520</v>
      </c>
      <c r="K162" s="79">
        <f t="shared" si="2"/>
        <v>3520</v>
      </c>
      <c r="L162" s="128">
        <f t="shared" si="3"/>
        <v>3185.6</v>
      </c>
      <c r="M162" s="130">
        <v>1</v>
      </c>
      <c r="N162" s="126">
        <v>450</v>
      </c>
      <c r="O162" s="80">
        <f t="shared" si="4"/>
        <v>450</v>
      </c>
      <c r="P162" s="81">
        <f t="shared" si="5"/>
        <v>407.25</v>
      </c>
      <c r="Q162" s="129">
        <v>20</v>
      </c>
      <c r="R162" s="131">
        <v>6.47</v>
      </c>
      <c r="S162" s="127">
        <f t="shared" si="6"/>
        <v>129.4</v>
      </c>
      <c r="T162" s="128">
        <f t="shared" si="7"/>
        <v>117.107</v>
      </c>
      <c r="U162" s="113"/>
      <c r="V162" s="81">
        <f t="shared" si="14"/>
        <v>0</v>
      </c>
      <c r="W162" s="132"/>
      <c r="X162" s="153"/>
      <c r="Y162" s="94"/>
      <c r="Z162" s="132"/>
      <c r="AA162" s="153"/>
      <c r="AB162" s="94"/>
      <c r="AC162" s="133"/>
      <c r="AD162" s="93" t="str">
        <f t="shared" si="8"/>
        <v/>
      </c>
      <c r="AE162" s="94" t="e">
        <f t="shared" si="9"/>
        <v>#VALUE!</v>
      </c>
      <c r="AF162" s="134" t="s">
        <v>85</v>
      </c>
      <c r="AG162" s="135">
        <v>0.01</v>
      </c>
      <c r="AH162" s="136">
        <f t="shared" si="10"/>
        <v>4.5250000000000004E-3</v>
      </c>
      <c r="AI162" s="80"/>
      <c r="AJ162" s="154"/>
      <c r="AK162" s="100" t="str">
        <f t="shared" si="21"/>
        <v/>
      </c>
      <c r="AL162" s="138"/>
      <c r="AM162" s="113"/>
      <c r="AN162" s="103" t="str">
        <f t="shared" si="12"/>
        <v/>
      </c>
      <c r="AO162" s="139"/>
      <c r="AP162" s="140"/>
      <c r="AQ162" s="141" t="str">
        <f t="shared" si="15"/>
        <v/>
      </c>
      <c r="AR162" s="142"/>
      <c r="AS162" s="140"/>
      <c r="AT162" s="143" t="str">
        <f t="shared" si="16"/>
        <v/>
      </c>
      <c r="AU162" s="139"/>
      <c r="AV162" s="113"/>
      <c r="AW162" s="107" t="str">
        <f t="shared" si="17"/>
        <v/>
      </c>
      <c r="AX162" s="113"/>
      <c r="AY162" s="113"/>
      <c r="AZ162" s="144" t="str">
        <f t="shared" si="18"/>
        <v/>
      </c>
      <c r="BA162" s="80"/>
      <c r="BB162" s="140"/>
      <c r="BC162" s="145" t="str">
        <f t="shared" si="19"/>
        <v/>
      </c>
      <c r="BD162" s="113"/>
      <c r="BE162" s="114"/>
      <c r="BF162" s="146" t="str">
        <f t="shared" si="20"/>
        <v/>
      </c>
      <c r="BG162" s="147" t="s">
        <v>84</v>
      </c>
      <c r="BH162" s="148"/>
      <c r="BI162" s="156"/>
      <c r="BJ162" s="150">
        <f>'Degrémont sortie'!BI162</f>
        <v>0</v>
      </c>
      <c r="BK162" s="151">
        <f>'Degrémont sortie'!BJ162</f>
        <v>0</v>
      </c>
    </row>
    <row r="163" spans="1:63" ht="14.25" outlineLevel="1">
      <c r="A163" s="121">
        <f t="shared" si="13"/>
        <v>43615</v>
      </c>
      <c r="B163" s="122">
        <v>594</v>
      </c>
      <c r="C163" s="123">
        <v>7.3</v>
      </c>
      <c r="D163" s="124">
        <v>89.3</v>
      </c>
      <c r="E163" s="125">
        <v>150</v>
      </c>
      <c r="F163" s="126">
        <v>30</v>
      </c>
      <c r="G163" s="127">
        <f t="shared" si="0"/>
        <v>2023.3333333333333</v>
      </c>
      <c r="H163" s="128">
        <f t="shared" si="1"/>
        <v>1201.8599999999999</v>
      </c>
      <c r="I163" s="129">
        <v>1</v>
      </c>
      <c r="J163" s="126">
        <v>2245</v>
      </c>
      <c r="K163" s="79">
        <f t="shared" si="2"/>
        <v>2245</v>
      </c>
      <c r="L163" s="128">
        <f t="shared" si="3"/>
        <v>1333.53</v>
      </c>
      <c r="M163" s="130">
        <v>1</v>
      </c>
      <c r="N163" s="126">
        <v>500</v>
      </c>
      <c r="O163" s="80">
        <f t="shared" si="4"/>
        <v>500</v>
      </c>
      <c r="P163" s="81">
        <f t="shared" si="5"/>
        <v>297</v>
      </c>
      <c r="Q163" s="129">
        <v>20</v>
      </c>
      <c r="R163" s="131">
        <v>4.91</v>
      </c>
      <c r="S163" s="127">
        <f t="shared" si="6"/>
        <v>98.2</v>
      </c>
      <c r="T163" s="128">
        <f t="shared" si="7"/>
        <v>58.330800000000004</v>
      </c>
      <c r="U163" s="113"/>
      <c r="V163" s="81">
        <f t="shared" si="14"/>
        <v>0</v>
      </c>
      <c r="W163" s="132"/>
      <c r="X163" s="153"/>
      <c r="Y163" s="94"/>
      <c r="Z163" s="132"/>
      <c r="AA163" s="153"/>
      <c r="AB163" s="94"/>
      <c r="AC163" s="133"/>
      <c r="AD163" s="93" t="str">
        <f t="shared" si="8"/>
        <v/>
      </c>
      <c r="AE163" s="94" t="e">
        <f t="shared" si="9"/>
        <v>#VALUE!</v>
      </c>
      <c r="AF163" s="134" t="s">
        <v>85</v>
      </c>
      <c r="AG163" s="135">
        <v>0.01</v>
      </c>
      <c r="AH163" s="136">
        <f t="shared" si="10"/>
        <v>2.97E-3</v>
      </c>
      <c r="AI163" s="80"/>
      <c r="AJ163" s="154"/>
      <c r="AK163" s="100" t="str">
        <f t="shared" si="21"/>
        <v/>
      </c>
      <c r="AL163" s="138"/>
      <c r="AM163" s="113"/>
      <c r="AN163" s="103" t="str">
        <f t="shared" si="12"/>
        <v/>
      </c>
      <c r="AO163" s="139"/>
      <c r="AP163" s="140"/>
      <c r="AQ163" s="141" t="str">
        <f t="shared" si="15"/>
        <v/>
      </c>
      <c r="AR163" s="142"/>
      <c r="AS163" s="140"/>
      <c r="AT163" s="143" t="str">
        <f t="shared" si="16"/>
        <v/>
      </c>
      <c r="AU163" s="139"/>
      <c r="AV163" s="113"/>
      <c r="AW163" s="107" t="str">
        <f t="shared" si="17"/>
        <v/>
      </c>
      <c r="AX163" s="113"/>
      <c r="AY163" s="113"/>
      <c r="AZ163" s="144" t="str">
        <f t="shared" si="18"/>
        <v/>
      </c>
      <c r="BA163" s="80"/>
      <c r="BB163" s="140"/>
      <c r="BC163" s="145" t="str">
        <f t="shared" si="19"/>
        <v/>
      </c>
      <c r="BD163" s="113"/>
      <c r="BE163" s="114"/>
      <c r="BF163" s="146" t="str">
        <f t="shared" si="20"/>
        <v/>
      </c>
      <c r="BG163" s="147" t="s">
        <v>84</v>
      </c>
      <c r="BH163" s="148"/>
      <c r="BI163" s="156"/>
      <c r="BJ163" s="150">
        <f>'Degrémont sortie'!BI163</f>
        <v>0</v>
      </c>
      <c r="BK163" s="151">
        <f>'Degrémont sortie'!BJ163</f>
        <v>0</v>
      </c>
    </row>
    <row r="164" spans="1:63" ht="14.25" outlineLevel="1">
      <c r="A164" s="152">
        <f t="shared" si="13"/>
        <v>43616</v>
      </c>
      <c r="B164" s="122">
        <v>879</v>
      </c>
      <c r="C164" s="123">
        <v>7.44</v>
      </c>
      <c r="D164" s="124">
        <v>89.1</v>
      </c>
      <c r="E164" s="125">
        <v>105.9</v>
      </c>
      <c r="F164" s="126">
        <v>30</v>
      </c>
      <c r="G164" s="127">
        <f t="shared" si="0"/>
        <v>560.00000000000034</v>
      </c>
      <c r="H164" s="128">
        <f t="shared" si="1"/>
        <v>492.24000000000029</v>
      </c>
      <c r="I164" s="129">
        <v>1</v>
      </c>
      <c r="J164" s="126">
        <v>1173</v>
      </c>
      <c r="K164" s="79">
        <f t="shared" si="2"/>
        <v>1173</v>
      </c>
      <c r="L164" s="128">
        <f t="shared" si="3"/>
        <v>1031.067</v>
      </c>
      <c r="M164" s="130">
        <v>1</v>
      </c>
      <c r="N164" s="126">
        <v>433</v>
      </c>
      <c r="O164" s="80">
        <f t="shared" si="4"/>
        <v>433</v>
      </c>
      <c r="P164" s="81">
        <f t="shared" si="5"/>
        <v>380.60700000000003</v>
      </c>
      <c r="Q164" s="129">
        <v>20</v>
      </c>
      <c r="R164" s="131">
        <v>1.43</v>
      </c>
      <c r="S164" s="127">
        <f t="shared" si="6"/>
        <v>28.599999999999998</v>
      </c>
      <c r="T164" s="128">
        <f t="shared" si="7"/>
        <v>25.139399999999998</v>
      </c>
      <c r="U164" s="113"/>
      <c r="V164" s="81">
        <f t="shared" si="14"/>
        <v>0</v>
      </c>
      <c r="W164" s="132"/>
      <c r="X164" s="153"/>
      <c r="Y164" s="94"/>
      <c r="Z164" s="132"/>
      <c r="AA164" s="153"/>
      <c r="AB164" s="94"/>
      <c r="AC164" s="133"/>
      <c r="AD164" s="93" t="str">
        <f t="shared" si="8"/>
        <v/>
      </c>
      <c r="AE164" s="94" t="e">
        <f t="shared" si="9"/>
        <v>#VALUE!</v>
      </c>
      <c r="AF164" s="139"/>
      <c r="AG164" s="215"/>
      <c r="AH164" s="136">
        <f t="shared" si="10"/>
        <v>0</v>
      </c>
      <c r="AI164" s="80"/>
      <c r="AJ164" s="154"/>
      <c r="AK164" s="100" t="str">
        <f t="shared" si="21"/>
        <v/>
      </c>
      <c r="AL164" s="138"/>
      <c r="AM164" s="113"/>
      <c r="AN164" s="103" t="str">
        <f t="shared" si="12"/>
        <v/>
      </c>
      <c r="AO164" s="139"/>
      <c r="AP164" s="140"/>
      <c r="AQ164" s="141" t="str">
        <f t="shared" si="15"/>
        <v/>
      </c>
      <c r="AR164" s="142"/>
      <c r="AS164" s="140"/>
      <c r="AT164" s="143" t="str">
        <f t="shared" si="16"/>
        <v/>
      </c>
      <c r="AU164" s="139"/>
      <c r="AV164" s="113"/>
      <c r="AW164" s="107" t="str">
        <f t="shared" si="17"/>
        <v/>
      </c>
      <c r="AX164" s="113"/>
      <c r="AY164" s="113"/>
      <c r="AZ164" s="144" t="str">
        <f t="shared" si="18"/>
        <v/>
      </c>
      <c r="BA164" s="80"/>
      <c r="BB164" s="140"/>
      <c r="BC164" s="145" t="str">
        <f t="shared" si="19"/>
        <v/>
      </c>
      <c r="BD164" s="113"/>
      <c r="BE164" s="114"/>
      <c r="BF164" s="146" t="str">
        <f t="shared" si="20"/>
        <v/>
      </c>
      <c r="BG164" s="147" t="s">
        <v>84</v>
      </c>
      <c r="BH164" s="148"/>
      <c r="BI164" s="156"/>
      <c r="BJ164" s="150">
        <f>'Degrémont sortie'!BI164</f>
        <v>0</v>
      </c>
      <c r="BK164" s="151">
        <f>'Degrémont sortie'!BJ164</f>
        <v>0</v>
      </c>
    </row>
    <row r="165" spans="1:63" ht="15.75" customHeight="1" outlineLevel="1">
      <c r="A165" s="121">
        <f t="shared" si="13"/>
        <v>43617</v>
      </c>
      <c r="B165" s="122">
        <v>946</v>
      </c>
      <c r="C165" s="123">
        <v>7.52</v>
      </c>
      <c r="D165" s="124">
        <v>91.9</v>
      </c>
      <c r="E165" s="125">
        <v>111.2</v>
      </c>
      <c r="F165" s="126">
        <v>48</v>
      </c>
      <c r="G165" s="127">
        <f t="shared" si="0"/>
        <v>402.08333333333326</v>
      </c>
      <c r="H165" s="128">
        <f t="shared" si="1"/>
        <v>380.37083333333328</v>
      </c>
      <c r="I165" s="129">
        <v>1</v>
      </c>
      <c r="J165" s="126">
        <v>1414</v>
      </c>
      <c r="K165" s="79">
        <f t="shared" si="2"/>
        <v>1414</v>
      </c>
      <c r="L165" s="128">
        <f t="shared" si="3"/>
        <v>1337.644</v>
      </c>
      <c r="M165" s="130">
        <v>1</v>
      </c>
      <c r="N165" s="126">
        <v>869</v>
      </c>
      <c r="O165" s="80">
        <f t="shared" si="4"/>
        <v>869</v>
      </c>
      <c r="P165" s="81">
        <f t="shared" si="5"/>
        <v>822.07399999999996</v>
      </c>
      <c r="Q165" s="129">
        <v>20</v>
      </c>
      <c r="R165" s="131">
        <v>2.14</v>
      </c>
      <c r="S165" s="127">
        <f t="shared" si="6"/>
        <v>42.800000000000004</v>
      </c>
      <c r="T165" s="128">
        <f t="shared" si="7"/>
        <v>40.488800000000005</v>
      </c>
      <c r="U165" s="113"/>
      <c r="V165" s="81">
        <f t="shared" si="14"/>
        <v>0</v>
      </c>
      <c r="W165" s="132"/>
      <c r="X165" s="153"/>
      <c r="Y165" s="94"/>
      <c r="Z165" s="132"/>
      <c r="AA165" s="153"/>
      <c r="AB165" s="94"/>
      <c r="AC165" s="133"/>
      <c r="AD165" s="93" t="str">
        <f t="shared" si="8"/>
        <v/>
      </c>
      <c r="AE165" s="94" t="e">
        <f t="shared" si="9"/>
        <v>#VALUE!</v>
      </c>
      <c r="AF165" s="139"/>
      <c r="AG165" s="215"/>
      <c r="AH165" s="136">
        <f t="shared" si="10"/>
        <v>0</v>
      </c>
      <c r="AI165" s="80"/>
      <c r="AJ165" s="154"/>
      <c r="AK165" s="100" t="str">
        <f t="shared" si="21"/>
        <v/>
      </c>
      <c r="AL165" s="138"/>
      <c r="AM165" s="113"/>
      <c r="AN165" s="103" t="str">
        <f t="shared" si="12"/>
        <v/>
      </c>
      <c r="AO165" s="139"/>
      <c r="AP165" s="140"/>
      <c r="AQ165" s="141" t="str">
        <f t="shared" si="15"/>
        <v/>
      </c>
      <c r="AR165" s="142"/>
      <c r="AS165" s="140"/>
      <c r="AT165" s="143" t="str">
        <f t="shared" si="16"/>
        <v/>
      </c>
      <c r="AU165" s="139"/>
      <c r="AV165" s="113"/>
      <c r="AW165" s="107" t="str">
        <f t="shared" si="17"/>
        <v/>
      </c>
      <c r="AX165" s="113"/>
      <c r="AY165" s="113"/>
      <c r="AZ165" s="144" t="str">
        <f t="shared" si="18"/>
        <v/>
      </c>
      <c r="BA165" s="80"/>
      <c r="BB165" s="140"/>
      <c r="BC165" s="145" t="str">
        <f t="shared" si="19"/>
        <v/>
      </c>
      <c r="BD165" s="113"/>
      <c r="BE165" s="114"/>
      <c r="BF165" s="146" t="str">
        <f t="shared" si="20"/>
        <v/>
      </c>
      <c r="BG165" s="147" t="s">
        <v>84</v>
      </c>
      <c r="BH165" s="148"/>
      <c r="BI165" s="156"/>
      <c r="BJ165" s="150">
        <f>'Degrémont sortie'!BI165</f>
        <v>0</v>
      </c>
      <c r="BK165" s="151">
        <f>'Degrémont sortie'!BJ165</f>
        <v>0</v>
      </c>
    </row>
    <row r="166" spans="1:63" ht="15.75" customHeight="1" outlineLevel="1">
      <c r="A166" s="152">
        <f t="shared" si="13"/>
        <v>43618</v>
      </c>
      <c r="B166" s="207"/>
      <c r="C166" s="208"/>
      <c r="D166" s="210"/>
      <c r="E166" s="211"/>
      <c r="F166" s="80"/>
      <c r="G166" s="127">
        <f t="shared" si="0"/>
        <v>0</v>
      </c>
      <c r="H166" s="128">
        <f t="shared" si="1"/>
        <v>0</v>
      </c>
      <c r="I166" s="129">
        <v>1</v>
      </c>
      <c r="J166" s="80"/>
      <c r="K166" s="79">
        <f t="shared" si="2"/>
        <v>0</v>
      </c>
      <c r="L166" s="128">
        <f t="shared" si="3"/>
        <v>0</v>
      </c>
      <c r="M166" s="130">
        <v>1</v>
      </c>
      <c r="N166" s="80"/>
      <c r="O166" s="80" t="str">
        <f t="shared" si="4"/>
        <v/>
      </c>
      <c r="P166" s="81">
        <f t="shared" si="5"/>
        <v>0</v>
      </c>
      <c r="Q166" s="213"/>
      <c r="R166" s="113"/>
      <c r="S166" s="127" t="str">
        <f t="shared" si="6"/>
        <v/>
      </c>
      <c r="T166" s="128">
        <f t="shared" si="7"/>
        <v>0</v>
      </c>
      <c r="U166" s="113"/>
      <c r="V166" s="81">
        <f t="shared" si="14"/>
        <v>0</v>
      </c>
      <c r="W166" s="132"/>
      <c r="X166" s="153"/>
      <c r="Y166" s="94"/>
      <c r="Z166" s="132"/>
      <c r="AA166" s="153"/>
      <c r="AB166" s="94"/>
      <c r="AC166" s="133"/>
      <c r="AD166" s="93" t="str">
        <f t="shared" si="8"/>
        <v/>
      </c>
      <c r="AE166" s="94" t="str">
        <f t="shared" si="9"/>
        <v/>
      </c>
      <c r="AF166" s="139"/>
      <c r="AG166" s="215"/>
      <c r="AH166" s="136" t="str">
        <f t="shared" si="10"/>
        <v/>
      </c>
      <c r="AI166" s="80"/>
      <c r="AJ166" s="154"/>
      <c r="AK166" s="100" t="str">
        <f t="shared" si="21"/>
        <v/>
      </c>
      <c r="AL166" s="138"/>
      <c r="AM166" s="113"/>
      <c r="AN166" s="103" t="str">
        <f t="shared" si="12"/>
        <v/>
      </c>
      <c r="AO166" s="139"/>
      <c r="AP166" s="140"/>
      <c r="AQ166" s="141" t="str">
        <f t="shared" si="15"/>
        <v/>
      </c>
      <c r="AR166" s="142"/>
      <c r="AS166" s="140"/>
      <c r="AT166" s="143" t="str">
        <f t="shared" si="16"/>
        <v/>
      </c>
      <c r="AU166" s="139"/>
      <c r="AV166" s="113"/>
      <c r="AW166" s="107" t="str">
        <f t="shared" si="17"/>
        <v/>
      </c>
      <c r="AX166" s="113"/>
      <c r="AY166" s="113"/>
      <c r="AZ166" s="144" t="str">
        <f t="shared" si="18"/>
        <v/>
      </c>
      <c r="BA166" s="80"/>
      <c r="BB166" s="140"/>
      <c r="BC166" s="145" t="str">
        <f t="shared" si="19"/>
        <v/>
      </c>
      <c r="BD166" s="113"/>
      <c r="BE166" s="114"/>
      <c r="BF166" s="146" t="str">
        <f t="shared" si="20"/>
        <v/>
      </c>
      <c r="BG166" s="147" t="s">
        <v>84</v>
      </c>
      <c r="BH166" s="148"/>
      <c r="BI166" s="149" t="s">
        <v>195</v>
      </c>
      <c r="BJ166" s="150">
        <f>'Degrémont sortie'!BI166</f>
        <v>0</v>
      </c>
      <c r="BK166" s="151">
        <f>'Degrémont sortie'!BJ166</f>
        <v>0</v>
      </c>
    </row>
    <row r="167" spans="1:63" ht="15.75" customHeight="1" outlineLevel="1">
      <c r="A167" s="121">
        <f t="shared" si="13"/>
        <v>43619</v>
      </c>
      <c r="B167" s="122">
        <v>736</v>
      </c>
      <c r="C167" s="123">
        <v>7.46</v>
      </c>
      <c r="D167" s="124">
        <v>90.4</v>
      </c>
      <c r="E167" s="125">
        <v>111.6</v>
      </c>
      <c r="F167" s="126">
        <v>30</v>
      </c>
      <c r="G167" s="127">
        <f t="shared" si="0"/>
        <v>706.66666666666629</v>
      </c>
      <c r="H167" s="128">
        <f t="shared" si="1"/>
        <v>520.10666666666634</v>
      </c>
      <c r="I167" s="129">
        <v>1</v>
      </c>
      <c r="J167" s="126">
        <v>1827</v>
      </c>
      <c r="K167" s="79">
        <f t="shared" si="2"/>
        <v>1827</v>
      </c>
      <c r="L167" s="128">
        <f t="shared" si="3"/>
        <v>1344.672</v>
      </c>
      <c r="M167" s="130">
        <v>1</v>
      </c>
      <c r="N167" s="126">
        <v>777</v>
      </c>
      <c r="O167" s="80">
        <f t="shared" si="4"/>
        <v>777</v>
      </c>
      <c r="P167" s="81">
        <f t="shared" si="5"/>
        <v>571.87199999999996</v>
      </c>
      <c r="Q167" s="129">
        <v>20</v>
      </c>
      <c r="R167" s="131">
        <v>1.56</v>
      </c>
      <c r="S167" s="127">
        <f t="shared" si="6"/>
        <v>31.200000000000003</v>
      </c>
      <c r="T167" s="128">
        <f t="shared" si="7"/>
        <v>22.963200000000001</v>
      </c>
      <c r="U167" s="113"/>
      <c r="V167" s="81">
        <f t="shared" si="14"/>
        <v>0</v>
      </c>
      <c r="W167" s="132"/>
      <c r="X167" s="153"/>
      <c r="Y167" s="94"/>
      <c r="Z167" s="132"/>
      <c r="AA167" s="153"/>
      <c r="AB167" s="94"/>
      <c r="AC167" s="133"/>
      <c r="AD167" s="93" t="str">
        <f t="shared" si="8"/>
        <v/>
      </c>
      <c r="AE167" s="94" t="e">
        <f t="shared" si="9"/>
        <v>#VALUE!</v>
      </c>
      <c r="AF167" s="139"/>
      <c r="AG167" s="215"/>
      <c r="AH167" s="136">
        <f t="shared" si="10"/>
        <v>0</v>
      </c>
      <c r="AI167" s="80"/>
      <c r="AJ167" s="154"/>
      <c r="AK167" s="100" t="str">
        <f t="shared" si="21"/>
        <v/>
      </c>
      <c r="AL167" s="138"/>
      <c r="AM167" s="113"/>
      <c r="AN167" s="103" t="str">
        <f t="shared" si="12"/>
        <v/>
      </c>
      <c r="AO167" s="139"/>
      <c r="AP167" s="140"/>
      <c r="AQ167" s="141" t="str">
        <f t="shared" si="15"/>
        <v/>
      </c>
      <c r="AR167" s="142"/>
      <c r="AS167" s="140"/>
      <c r="AT167" s="143" t="str">
        <f t="shared" si="16"/>
        <v/>
      </c>
      <c r="AU167" s="139"/>
      <c r="AV167" s="113"/>
      <c r="AW167" s="107" t="str">
        <f t="shared" si="17"/>
        <v/>
      </c>
      <c r="AX167" s="113"/>
      <c r="AY167" s="113"/>
      <c r="AZ167" s="144" t="str">
        <f t="shared" si="18"/>
        <v/>
      </c>
      <c r="BA167" s="80"/>
      <c r="BB167" s="140"/>
      <c r="BC167" s="145" t="str">
        <f t="shared" si="19"/>
        <v/>
      </c>
      <c r="BD167" s="113"/>
      <c r="BE167" s="114"/>
      <c r="BF167" s="146" t="str">
        <f t="shared" si="20"/>
        <v/>
      </c>
      <c r="BG167" s="147" t="s">
        <v>84</v>
      </c>
      <c r="BH167" s="148"/>
      <c r="BI167" s="156"/>
      <c r="BJ167" s="150">
        <f>'Degrémont sortie'!BI167</f>
        <v>0</v>
      </c>
      <c r="BK167" s="151">
        <f>'Degrémont sortie'!BJ167</f>
        <v>0</v>
      </c>
    </row>
    <row r="168" spans="1:63" ht="15.75" customHeight="1" outlineLevel="1">
      <c r="A168" s="152">
        <f t="shared" si="13"/>
        <v>43620</v>
      </c>
      <c r="B168" s="122">
        <v>926</v>
      </c>
      <c r="C168" s="123">
        <v>7.31</v>
      </c>
      <c r="D168" s="124">
        <v>89.8</v>
      </c>
      <c r="E168" s="125">
        <v>160.6</v>
      </c>
      <c r="F168" s="126">
        <v>15</v>
      </c>
      <c r="G168" s="127">
        <f t="shared" si="0"/>
        <v>4720</v>
      </c>
      <c r="H168" s="128">
        <f t="shared" si="1"/>
        <v>4370.72</v>
      </c>
      <c r="I168" s="129">
        <v>1</v>
      </c>
      <c r="J168" s="126">
        <v>4571</v>
      </c>
      <c r="K168" s="79">
        <f t="shared" si="2"/>
        <v>4571</v>
      </c>
      <c r="L168" s="128">
        <f t="shared" si="3"/>
        <v>4232.7460000000001</v>
      </c>
      <c r="M168" s="130">
        <v>1</v>
      </c>
      <c r="N168" s="126">
        <v>519</v>
      </c>
      <c r="O168" s="80">
        <f t="shared" si="4"/>
        <v>519</v>
      </c>
      <c r="P168" s="81">
        <f t="shared" si="5"/>
        <v>480.59399999999999</v>
      </c>
      <c r="Q168" s="129">
        <v>20</v>
      </c>
      <c r="R168" s="131">
        <v>9.82</v>
      </c>
      <c r="S168" s="127">
        <f t="shared" si="6"/>
        <v>196.4</v>
      </c>
      <c r="T168" s="128">
        <f t="shared" si="7"/>
        <v>181.8664</v>
      </c>
      <c r="U168" s="131">
        <v>29.8</v>
      </c>
      <c r="V168" s="81">
        <f t="shared" si="14"/>
        <v>27.594799999999999</v>
      </c>
      <c r="W168" s="132"/>
      <c r="X168" s="153"/>
      <c r="Y168" s="94"/>
      <c r="Z168" s="132"/>
      <c r="AA168" s="153"/>
      <c r="AB168" s="94"/>
      <c r="AC168" s="133"/>
      <c r="AD168" s="93" t="str">
        <f t="shared" si="8"/>
        <v/>
      </c>
      <c r="AE168" s="94" t="e">
        <f t="shared" si="9"/>
        <v>#VALUE!</v>
      </c>
      <c r="AF168" s="139"/>
      <c r="AG168" s="215"/>
      <c r="AH168" s="136">
        <f t="shared" si="10"/>
        <v>0</v>
      </c>
      <c r="AI168" s="80"/>
      <c r="AJ168" s="154"/>
      <c r="AK168" s="100" t="str">
        <f t="shared" si="21"/>
        <v/>
      </c>
      <c r="AL168" s="138"/>
      <c r="AM168" s="113"/>
      <c r="AN168" s="103" t="str">
        <f t="shared" si="12"/>
        <v/>
      </c>
      <c r="AO168" s="139"/>
      <c r="AP168" s="155">
        <v>36.590000000000003</v>
      </c>
      <c r="AQ168" s="141">
        <f t="shared" si="15"/>
        <v>256.78862000000004</v>
      </c>
      <c r="AR168" s="142"/>
      <c r="AS168" s="155">
        <v>0.23</v>
      </c>
      <c r="AT168" s="143">
        <f t="shared" si="16"/>
        <v>1.6141400000000001</v>
      </c>
      <c r="AU168" s="139"/>
      <c r="AV168" s="131">
        <v>5.61</v>
      </c>
      <c r="AW168" s="107">
        <f t="shared" si="17"/>
        <v>39.370980000000003</v>
      </c>
      <c r="AX168" s="113"/>
      <c r="AY168" s="131">
        <v>53.23</v>
      </c>
      <c r="AZ168" s="144">
        <f t="shared" si="18"/>
        <v>373.56813999999997</v>
      </c>
      <c r="BA168" s="126" t="s">
        <v>85</v>
      </c>
      <c r="BB168" s="155">
        <v>0.15</v>
      </c>
      <c r="BC168" s="145">
        <f t="shared" si="19"/>
        <v>0.52634999999999998</v>
      </c>
      <c r="BD168" s="131" t="s">
        <v>85</v>
      </c>
      <c r="BE168" s="158">
        <v>0.13</v>
      </c>
      <c r="BF168" s="146">
        <f t="shared" si="20"/>
        <v>0.45617000000000002</v>
      </c>
      <c r="BG168" s="147" t="s">
        <v>84</v>
      </c>
      <c r="BH168" s="148"/>
      <c r="BI168" s="156"/>
      <c r="BJ168" s="150">
        <f>'Degrémont sortie'!BI168</f>
        <v>0</v>
      </c>
      <c r="BK168" s="151">
        <f>'Degrémont sortie'!BJ168</f>
        <v>0</v>
      </c>
    </row>
    <row r="169" spans="1:63" ht="15.75" customHeight="1" outlineLevel="1">
      <c r="A169" s="121">
        <f t="shared" si="13"/>
        <v>43621</v>
      </c>
      <c r="B169" s="122">
        <v>1027</v>
      </c>
      <c r="C169" s="123">
        <v>7.12</v>
      </c>
      <c r="D169" s="124">
        <v>90.4</v>
      </c>
      <c r="E169" s="125">
        <v>121.3</v>
      </c>
      <c r="F169" s="126">
        <v>30</v>
      </c>
      <c r="G169" s="127">
        <f t="shared" si="0"/>
        <v>1029.9999999999998</v>
      </c>
      <c r="H169" s="128">
        <f t="shared" si="1"/>
        <v>1057.8099999999997</v>
      </c>
      <c r="I169" s="129">
        <v>1</v>
      </c>
      <c r="J169" s="126">
        <v>1643</v>
      </c>
      <c r="K169" s="79">
        <f t="shared" si="2"/>
        <v>1643</v>
      </c>
      <c r="L169" s="128">
        <f t="shared" si="3"/>
        <v>1687.3610000000001</v>
      </c>
      <c r="M169" s="130">
        <v>1</v>
      </c>
      <c r="N169" s="126">
        <v>370</v>
      </c>
      <c r="O169" s="80">
        <f t="shared" si="4"/>
        <v>370</v>
      </c>
      <c r="P169" s="81">
        <f t="shared" si="5"/>
        <v>379.99</v>
      </c>
      <c r="Q169" s="129">
        <v>20</v>
      </c>
      <c r="R169" s="131">
        <v>3.34</v>
      </c>
      <c r="S169" s="127">
        <f t="shared" si="6"/>
        <v>66.8</v>
      </c>
      <c r="T169" s="128">
        <f t="shared" si="7"/>
        <v>68.603599999999986</v>
      </c>
      <c r="U169" s="113"/>
      <c r="V169" s="81">
        <f t="shared" si="14"/>
        <v>0</v>
      </c>
      <c r="W169" s="132"/>
      <c r="X169" s="153"/>
      <c r="Y169" s="94"/>
      <c r="Z169" s="132"/>
      <c r="AA169" s="153"/>
      <c r="AB169" s="94"/>
      <c r="AC169" s="133"/>
      <c r="AD169" s="93" t="str">
        <f t="shared" si="8"/>
        <v/>
      </c>
      <c r="AE169" s="94" t="e">
        <f t="shared" si="9"/>
        <v>#VALUE!</v>
      </c>
      <c r="AF169" s="139"/>
      <c r="AG169" s="215"/>
      <c r="AH169" s="136">
        <f t="shared" si="10"/>
        <v>0</v>
      </c>
      <c r="AI169" s="80"/>
      <c r="AJ169" s="154"/>
      <c r="AK169" s="100" t="str">
        <f t="shared" si="21"/>
        <v/>
      </c>
      <c r="AL169" s="138"/>
      <c r="AM169" s="113"/>
      <c r="AN169" s="103" t="str">
        <f t="shared" si="12"/>
        <v/>
      </c>
      <c r="AO169" s="139"/>
      <c r="AP169" s="140"/>
      <c r="AQ169" s="141" t="str">
        <f t="shared" si="15"/>
        <v/>
      </c>
      <c r="AR169" s="142"/>
      <c r="AS169" s="140"/>
      <c r="AT169" s="143" t="str">
        <f t="shared" si="16"/>
        <v/>
      </c>
      <c r="AU169" s="139"/>
      <c r="AV169" s="113"/>
      <c r="AW169" s="107" t="str">
        <f t="shared" si="17"/>
        <v/>
      </c>
      <c r="AX169" s="113"/>
      <c r="AY169" s="113"/>
      <c r="AZ169" s="144" t="str">
        <f t="shared" si="18"/>
        <v/>
      </c>
      <c r="BA169" s="80"/>
      <c r="BB169" s="140"/>
      <c r="BC169" s="145" t="str">
        <f t="shared" si="19"/>
        <v/>
      </c>
      <c r="BD169" s="113"/>
      <c r="BE169" s="114"/>
      <c r="BF169" s="146" t="str">
        <f t="shared" si="20"/>
        <v/>
      </c>
      <c r="BG169" s="147" t="s">
        <v>84</v>
      </c>
      <c r="BH169" s="148"/>
      <c r="BI169" s="156"/>
      <c r="BJ169" s="150">
        <f>'Degrémont sortie'!BI169</f>
        <v>0</v>
      </c>
      <c r="BK169" s="151">
        <f>'Degrémont sortie'!BJ169</f>
        <v>0</v>
      </c>
    </row>
    <row r="170" spans="1:63" ht="14.25" outlineLevel="1">
      <c r="A170" s="152">
        <f t="shared" si="13"/>
        <v>43622</v>
      </c>
      <c r="B170" s="183">
        <v>966</v>
      </c>
      <c r="C170" s="184">
        <v>7.12</v>
      </c>
      <c r="D170" s="185">
        <v>87.8</v>
      </c>
      <c r="E170" s="186">
        <v>103.9</v>
      </c>
      <c r="F170" s="187">
        <v>19</v>
      </c>
      <c r="G170" s="127">
        <f t="shared" si="0"/>
        <v>847.36842105263202</v>
      </c>
      <c r="H170" s="128">
        <f t="shared" si="1"/>
        <v>818.55789473684251</v>
      </c>
      <c r="I170" s="188">
        <v>1</v>
      </c>
      <c r="J170" s="187">
        <v>1856</v>
      </c>
      <c r="K170" s="79">
        <f t="shared" si="2"/>
        <v>1856</v>
      </c>
      <c r="L170" s="128">
        <f t="shared" si="3"/>
        <v>1792.896</v>
      </c>
      <c r="M170" s="189">
        <v>1</v>
      </c>
      <c r="N170" s="187">
        <v>724</v>
      </c>
      <c r="O170" s="80">
        <f t="shared" si="4"/>
        <v>724</v>
      </c>
      <c r="P170" s="81">
        <f t="shared" si="5"/>
        <v>699.38400000000001</v>
      </c>
      <c r="Q170" s="188">
        <v>20</v>
      </c>
      <c r="R170" s="190">
        <v>2.11</v>
      </c>
      <c r="S170" s="127">
        <f t="shared" si="6"/>
        <v>42.199999999999996</v>
      </c>
      <c r="T170" s="128">
        <f t="shared" si="7"/>
        <v>40.7652</v>
      </c>
      <c r="U170" s="191"/>
      <c r="V170" s="81">
        <f t="shared" si="14"/>
        <v>0</v>
      </c>
      <c r="W170" s="132"/>
      <c r="X170" s="153"/>
      <c r="Y170" s="94"/>
      <c r="Z170" s="132"/>
      <c r="AA170" s="153"/>
      <c r="AB170" s="94"/>
      <c r="AC170" s="133"/>
      <c r="AD170" s="93" t="str">
        <f t="shared" si="8"/>
        <v/>
      </c>
      <c r="AE170" s="94" t="e">
        <f t="shared" si="9"/>
        <v>#VALUE!</v>
      </c>
      <c r="AF170" s="195"/>
      <c r="AG170" s="382"/>
      <c r="AH170" s="136">
        <f t="shared" si="10"/>
        <v>0</v>
      </c>
      <c r="AI170" s="80"/>
      <c r="AJ170" s="154"/>
      <c r="AK170" s="100" t="str">
        <f t="shared" si="21"/>
        <v/>
      </c>
      <c r="AL170" s="194"/>
      <c r="AM170" s="191"/>
      <c r="AN170" s="103" t="str">
        <f t="shared" si="12"/>
        <v/>
      </c>
      <c r="AO170" s="195"/>
      <c r="AP170" s="196"/>
      <c r="AQ170" s="141" t="str">
        <f t="shared" si="15"/>
        <v/>
      </c>
      <c r="AR170" s="197"/>
      <c r="AS170" s="196"/>
      <c r="AT170" s="143" t="str">
        <f t="shared" si="16"/>
        <v/>
      </c>
      <c r="AU170" s="195"/>
      <c r="AV170" s="191"/>
      <c r="AW170" s="107" t="str">
        <f t="shared" si="17"/>
        <v/>
      </c>
      <c r="AX170" s="191"/>
      <c r="AY170" s="191"/>
      <c r="AZ170" s="144" t="str">
        <f t="shared" si="18"/>
        <v/>
      </c>
      <c r="BA170" s="198"/>
      <c r="BB170" s="196"/>
      <c r="BC170" s="145" t="str">
        <f t="shared" si="19"/>
        <v/>
      </c>
      <c r="BD170" s="191"/>
      <c r="BE170" s="199"/>
      <c r="BF170" s="146" t="str">
        <f t="shared" si="20"/>
        <v/>
      </c>
      <c r="BG170" s="147" t="s">
        <v>84</v>
      </c>
      <c r="BH170" s="200"/>
      <c r="BI170" s="391"/>
      <c r="BJ170" s="150">
        <f>'Degrémont sortie'!BI170</f>
        <v>0</v>
      </c>
      <c r="BK170" s="151">
        <f>'Degrémont sortie'!BJ170</f>
        <v>0</v>
      </c>
    </row>
    <row r="171" spans="1:63" ht="14.25" outlineLevel="1">
      <c r="A171" s="121">
        <f t="shared" si="13"/>
        <v>43623</v>
      </c>
      <c r="B171" s="122">
        <v>869</v>
      </c>
      <c r="C171" s="123">
        <v>7.35</v>
      </c>
      <c r="D171" s="124">
        <v>89.8</v>
      </c>
      <c r="E171" s="125">
        <v>132.6</v>
      </c>
      <c r="F171" s="126">
        <v>25</v>
      </c>
      <c r="G171" s="127">
        <f t="shared" si="0"/>
        <v>1712</v>
      </c>
      <c r="H171" s="128">
        <f t="shared" si="1"/>
        <v>1487.7280000000001</v>
      </c>
      <c r="I171" s="129">
        <v>1</v>
      </c>
      <c r="J171" s="126">
        <v>2209</v>
      </c>
      <c r="K171" s="79">
        <f t="shared" si="2"/>
        <v>2209</v>
      </c>
      <c r="L171" s="128">
        <f t="shared" si="3"/>
        <v>1919.6210000000001</v>
      </c>
      <c r="M171" s="130">
        <v>1</v>
      </c>
      <c r="N171" s="126">
        <v>611</v>
      </c>
      <c r="O171" s="80">
        <f t="shared" si="4"/>
        <v>611</v>
      </c>
      <c r="P171" s="81">
        <f t="shared" si="5"/>
        <v>530.95899999999995</v>
      </c>
      <c r="Q171" s="129">
        <v>20</v>
      </c>
      <c r="R171" s="131">
        <v>4.2300000000000004</v>
      </c>
      <c r="S171" s="127">
        <f t="shared" si="6"/>
        <v>84.600000000000009</v>
      </c>
      <c r="T171" s="128">
        <f t="shared" si="7"/>
        <v>73.517400000000009</v>
      </c>
      <c r="U171" s="113"/>
      <c r="V171" s="81">
        <f t="shared" si="14"/>
        <v>0</v>
      </c>
      <c r="W171" s="132"/>
      <c r="X171" s="153"/>
      <c r="Y171" s="94"/>
      <c r="Z171" s="132"/>
      <c r="AA171" s="153"/>
      <c r="AB171" s="94"/>
      <c r="AC171" s="133"/>
      <c r="AD171" s="93" t="str">
        <f t="shared" si="8"/>
        <v/>
      </c>
      <c r="AE171" s="94" t="e">
        <f t="shared" si="9"/>
        <v>#VALUE!</v>
      </c>
      <c r="AF171" s="134" t="s">
        <v>85</v>
      </c>
      <c r="AG171" s="135">
        <v>0.01</v>
      </c>
      <c r="AH171" s="136">
        <f t="shared" si="10"/>
        <v>4.3449999999999999E-3</v>
      </c>
      <c r="AI171" s="80"/>
      <c r="AJ171" s="154"/>
      <c r="AK171" s="100" t="str">
        <f t="shared" si="21"/>
        <v/>
      </c>
      <c r="AL171" s="138"/>
      <c r="AM171" s="113"/>
      <c r="AN171" s="103" t="str">
        <f t="shared" si="12"/>
        <v/>
      </c>
      <c r="AO171" s="139"/>
      <c r="AP171" s="140"/>
      <c r="AQ171" s="141" t="str">
        <f t="shared" si="15"/>
        <v/>
      </c>
      <c r="AR171" s="142"/>
      <c r="AS171" s="140"/>
      <c r="AT171" s="143" t="str">
        <f t="shared" si="16"/>
        <v/>
      </c>
      <c r="AU171" s="139"/>
      <c r="AV171" s="113"/>
      <c r="AW171" s="107" t="str">
        <f t="shared" si="17"/>
        <v/>
      </c>
      <c r="AX171" s="113"/>
      <c r="AY171" s="113"/>
      <c r="AZ171" s="144" t="str">
        <f t="shared" si="18"/>
        <v/>
      </c>
      <c r="BA171" s="80"/>
      <c r="BB171" s="140"/>
      <c r="BC171" s="145" t="str">
        <f t="shared" si="19"/>
        <v/>
      </c>
      <c r="BD171" s="113"/>
      <c r="BE171" s="114"/>
      <c r="BF171" s="146" t="str">
        <f t="shared" si="20"/>
        <v/>
      </c>
      <c r="BG171" s="147" t="s">
        <v>84</v>
      </c>
      <c r="BH171" s="148"/>
      <c r="BI171" s="149" t="s">
        <v>196</v>
      </c>
      <c r="BJ171" s="150">
        <f>'Degrémont sortie'!BI171</f>
        <v>0</v>
      </c>
      <c r="BK171" s="151">
        <f>'Degrémont sortie'!BJ171</f>
        <v>0</v>
      </c>
    </row>
    <row r="172" spans="1:63" ht="14.25" outlineLevel="1">
      <c r="A172" s="152">
        <f t="shared" si="13"/>
        <v>43624</v>
      </c>
      <c r="B172" s="122">
        <v>832</v>
      </c>
      <c r="C172" s="123">
        <v>7.41</v>
      </c>
      <c r="D172" s="124">
        <v>92.1</v>
      </c>
      <c r="E172" s="125">
        <v>142.1</v>
      </c>
      <c r="F172" s="126">
        <v>25</v>
      </c>
      <c r="G172" s="127">
        <f t="shared" si="0"/>
        <v>2000</v>
      </c>
      <c r="H172" s="128">
        <f t="shared" si="1"/>
        <v>1664</v>
      </c>
      <c r="I172" s="129">
        <v>1</v>
      </c>
      <c r="J172" s="126">
        <v>2777</v>
      </c>
      <c r="K172" s="79">
        <f t="shared" si="2"/>
        <v>2777</v>
      </c>
      <c r="L172" s="128">
        <f t="shared" si="3"/>
        <v>2310.4639999999999</v>
      </c>
      <c r="M172" s="130">
        <v>1</v>
      </c>
      <c r="N172" s="126">
        <v>791</v>
      </c>
      <c r="O172" s="80">
        <f t="shared" si="4"/>
        <v>791</v>
      </c>
      <c r="P172" s="81">
        <f t="shared" si="5"/>
        <v>658.11199999999997</v>
      </c>
      <c r="Q172" s="129">
        <v>20</v>
      </c>
      <c r="R172" s="131">
        <v>3.89</v>
      </c>
      <c r="S172" s="127">
        <f t="shared" si="6"/>
        <v>77.8</v>
      </c>
      <c r="T172" s="128">
        <f t="shared" si="7"/>
        <v>64.729600000000005</v>
      </c>
      <c r="U172" s="113"/>
      <c r="V172" s="81">
        <f t="shared" si="14"/>
        <v>0</v>
      </c>
      <c r="W172" s="132"/>
      <c r="X172" s="153"/>
      <c r="Y172" s="94"/>
      <c r="Z172" s="132"/>
      <c r="AA172" s="153"/>
      <c r="AB172" s="94"/>
      <c r="AC172" s="133"/>
      <c r="AD172" s="93" t="str">
        <f t="shared" si="8"/>
        <v/>
      </c>
      <c r="AE172" s="94" t="e">
        <f t="shared" si="9"/>
        <v>#VALUE!</v>
      </c>
      <c r="AF172" s="134" t="s">
        <v>85</v>
      </c>
      <c r="AG172" s="135">
        <v>0.01</v>
      </c>
      <c r="AH172" s="136">
        <f t="shared" si="10"/>
        <v>4.1600000000000005E-3</v>
      </c>
      <c r="AI172" s="80"/>
      <c r="AJ172" s="154"/>
      <c r="AK172" s="100" t="str">
        <f t="shared" si="21"/>
        <v/>
      </c>
      <c r="AL172" s="138"/>
      <c r="AM172" s="113"/>
      <c r="AN172" s="103" t="str">
        <f t="shared" si="12"/>
        <v/>
      </c>
      <c r="AO172" s="139"/>
      <c r="AP172" s="140"/>
      <c r="AQ172" s="141" t="str">
        <f t="shared" si="15"/>
        <v/>
      </c>
      <c r="AR172" s="142"/>
      <c r="AS172" s="140"/>
      <c r="AT172" s="143" t="str">
        <f t="shared" si="16"/>
        <v/>
      </c>
      <c r="AU172" s="139"/>
      <c r="AV172" s="113"/>
      <c r="AW172" s="107" t="str">
        <f t="shared" si="17"/>
        <v/>
      </c>
      <c r="AX172" s="113"/>
      <c r="AY172" s="113"/>
      <c r="AZ172" s="144" t="str">
        <f t="shared" si="18"/>
        <v/>
      </c>
      <c r="BA172" s="80"/>
      <c r="BB172" s="140"/>
      <c r="BC172" s="145" t="str">
        <f t="shared" si="19"/>
        <v/>
      </c>
      <c r="BD172" s="113"/>
      <c r="BE172" s="114"/>
      <c r="BF172" s="146" t="str">
        <f t="shared" si="20"/>
        <v/>
      </c>
      <c r="BG172" s="147" t="s">
        <v>84</v>
      </c>
      <c r="BH172" s="148"/>
      <c r="BI172" s="156"/>
      <c r="BJ172" s="150">
        <f>'Degrémont sortie'!BI172</f>
        <v>0</v>
      </c>
      <c r="BK172" s="151">
        <f>'Degrémont sortie'!BJ172</f>
        <v>0</v>
      </c>
    </row>
    <row r="173" spans="1:63" ht="14.25" outlineLevel="1">
      <c r="A173" s="121">
        <f t="shared" si="13"/>
        <v>43625</v>
      </c>
      <c r="B173" s="207"/>
      <c r="C173" s="208"/>
      <c r="D173" s="210"/>
      <c r="E173" s="211"/>
      <c r="F173" s="80"/>
      <c r="G173" s="127">
        <f t="shared" si="0"/>
        <v>0</v>
      </c>
      <c r="H173" s="128">
        <f t="shared" si="1"/>
        <v>0</v>
      </c>
      <c r="I173" s="129">
        <v>1</v>
      </c>
      <c r="J173" s="80"/>
      <c r="K173" s="79">
        <f t="shared" si="2"/>
        <v>0</v>
      </c>
      <c r="L173" s="128">
        <f t="shared" si="3"/>
        <v>0</v>
      </c>
      <c r="M173" s="130">
        <v>1</v>
      </c>
      <c r="N173" s="80"/>
      <c r="O173" s="80" t="str">
        <f t="shared" si="4"/>
        <v/>
      </c>
      <c r="P173" s="81">
        <f t="shared" si="5"/>
        <v>0</v>
      </c>
      <c r="Q173" s="213"/>
      <c r="R173" s="113"/>
      <c r="S173" s="127" t="str">
        <f t="shared" si="6"/>
        <v/>
      </c>
      <c r="T173" s="128">
        <f t="shared" si="7"/>
        <v>0</v>
      </c>
      <c r="U173" s="113"/>
      <c r="V173" s="81">
        <f t="shared" si="14"/>
        <v>0</v>
      </c>
      <c r="W173" s="132"/>
      <c r="X173" s="153"/>
      <c r="Y173" s="94"/>
      <c r="Z173" s="132"/>
      <c r="AA173" s="153"/>
      <c r="AB173" s="94"/>
      <c r="AC173" s="133"/>
      <c r="AD173" s="93" t="str">
        <f t="shared" si="8"/>
        <v/>
      </c>
      <c r="AE173" s="94" t="str">
        <f t="shared" si="9"/>
        <v/>
      </c>
      <c r="AF173" s="139"/>
      <c r="AG173" s="215"/>
      <c r="AH173" s="136" t="str">
        <f t="shared" si="10"/>
        <v/>
      </c>
      <c r="AI173" s="80"/>
      <c r="AJ173" s="154"/>
      <c r="AK173" s="100" t="str">
        <f t="shared" si="21"/>
        <v/>
      </c>
      <c r="AL173" s="138"/>
      <c r="AM173" s="113"/>
      <c r="AN173" s="103" t="str">
        <f t="shared" si="12"/>
        <v/>
      </c>
      <c r="AO173" s="139"/>
      <c r="AP173" s="140"/>
      <c r="AQ173" s="141" t="str">
        <f t="shared" si="15"/>
        <v/>
      </c>
      <c r="AR173" s="142"/>
      <c r="AS173" s="140"/>
      <c r="AT173" s="143" t="str">
        <f t="shared" si="16"/>
        <v/>
      </c>
      <c r="AU173" s="139"/>
      <c r="AV173" s="113"/>
      <c r="AW173" s="107" t="str">
        <f t="shared" si="17"/>
        <v/>
      </c>
      <c r="AX173" s="113"/>
      <c r="AY173" s="113"/>
      <c r="AZ173" s="144" t="str">
        <f t="shared" si="18"/>
        <v/>
      </c>
      <c r="BA173" s="80"/>
      <c r="BB173" s="140"/>
      <c r="BC173" s="145" t="str">
        <f t="shared" si="19"/>
        <v/>
      </c>
      <c r="BD173" s="113"/>
      <c r="BE173" s="114"/>
      <c r="BF173" s="146" t="str">
        <f t="shared" si="20"/>
        <v/>
      </c>
      <c r="BG173" s="147" t="s">
        <v>84</v>
      </c>
      <c r="BH173" s="148"/>
      <c r="BI173" s="149" t="s">
        <v>195</v>
      </c>
      <c r="BJ173" s="150">
        <f>'Degrémont sortie'!BI173</f>
        <v>0</v>
      </c>
      <c r="BK173" s="151">
        <f>'Degrémont sortie'!BJ173</f>
        <v>0</v>
      </c>
    </row>
    <row r="174" spans="1:63" ht="14.25" outlineLevel="1">
      <c r="A174" s="152">
        <f t="shared" si="13"/>
        <v>43626</v>
      </c>
      <c r="B174" s="207"/>
      <c r="C174" s="208"/>
      <c r="D174" s="210"/>
      <c r="E174" s="211"/>
      <c r="F174" s="80"/>
      <c r="G174" s="127">
        <f t="shared" si="0"/>
        <v>0</v>
      </c>
      <c r="H174" s="128">
        <f t="shared" si="1"/>
        <v>0</v>
      </c>
      <c r="I174" s="129">
        <v>1</v>
      </c>
      <c r="J174" s="80"/>
      <c r="K174" s="79">
        <f t="shared" si="2"/>
        <v>0</v>
      </c>
      <c r="L174" s="128">
        <f t="shared" si="3"/>
        <v>0</v>
      </c>
      <c r="M174" s="130">
        <v>1</v>
      </c>
      <c r="N174" s="80"/>
      <c r="O174" s="80" t="str">
        <f t="shared" si="4"/>
        <v/>
      </c>
      <c r="P174" s="81">
        <f t="shared" si="5"/>
        <v>0</v>
      </c>
      <c r="Q174" s="213"/>
      <c r="R174" s="113"/>
      <c r="S174" s="127" t="str">
        <f t="shared" si="6"/>
        <v/>
      </c>
      <c r="T174" s="128">
        <f t="shared" si="7"/>
        <v>0</v>
      </c>
      <c r="U174" s="113"/>
      <c r="V174" s="81">
        <f t="shared" si="14"/>
        <v>0</v>
      </c>
      <c r="W174" s="132"/>
      <c r="X174" s="153"/>
      <c r="Y174" s="94"/>
      <c r="Z174" s="132"/>
      <c r="AA174" s="153"/>
      <c r="AB174" s="94"/>
      <c r="AC174" s="133"/>
      <c r="AD174" s="93" t="str">
        <f t="shared" si="8"/>
        <v/>
      </c>
      <c r="AE174" s="94" t="str">
        <f t="shared" si="9"/>
        <v/>
      </c>
      <c r="AF174" s="139"/>
      <c r="AG174" s="215"/>
      <c r="AH174" s="136" t="str">
        <f t="shared" si="10"/>
        <v/>
      </c>
      <c r="AI174" s="80"/>
      <c r="AJ174" s="154"/>
      <c r="AK174" s="100" t="str">
        <f t="shared" si="21"/>
        <v/>
      </c>
      <c r="AL174" s="138"/>
      <c r="AM174" s="113"/>
      <c r="AN174" s="103" t="str">
        <f t="shared" si="12"/>
        <v/>
      </c>
      <c r="AO174" s="139"/>
      <c r="AP174" s="140"/>
      <c r="AQ174" s="141" t="str">
        <f t="shared" si="15"/>
        <v/>
      </c>
      <c r="AR174" s="142"/>
      <c r="AS174" s="140"/>
      <c r="AT174" s="143" t="str">
        <f t="shared" si="16"/>
        <v/>
      </c>
      <c r="AU174" s="139"/>
      <c r="AV174" s="113"/>
      <c r="AW174" s="107" t="str">
        <f t="shared" si="17"/>
        <v/>
      </c>
      <c r="AX174" s="113"/>
      <c r="AY174" s="113"/>
      <c r="AZ174" s="144" t="str">
        <f t="shared" si="18"/>
        <v/>
      </c>
      <c r="BA174" s="80"/>
      <c r="BB174" s="140"/>
      <c r="BC174" s="145" t="str">
        <f t="shared" si="19"/>
        <v/>
      </c>
      <c r="BD174" s="113"/>
      <c r="BE174" s="114"/>
      <c r="BF174" s="146" t="str">
        <f t="shared" si="20"/>
        <v/>
      </c>
      <c r="BG174" s="147" t="s">
        <v>84</v>
      </c>
      <c r="BH174" s="148"/>
      <c r="BI174" s="156"/>
      <c r="BJ174" s="150">
        <f>'Degrémont sortie'!BI174</f>
        <v>0</v>
      </c>
      <c r="BK174" s="151">
        <f>'Degrémont sortie'!BJ174</f>
        <v>0</v>
      </c>
    </row>
    <row r="175" spans="1:63" ht="14.25" outlineLevel="1">
      <c r="A175" s="121">
        <f t="shared" si="13"/>
        <v>43627</v>
      </c>
      <c r="B175" s="122">
        <v>790</v>
      </c>
      <c r="C175" s="123">
        <v>8.8000000000000007</v>
      </c>
      <c r="D175" s="124">
        <v>87.7</v>
      </c>
      <c r="E175" s="125">
        <v>118.2</v>
      </c>
      <c r="F175" s="126">
        <v>45</v>
      </c>
      <c r="G175" s="127">
        <f t="shared" si="0"/>
        <v>677.77777777777783</v>
      </c>
      <c r="H175" s="128">
        <f t="shared" si="1"/>
        <v>535.44444444444446</v>
      </c>
      <c r="I175" s="129">
        <v>1</v>
      </c>
      <c r="J175" s="126">
        <v>2486</v>
      </c>
      <c r="K175" s="79">
        <f t="shared" si="2"/>
        <v>2486</v>
      </c>
      <c r="L175" s="128">
        <f t="shared" si="3"/>
        <v>1963.94</v>
      </c>
      <c r="M175" s="130">
        <v>1</v>
      </c>
      <c r="N175" s="126">
        <v>1785</v>
      </c>
      <c r="O175" s="80">
        <f t="shared" si="4"/>
        <v>1785</v>
      </c>
      <c r="P175" s="81">
        <f t="shared" si="5"/>
        <v>1410.15</v>
      </c>
      <c r="Q175" s="129">
        <v>20</v>
      </c>
      <c r="R175" s="131">
        <v>1.2</v>
      </c>
      <c r="S175" s="127">
        <f t="shared" si="6"/>
        <v>24</v>
      </c>
      <c r="T175" s="128">
        <f t="shared" si="7"/>
        <v>18.96</v>
      </c>
      <c r="U175" s="131">
        <v>91</v>
      </c>
      <c r="V175" s="81">
        <f t="shared" si="14"/>
        <v>71.89</v>
      </c>
      <c r="W175" s="132"/>
      <c r="X175" s="153"/>
      <c r="Y175" s="94"/>
      <c r="Z175" s="132"/>
      <c r="AA175" s="153"/>
      <c r="AB175" s="94"/>
      <c r="AC175" s="133"/>
      <c r="AD175" s="93" t="str">
        <f t="shared" si="8"/>
        <v/>
      </c>
      <c r="AE175" s="94" t="e">
        <f t="shared" si="9"/>
        <v>#VALUE!</v>
      </c>
      <c r="AF175" s="134" t="s">
        <v>85</v>
      </c>
      <c r="AG175" s="135">
        <v>0.01</v>
      </c>
      <c r="AH175" s="136">
        <f t="shared" si="10"/>
        <v>3.9500000000000004E-3</v>
      </c>
      <c r="AI175" s="80"/>
      <c r="AJ175" s="154"/>
      <c r="AK175" s="100" t="str">
        <f t="shared" si="21"/>
        <v/>
      </c>
      <c r="AL175" s="138"/>
      <c r="AM175" s="131">
        <v>20</v>
      </c>
      <c r="AN175" s="103">
        <f t="shared" si="12"/>
        <v>124.84</v>
      </c>
      <c r="AO175" s="139"/>
      <c r="AP175" s="155">
        <v>34.020000000000003</v>
      </c>
      <c r="AQ175" s="141">
        <f t="shared" si="15"/>
        <v>212.35284000000001</v>
      </c>
      <c r="AR175" s="142"/>
      <c r="AS175" s="155">
        <v>0.22</v>
      </c>
      <c r="AT175" s="143">
        <f t="shared" si="16"/>
        <v>1.37324</v>
      </c>
      <c r="AU175" s="139"/>
      <c r="AV175" s="131">
        <v>4.5599999999999996</v>
      </c>
      <c r="AW175" s="107">
        <f t="shared" si="17"/>
        <v>28.463519999999999</v>
      </c>
      <c r="AX175" s="113"/>
      <c r="AY175" s="131">
        <v>46.62</v>
      </c>
      <c r="AZ175" s="144">
        <f t="shared" si="18"/>
        <v>291.00203999999997</v>
      </c>
      <c r="BA175" s="126" t="s">
        <v>85</v>
      </c>
      <c r="BB175" s="155">
        <v>0.15</v>
      </c>
      <c r="BC175" s="145">
        <f t="shared" si="19"/>
        <v>0.46814999999999996</v>
      </c>
      <c r="BD175" s="131" t="s">
        <v>85</v>
      </c>
      <c r="BE175" s="158">
        <v>0.13</v>
      </c>
      <c r="BF175" s="146">
        <f t="shared" si="20"/>
        <v>0.40573000000000004</v>
      </c>
      <c r="BG175" s="147" t="s">
        <v>84</v>
      </c>
      <c r="BH175" s="148"/>
      <c r="BI175" s="149" t="s">
        <v>197</v>
      </c>
      <c r="BJ175" s="150">
        <f>'Degrémont sortie'!BI175</f>
        <v>0</v>
      </c>
      <c r="BK175" s="151">
        <f>'Degrémont sortie'!BJ175</f>
        <v>0</v>
      </c>
    </row>
    <row r="176" spans="1:63" ht="14.25" outlineLevel="1">
      <c r="A176" s="152">
        <f t="shared" si="13"/>
        <v>43628</v>
      </c>
      <c r="B176" s="122">
        <v>832</v>
      </c>
      <c r="C176" s="123">
        <v>8</v>
      </c>
      <c r="D176" s="124">
        <v>90.5</v>
      </c>
      <c r="E176" s="125">
        <v>112.5</v>
      </c>
      <c r="F176" s="126">
        <v>41</v>
      </c>
      <c r="G176" s="127">
        <f t="shared" si="0"/>
        <v>536.58536585365857</v>
      </c>
      <c r="H176" s="128">
        <f t="shared" si="1"/>
        <v>446.4390243902439</v>
      </c>
      <c r="I176" s="129">
        <v>1</v>
      </c>
      <c r="J176" s="126">
        <v>1802</v>
      </c>
      <c r="K176" s="79">
        <f t="shared" si="2"/>
        <v>1802</v>
      </c>
      <c r="L176" s="128">
        <f t="shared" si="3"/>
        <v>1499.2639999999999</v>
      </c>
      <c r="M176" s="130">
        <v>1</v>
      </c>
      <c r="N176" s="126">
        <v>1076</v>
      </c>
      <c r="O176" s="80">
        <f t="shared" si="4"/>
        <v>1076</v>
      </c>
      <c r="P176" s="81">
        <f t="shared" si="5"/>
        <v>895.23199999999997</v>
      </c>
      <c r="Q176" s="129">
        <v>20</v>
      </c>
      <c r="R176" s="131">
        <v>0.95</v>
      </c>
      <c r="S176" s="127">
        <f t="shared" si="6"/>
        <v>19</v>
      </c>
      <c r="T176" s="128">
        <f t="shared" si="7"/>
        <v>15.808</v>
      </c>
      <c r="U176" s="113"/>
      <c r="V176" s="81">
        <f t="shared" si="14"/>
        <v>0</v>
      </c>
      <c r="W176" s="132"/>
      <c r="X176" s="153"/>
      <c r="Y176" s="94"/>
      <c r="Z176" s="132"/>
      <c r="AA176" s="153"/>
      <c r="AB176" s="94"/>
      <c r="AC176" s="133"/>
      <c r="AD176" s="93" t="str">
        <f t="shared" si="8"/>
        <v/>
      </c>
      <c r="AE176" s="94" t="e">
        <f t="shared" si="9"/>
        <v>#VALUE!</v>
      </c>
      <c r="AF176" s="134" t="s">
        <v>85</v>
      </c>
      <c r="AG176" s="135">
        <v>0.01</v>
      </c>
      <c r="AH176" s="136">
        <f t="shared" si="10"/>
        <v>4.1600000000000005E-3</v>
      </c>
      <c r="AI176" s="80"/>
      <c r="AJ176" s="154"/>
      <c r="AK176" s="100" t="str">
        <f t="shared" si="21"/>
        <v/>
      </c>
      <c r="AL176" s="138"/>
      <c r="AM176" s="113"/>
      <c r="AN176" s="103" t="str">
        <f t="shared" si="12"/>
        <v/>
      </c>
      <c r="AO176" s="139"/>
      <c r="AP176" s="140"/>
      <c r="AQ176" s="141" t="str">
        <f t="shared" si="15"/>
        <v/>
      </c>
      <c r="AR176" s="142"/>
      <c r="AS176" s="140"/>
      <c r="AT176" s="143" t="str">
        <f t="shared" si="16"/>
        <v/>
      </c>
      <c r="AU176" s="139"/>
      <c r="AV176" s="113"/>
      <c r="AW176" s="107" t="str">
        <f t="shared" si="17"/>
        <v/>
      </c>
      <c r="AX176" s="113"/>
      <c r="AY176" s="113"/>
      <c r="AZ176" s="144" t="str">
        <f t="shared" si="18"/>
        <v/>
      </c>
      <c r="BA176" s="80"/>
      <c r="BB176" s="140"/>
      <c r="BC176" s="145" t="str">
        <f t="shared" si="19"/>
        <v/>
      </c>
      <c r="BD176" s="113"/>
      <c r="BE176" s="114"/>
      <c r="BF176" s="146" t="str">
        <f t="shared" si="20"/>
        <v/>
      </c>
      <c r="BG176" s="147" t="s">
        <v>84</v>
      </c>
      <c r="BH176" s="148"/>
      <c r="BI176" s="156"/>
      <c r="BJ176" s="150">
        <f>'Degrémont sortie'!BI176</f>
        <v>0</v>
      </c>
      <c r="BK176" s="151">
        <f>'Degrémont sortie'!BJ176</f>
        <v>0</v>
      </c>
    </row>
    <row r="177" spans="1:63" ht="15.75" customHeight="1" outlineLevel="1">
      <c r="A177" s="121">
        <f t="shared" si="13"/>
        <v>43629</v>
      </c>
      <c r="B177" s="122">
        <v>978</v>
      </c>
      <c r="C177" s="123">
        <v>7.6</v>
      </c>
      <c r="D177" s="124">
        <v>89.3</v>
      </c>
      <c r="E177" s="125">
        <v>200.8</v>
      </c>
      <c r="F177" s="126">
        <v>37</v>
      </c>
      <c r="G177" s="127">
        <f t="shared" si="0"/>
        <v>3013.5135135135138</v>
      </c>
      <c r="H177" s="128">
        <f t="shared" si="1"/>
        <v>2947.2162162162163</v>
      </c>
      <c r="I177" s="129">
        <v>1</v>
      </c>
      <c r="J177" s="126">
        <v>3486</v>
      </c>
      <c r="K177" s="79">
        <f t="shared" si="2"/>
        <v>3486</v>
      </c>
      <c r="L177" s="128">
        <f t="shared" si="3"/>
        <v>3409.308</v>
      </c>
      <c r="M177" s="130">
        <v>1</v>
      </c>
      <c r="N177" s="126">
        <v>651</v>
      </c>
      <c r="O177" s="80">
        <f t="shared" si="4"/>
        <v>651</v>
      </c>
      <c r="P177" s="81">
        <f t="shared" si="5"/>
        <v>636.678</v>
      </c>
      <c r="Q177" s="129">
        <v>10</v>
      </c>
      <c r="R177" s="131">
        <v>6.35</v>
      </c>
      <c r="S177" s="127">
        <f t="shared" si="6"/>
        <v>63.5</v>
      </c>
      <c r="T177" s="128">
        <f t="shared" si="7"/>
        <v>62.103000000000002</v>
      </c>
      <c r="U177" s="113"/>
      <c r="V177" s="81">
        <f t="shared" si="14"/>
        <v>0</v>
      </c>
      <c r="W177" s="132"/>
      <c r="X177" s="153"/>
      <c r="Y177" s="94"/>
      <c r="Z177" s="132"/>
      <c r="AA177" s="153"/>
      <c r="AB177" s="94"/>
      <c r="AC177" s="133"/>
      <c r="AD177" s="93" t="str">
        <f t="shared" si="8"/>
        <v/>
      </c>
      <c r="AE177" s="94" t="e">
        <f t="shared" si="9"/>
        <v>#VALUE!</v>
      </c>
      <c r="AF177" s="134" t="s">
        <v>85</v>
      </c>
      <c r="AG177" s="135">
        <v>0.01</v>
      </c>
      <c r="AH177" s="136">
        <f t="shared" si="10"/>
        <v>4.8899999999999994E-3</v>
      </c>
      <c r="AI177" s="80"/>
      <c r="AJ177" s="154"/>
      <c r="AK177" s="100" t="str">
        <f t="shared" si="21"/>
        <v/>
      </c>
      <c r="AL177" s="138"/>
      <c r="AM177" s="113"/>
      <c r="AN177" s="103" t="str">
        <f t="shared" si="12"/>
        <v/>
      </c>
      <c r="AO177" s="139"/>
      <c r="AP177" s="140"/>
      <c r="AQ177" s="141" t="str">
        <f t="shared" si="15"/>
        <v/>
      </c>
      <c r="AR177" s="142"/>
      <c r="AS177" s="140"/>
      <c r="AT177" s="143" t="str">
        <f t="shared" si="16"/>
        <v/>
      </c>
      <c r="AU177" s="139"/>
      <c r="AV177" s="113"/>
      <c r="AW177" s="107" t="str">
        <f t="shared" si="17"/>
        <v/>
      </c>
      <c r="AX177" s="113"/>
      <c r="AY177" s="113"/>
      <c r="AZ177" s="144" t="str">
        <f t="shared" si="18"/>
        <v/>
      </c>
      <c r="BA177" s="80"/>
      <c r="BB177" s="140"/>
      <c r="BC177" s="145" t="str">
        <f t="shared" si="19"/>
        <v/>
      </c>
      <c r="BD177" s="113"/>
      <c r="BE177" s="114"/>
      <c r="BF177" s="146" t="str">
        <f t="shared" si="20"/>
        <v/>
      </c>
      <c r="BG177" s="147" t="s">
        <v>84</v>
      </c>
      <c r="BH177" s="148"/>
      <c r="BI177" s="156"/>
      <c r="BJ177" s="150">
        <f>'Degrémont sortie'!BI177</f>
        <v>0</v>
      </c>
      <c r="BK177" s="151">
        <f>'Degrémont sortie'!BJ177</f>
        <v>0</v>
      </c>
    </row>
    <row r="178" spans="1:63" ht="15.75" customHeight="1" outlineLevel="1">
      <c r="A178" s="152">
        <f t="shared" si="13"/>
        <v>43630</v>
      </c>
      <c r="B178" s="122">
        <v>943</v>
      </c>
      <c r="C178" s="123">
        <v>7.5</v>
      </c>
      <c r="D178" s="124">
        <v>88.4</v>
      </c>
      <c r="E178" s="125">
        <v>251.5</v>
      </c>
      <c r="F178" s="126">
        <v>39</v>
      </c>
      <c r="G178" s="127">
        <f t="shared" si="0"/>
        <v>4182.0512820512822</v>
      </c>
      <c r="H178" s="128">
        <f t="shared" si="1"/>
        <v>3943.6743589743592</v>
      </c>
      <c r="I178" s="129">
        <v>1</v>
      </c>
      <c r="J178" s="126">
        <v>4313</v>
      </c>
      <c r="K178" s="79">
        <f t="shared" si="2"/>
        <v>4313</v>
      </c>
      <c r="L178" s="128">
        <f t="shared" si="3"/>
        <v>4067.1590000000001</v>
      </c>
      <c r="M178" s="130">
        <v>1</v>
      </c>
      <c r="N178" s="126">
        <v>577</v>
      </c>
      <c r="O178" s="80">
        <f t="shared" si="4"/>
        <v>577</v>
      </c>
      <c r="P178" s="81">
        <f t="shared" si="5"/>
        <v>544.11099999999999</v>
      </c>
      <c r="Q178" s="129">
        <v>10</v>
      </c>
      <c r="R178" s="131">
        <v>16.399999999999999</v>
      </c>
      <c r="S178" s="127">
        <f t="shared" si="6"/>
        <v>164</v>
      </c>
      <c r="T178" s="128">
        <f t="shared" si="7"/>
        <v>154.65199999999999</v>
      </c>
      <c r="U178" s="113"/>
      <c r="V178" s="81">
        <f t="shared" si="14"/>
        <v>0</v>
      </c>
      <c r="W178" s="132"/>
      <c r="X178" s="153"/>
      <c r="Y178" s="94"/>
      <c r="Z178" s="132"/>
      <c r="AA178" s="153"/>
      <c r="AB178" s="94"/>
      <c r="AC178" s="133"/>
      <c r="AD178" s="93" t="str">
        <f t="shared" si="8"/>
        <v/>
      </c>
      <c r="AE178" s="94" t="e">
        <f t="shared" si="9"/>
        <v>#VALUE!</v>
      </c>
      <c r="AF178" s="134" t="s">
        <v>85</v>
      </c>
      <c r="AG178" s="135">
        <v>0.01</v>
      </c>
      <c r="AH178" s="136">
        <f t="shared" si="10"/>
        <v>4.7149999999999996E-3</v>
      </c>
      <c r="AI178" s="80"/>
      <c r="AJ178" s="154"/>
      <c r="AK178" s="100" t="str">
        <f t="shared" si="21"/>
        <v/>
      </c>
      <c r="AL178" s="138"/>
      <c r="AM178" s="113"/>
      <c r="AN178" s="103" t="str">
        <f t="shared" si="12"/>
        <v/>
      </c>
      <c r="AO178" s="139"/>
      <c r="AP178" s="140"/>
      <c r="AQ178" s="141" t="str">
        <f t="shared" si="15"/>
        <v/>
      </c>
      <c r="AR178" s="142"/>
      <c r="AS178" s="140"/>
      <c r="AT178" s="143" t="str">
        <f t="shared" si="16"/>
        <v/>
      </c>
      <c r="AU178" s="139"/>
      <c r="AV178" s="113"/>
      <c r="AW178" s="107" t="str">
        <f t="shared" si="17"/>
        <v/>
      </c>
      <c r="AX178" s="113"/>
      <c r="AY178" s="113"/>
      <c r="AZ178" s="144" t="str">
        <f t="shared" si="18"/>
        <v/>
      </c>
      <c r="BA178" s="80"/>
      <c r="BB178" s="140"/>
      <c r="BC178" s="145" t="str">
        <f t="shared" si="19"/>
        <v/>
      </c>
      <c r="BD178" s="113"/>
      <c r="BE178" s="114"/>
      <c r="BF178" s="146" t="str">
        <f t="shared" si="20"/>
        <v/>
      </c>
      <c r="BG178" s="147" t="s">
        <v>84</v>
      </c>
      <c r="BH178" s="148"/>
      <c r="BI178" s="156"/>
      <c r="BJ178" s="150">
        <f>'Degrémont sortie'!BI178</f>
        <v>0</v>
      </c>
      <c r="BK178" s="151">
        <f>'Degrémont sortie'!BJ178</f>
        <v>0</v>
      </c>
    </row>
    <row r="179" spans="1:63" ht="15.75" customHeight="1" outlineLevel="1">
      <c r="A179" s="121">
        <f t="shared" si="13"/>
        <v>43631</v>
      </c>
      <c r="B179" s="122">
        <v>936</v>
      </c>
      <c r="C179" s="123">
        <v>9.1999999999999993</v>
      </c>
      <c r="D179" s="124">
        <v>90.4</v>
      </c>
      <c r="E179" s="125">
        <v>256</v>
      </c>
      <c r="F179" s="126">
        <v>43</v>
      </c>
      <c r="G179" s="127">
        <f t="shared" si="0"/>
        <v>3851.1627906976746</v>
      </c>
      <c r="H179" s="128">
        <f t="shared" si="1"/>
        <v>3604.6883720930232</v>
      </c>
      <c r="I179" s="129">
        <v>1</v>
      </c>
      <c r="J179" s="126">
        <v>4700</v>
      </c>
      <c r="K179" s="79">
        <f t="shared" si="2"/>
        <v>4700</v>
      </c>
      <c r="L179" s="128">
        <f t="shared" si="3"/>
        <v>4399.2</v>
      </c>
      <c r="M179" s="130">
        <v>1</v>
      </c>
      <c r="N179" s="126">
        <v>1525</v>
      </c>
      <c r="O179" s="80">
        <f t="shared" si="4"/>
        <v>1525</v>
      </c>
      <c r="P179" s="81">
        <f t="shared" si="5"/>
        <v>1427.4</v>
      </c>
      <c r="Q179" s="129">
        <v>10</v>
      </c>
      <c r="R179" s="131">
        <v>13</v>
      </c>
      <c r="S179" s="127">
        <f t="shared" si="6"/>
        <v>130</v>
      </c>
      <c r="T179" s="128">
        <f t="shared" si="7"/>
        <v>121.68</v>
      </c>
      <c r="U179" s="113"/>
      <c r="V179" s="81">
        <f t="shared" si="14"/>
        <v>0</v>
      </c>
      <c r="W179" s="132"/>
      <c r="X179" s="153"/>
      <c r="Y179" s="94"/>
      <c r="Z179" s="132"/>
      <c r="AA179" s="153"/>
      <c r="AB179" s="94"/>
      <c r="AC179" s="133"/>
      <c r="AD179" s="93" t="str">
        <f t="shared" si="8"/>
        <v/>
      </c>
      <c r="AE179" s="94" t="e">
        <f t="shared" si="9"/>
        <v>#VALUE!</v>
      </c>
      <c r="AF179" s="134" t="s">
        <v>85</v>
      </c>
      <c r="AG179" s="135">
        <v>0.01</v>
      </c>
      <c r="AH179" s="136">
        <f t="shared" si="10"/>
        <v>4.6800000000000001E-3</v>
      </c>
      <c r="AI179" s="80"/>
      <c r="AJ179" s="154"/>
      <c r="AK179" s="100" t="str">
        <f t="shared" si="21"/>
        <v/>
      </c>
      <c r="AL179" s="138"/>
      <c r="AM179" s="113"/>
      <c r="AN179" s="103" t="str">
        <f t="shared" si="12"/>
        <v/>
      </c>
      <c r="AO179" s="139"/>
      <c r="AP179" s="140"/>
      <c r="AQ179" s="141" t="str">
        <f t="shared" si="15"/>
        <v/>
      </c>
      <c r="AR179" s="142"/>
      <c r="AS179" s="140"/>
      <c r="AT179" s="143" t="str">
        <f t="shared" si="16"/>
        <v/>
      </c>
      <c r="AU179" s="139"/>
      <c r="AV179" s="113"/>
      <c r="AW179" s="107" t="str">
        <f t="shared" si="17"/>
        <v/>
      </c>
      <c r="AX179" s="113"/>
      <c r="AY179" s="113"/>
      <c r="AZ179" s="144" t="str">
        <f t="shared" si="18"/>
        <v/>
      </c>
      <c r="BA179" s="80"/>
      <c r="BB179" s="140"/>
      <c r="BC179" s="145" t="str">
        <f t="shared" si="19"/>
        <v/>
      </c>
      <c r="BD179" s="113"/>
      <c r="BE179" s="114"/>
      <c r="BF179" s="146" t="str">
        <f t="shared" si="20"/>
        <v/>
      </c>
      <c r="BG179" s="147" t="s">
        <v>84</v>
      </c>
      <c r="BH179" s="148"/>
      <c r="BI179" s="156"/>
      <c r="BJ179" s="150">
        <f>'Degrémont sortie'!BI179</f>
        <v>0</v>
      </c>
      <c r="BK179" s="151">
        <f>'Degrémont sortie'!BJ179</f>
        <v>0</v>
      </c>
    </row>
    <row r="180" spans="1:63" ht="15.75" customHeight="1" outlineLevel="1">
      <c r="A180" s="152">
        <f t="shared" si="13"/>
        <v>43632</v>
      </c>
      <c r="B180" s="207"/>
      <c r="C180" s="208"/>
      <c r="D180" s="210"/>
      <c r="E180" s="211"/>
      <c r="F180" s="80"/>
      <c r="G180" s="127">
        <f t="shared" si="0"/>
        <v>0</v>
      </c>
      <c r="H180" s="128">
        <f t="shared" si="1"/>
        <v>0</v>
      </c>
      <c r="I180" s="129">
        <v>1</v>
      </c>
      <c r="J180" s="80"/>
      <c r="K180" s="79">
        <f t="shared" si="2"/>
        <v>0</v>
      </c>
      <c r="L180" s="128">
        <f t="shared" si="3"/>
        <v>0</v>
      </c>
      <c r="M180" s="130">
        <v>1</v>
      </c>
      <c r="N180" s="80"/>
      <c r="O180" s="80" t="str">
        <f t="shared" si="4"/>
        <v/>
      </c>
      <c r="P180" s="81">
        <f t="shared" si="5"/>
        <v>0</v>
      </c>
      <c r="Q180" s="213"/>
      <c r="R180" s="113"/>
      <c r="S180" s="127" t="str">
        <f t="shared" si="6"/>
        <v/>
      </c>
      <c r="T180" s="128">
        <f t="shared" si="7"/>
        <v>0</v>
      </c>
      <c r="U180" s="113"/>
      <c r="V180" s="81">
        <f t="shared" si="14"/>
        <v>0</v>
      </c>
      <c r="W180" s="132"/>
      <c r="X180" s="153"/>
      <c r="Y180" s="94"/>
      <c r="Z180" s="132"/>
      <c r="AA180" s="153"/>
      <c r="AB180" s="94"/>
      <c r="AC180" s="133"/>
      <c r="AD180" s="93" t="str">
        <f t="shared" si="8"/>
        <v/>
      </c>
      <c r="AE180" s="94" t="str">
        <f t="shared" si="9"/>
        <v/>
      </c>
      <c r="AF180" s="139"/>
      <c r="AG180" s="215"/>
      <c r="AH180" s="136" t="str">
        <f t="shared" si="10"/>
        <v/>
      </c>
      <c r="AI180" s="80"/>
      <c r="AJ180" s="154"/>
      <c r="AK180" s="100" t="str">
        <f t="shared" si="21"/>
        <v/>
      </c>
      <c r="AL180" s="138"/>
      <c r="AM180" s="113"/>
      <c r="AN180" s="103" t="str">
        <f t="shared" si="12"/>
        <v/>
      </c>
      <c r="AO180" s="139"/>
      <c r="AP180" s="140"/>
      <c r="AQ180" s="141" t="str">
        <f t="shared" si="15"/>
        <v/>
      </c>
      <c r="AR180" s="142"/>
      <c r="AS180" s="140"/>
      <c r="AT180" s="143" t="str">
        <f t="shared" si="16"/>
        <v/>
      </c>
      <c r="AU180" s="139"/>
      <c r="AV180" s="113"/>
      <c r="AW180" s="107" t="str">
        <f t="shared" si="17"/>
        <v/>
      </c>
      <c r="AX180" s="113"/>
      <c r="AY180" s="113"/>
      <c r="AZ180" s="144" t="str">
        <f t="shared" si="18"/>
        <v/>
      </c>
      <c r="BA180" s="80"/>
      <c r="BB180" s="140"/>
      <c r="BC180" s="145" t="str">
        <f t="shared" si="19"/>
        <v/>
      </c>
      <c r="BD180" s="113"/>
      <c r="BE180" s="114"/>
      <c r="BF180" s="146" t="str">
        <f t="shared" si="20"/>
        <v/>
      </c>
      <c r="BG180" s="147" t="s">
        <v>84</v>
      </c>
      <c r="BH180" s="148"/>
      <c r="BI180" s="156"/>
      <c r="BJ180" s="150">
        <f>'Degrémont sortie'!BI180</f>
        <v>0</v>
      </c>
      <c r="BK180" s="151">
        <f>'Degrémont sortie'!BJ180</f>
        <v>0</v>
      </c>
    </row>
    <row r="181" spans="1:63" ht="15.75" customHeight="1" outlineLevel="1">
      <c r="A181" s="121">
        <f t="shared" si="13"/>
        <v>43633</v>
      </c>
      <c r="B181" s="122">
        <v>977</v>
      </c>
      <c r="C181" s="123">
        <v>9.4</v>
      </c>
      <c r="D181" s="124">
        <v>90.6</v>
      </c>
      <c r="E181" s="125">
        <v>121</v>
      </c>
      <c r="F181" s="126">
        <v>42</v>
      </c>
      <c r="G181" s="127">
        <f t="shared" si="0"/>
        <v>723.80952380952397</v>
      </c>
      <c r="H181" s="128">
        <f t="shared" si="1"/>
        <v>707.16190476190502</v>
      </c>
      <c r="I181" s="129">
        <v>1</v>
      </c>
      <c r="J181" s="126">
        <v>1691</v>
      </c>
      <c r="K181" s="79">
        <f t="shared" si="2"/>
        <v>1691</v>
      </c>
      <c r="L181" s="128">
        <f t="shared" si="3"/>
        <v>1652.107</v>
      </c>
      <c r="M181" s="130">
        <v>1</v>
      </c>
      <c r="N181" s="126">
        <v>974</v>
      </c>
      <c r="O181" s="80">
        <f t="shared" si="4"/>
        <v>974</v>
      </c>
      <c r="P181" s="81">
        <f t="shared" si="5"/>
        <v>951.59799999999996</v>
      </c>
      <c r="Q181" s="129">
        <v>10</v>
      </c>
      <c r="R181" s="131">
        <v>1.5</v>
      </c>
      <c r="S181" s="127">
        <f t="shared" si="6"/>
        <v>15</v>
      </c>
      <c r="T181" s="128">
        <f t="shared" si="7"/>
        <v>14.654999999999999</v>
      </c>
      <c r="U181" s="113"/>
      <c r="V181" s="81">
        <f t="shared" si="14"/>
        <v>0</v>
      </c>
      <c r="W181" s="132"/>
      <c r="X181" s="153"/>
      <c r="Y181" s="94"/>
      <c r="Z181" s="132"/>
      <c r="AA181" s="153"/>
      <c r="AB181" s="94"/>
      <c r="AC181" s="133"/>
      <c r="AD181" s="93" t="str">
        <f t="shared" si="8"/>
        <v/>
      </c>
      <c r="AE181" s="94" t="e">
        <f t="shared" si="9"/>
        <v>#VALUE!</v>
      </c>
      <c r="AF181" s="134" t="s">
        <v>85</v>
      </c>
      <c r="AG181" s="135">
        <v>0.01</v>
      </c>
      <c r="AH181" s="136">
        <f t="shared" si="10"/>
        <v>4.8849999999999996E-3</v>
      </c>
      <c r="AI181" s="80"/>
      <c r="AJ181" s="154"/>
      <c r="AK181" s="100" t="str">
        <f t="shared" si="21"/>
        <v/>
      </c>
      <c r="AL181" s="138"/>
      <c r="AM181" s="113"/>
      <c r="AN181" s="103" t="str">
        <f t="shared" si="12"/>
        <v/>
      </c>
      <c r="AO181" s="139"/>
      <c r="AP181" s="140"/>
      <c r="AQ181" s="141" t="str">
        <f t="shared" si="15"/>
        <v/>
      </c>
      <c r="AR181" s="142"/>
      <c r="AS181" s="140"/>
      <c r="AT181" s="143" t="str">
        <f t="shared" si="16"/>
        <v/>
      </c>
      <c r="AU181" s="139"/>
      <c r="AV181" s="113"/>
      <c r="AW181" s="107" t="str">
        <f t="shared" si="17"/>
        <v/>
      </c>
      <c r="AX181" s="113"/>
      <c r="AY181" s="113"/>
      <c r="AZ181" s="144" t="str">
        <f t="shared" si="18"/>
        <v/>
      </c>
      <c r="BA181" s="80"/>
      <c r="BB181" s="140"/>
      <c r="BC181" s="145" t="str">
        <f t="shared" si="19"/>
        <v/>
      </c>
      <c r="BD181" s="113"/>
      <c r="BE181" s="114"/>
      <c r="BF181" s="146" t="str">
        <f t="shared" si="20"/>
        <v/>
      </c>
      <c r="BG181" s="147" t="s">
        <v>84</v>
      </c>
      <c r="BH181" s="148"/>
      <c r="BI181" s="156"/>
      <c r="BJ181" s="150">
        <f>'Degrémont sortie'!BI181</f>
        <v>0</v>
      </c>
      <c r="BK181" s="151">
        <f>'Degrémont sortie'!BJ181</f>
        <v>0</v>
      </c>
    </row>
    <row r="182" spans="1:63" ht="14.25" outlineLevel="1">
      <c r="A182" s="152">
        <f t="shared" si="13"/>
        <v>43634</v>
      </c>
      <c r="B182" s="122">
        <v>1148</v>
      </c>
      <c r="C182" s="123">
        <v>9.5</v>
      </c>
      <c r="D182" s="124">
        <v>90</v>
      </c>
      <c r="E182" s="125">
        <v>110.4</v>
      </c>
      <c r="F182" s="126">
        <v>50</v>
      </c>
      <c r="G182" s="127">
        <f t="shared" si="0"/>
        <v>408.00000000000017</v>
      </c>
      <c r="H182" s="128">
        <f t="shared" si="1"/>
        <v>468.38400000000019</v>
      </c>
      <c r="I182" s="129">
        <v>1</v>
      </c>
      <c r="J182" s="126">
        <v>1060</v>
      </c>
      <c r="K182" s="79">
        <f t="shared" si="2"/>
        <v>1060</v>
      </c>
      <c r="L182" s="128">
        <f t="shared" si="3"/>
        <v>1216.8800000000001</v>
      </c>
      <c r="M182" s="130">
        <v>1</v>
      </c>
      <c r="N182" s="126">
        <v>657</v>
      </c>
      <c r="O182" s="80">
        <f t="shared" si="4"/>
        <v>657</v>
      </c>
      <c r="P182" s="81">
        <f t="shared" si="5"/>
        <v>754.23599999999999</v>
      </c>
      <c r="Q182" s="129">
        <v>10</v>
      </c>
      <c r="R182" s="131">
        <v>1.86</v>
      </c>
      <c r="S182" s="127">
        <f t="shared" si="6"/>
        <v>18.600000000000001</v>
      </c>
      <c r="T182" s="128">
        <f t="shared" si="7"/>
        <v>21.352800000000002</v>
      </c>
      <c r="U182" s="131">
        <v>30</v>
      </c>
      <c r="V182" s="81">
        <f t="shared" si="14"/>
        <v>34.44</v>
      </c>
      <c r="W182" s="132"/>
      <c r="X182" s="153"/>
      <c r="Y182" s="94"/>
      <c r="Z182" s="132"/>
      <c r="AA182" s="153"/>
      <c r="AB182" s="94"/>
      <c r="AC182" s="133"/>
      <c r="AD182" s="93" t="str">
        <f t="shared" si="8"/>
        <v/>
      </c>
      <c r="AE182" s="94" t="e">
        <f t="shared" si="9"/>
        <v>#VALUE!</v>
      </c>
      <c r="AF182" s="134" t="s">
        <v>85</v>
      </c>
      <c r="AG182" s="135">
        <v>0.01</v>
      </c>
      <c r="AH182" s="136">
        <f t="shared" si="10"/>
        <v>5.7400000000000003E-3</v>
      </c>
      <c r="AI182" s="80"/>
      <c r="AJ182" s="154"/>
      <c r="AK182" s="100" t="str">
        <f t="shared" si="21"/>
        <v/>
      </c>
      <c r="AL182" s="138"/>
      <c r="AM182" s="131">
        <v>21</v>
      </c>
      <c r="AN182" s="103">
        <f t="shared" si="12"/>
        <v>164.68199999999999</v>
      </c>
      <c r="AO182" s="139"/>
      <c r="AP182" s="155">
        <v>33.83</v>
      </c>
      <c r="AQ182" s="141">
        <f t="shared" si="15"/>
        <v>265.29485999999997</v>
      </c>
      <c r="AR182" s="142"/>
      <c r="AS182" s="155">
        <v>0.24</v>
      </c>
      <c r="AT182" s="143">
        <f t="shared" si="16"/>
        <v>1.8820799999999998</v>
      </c>
      <c r="AU182" s="139"/>
      <c r="AV182" s="131">
        <v>5.0199999999999996</v>
      </c>
      <c r="AW182" s="107">
        <f t="shared" si="17"/>
        <v>39.366839999999996</v>
      </c>
      <c r="AX182" s="113"/>
      <c r="AY182" s="131">
        <v>49.87</v>
      </c>
      <c r="AZ182" s="144">
        <f t="shared" si="18"/>
        <v>391.08053999999998</v>
      </c>
      <c r="BA182" s="126" t="s">
        <v>85</v>
      </c>
      <c r="BB182" s="155">
        <v>0.15</v>
      </c>
      <c r="BC182" s="145">
        <f t="shared" si="19"/>
        <v>0.58814999999999995</v>
      </c>
      <c r="BD182" s="131" t="s">
        <v>85</v>
      </c>
      <c r="BE182" s="158">
        <v>0.13</v>
      </c>
      <c r="BF182" s="146">
        <f t="shared" si="20"/>
        <v>0.50973000000000002</v>
      </c>
      <c r="BG182" s="147" t="s">
        <v>84</v>
      </c>
      <c r="BH182" s="148"/>
      <c r="BI182" s="156"/>
      <c r="BJ182" s="150">
        <f>'Degrémont sortie'!BI182</f>
        <v>0</v>
      </c>
      <c r="BK182" s="151">
        <f>'Degrémont sortie'!BJ182</f>
        <v>0</v>
      </c>
    </row>
    <row r="183" spans="1:63" ht="14.25" outlineLevel="1">
      <c r="A183" s="121">
        <f t="shared" si="13"/>
        <v>43635</v>
      </c>
      <c r="B183" s="122">
        <v>1238</v>
      </c>
      <c r="C183" s="123">
        <v>9.8000000000000007</v>
      </c>
      <c r="D183" s="124">
        <v>89.7</v>
      </c>
      <c r="E183" s="125">
        <v>109.4</v>
      </c>
      <c r="F183" s="126">
        <v>41</v>
      </c>
      <c r="G183" s="127">
        <f t="shared" si="0"/>
        <v>480.48780487804885</v>
      </c>
      <c r="H183" s="128">
        <f t="shared" si="1"/>
        <v>594.84390243902453</v>
      </c>
      <c r="I183" s="129">
        <v>1</v>
      </c>
      <c r="J183" s="126">
        <v>1275</v>
      </c>
      <c r="K183" s="79">
        <f t="shared" si="2"/>
        <v>1275</v>
      </c>
      <c r="L183" s="128">
        <f t="shared" si="3"/>
        <v>1578.45</v>
      </c>
      <c r="M183" s="130">
        <v>1</v>
      </c>
      <c r="N183" s="126">
        <v>726</v>
      </c>
      <c r="O183" s="80">
        <f t="shared" si="4"/>
        <v>726</v>
      </c>
      <c r="P183" s="81">
        <f t="shared" si="5"/>
        <v>898.78800000000001</v>
      </c>
      <c r="Q183" s="129">
        <v>2</v>
      </c>
      <c r="R183" s="131">
        <v>11.2</v>
      </c>
      <c r="S183" s="127">
        <f t="shared" si="6"/>
        <v>22.4</v>
      </c>
      <c r="T183" s="128">
        <f t="shared" si="7"/>
        <v>27.731199999999998</v>
      </c>
      <c r="U183" s="113"/>
      <c r="V183" s="81">
        <f t="shared" si="14"/>
        <v>0</v>
      </c>
      <c r="W183" s="132"/>
      <c r="X183" s="153"/>
      <c r="Y183" s="94"/>
      <c r="Z183" s="132"/>
      <c r="AA183" s="153"/>
      <c r="AB183" s="94"/>
      <c r="AC183" s="133"/>
      <c r="AD183" s="93" t="str">
        <f t="shared" si="8"/>
        <v/>
      </c>
      <c r="AE183" s="94" t="e">
        <f t="shared" si="9"/>
        <v>#VALUE!</v>
      </c>
      <c r="AF183" s="134" t="s">
        <v>85</v>
      </c>
      <c r="AG183" s="135">
        <v>0.01</v>
      </c>
      <c r="AH183" s="136">
        <f t="shared" si="10"/>
        <v>6.1900000000000002E-3</v>
      </c>
      <c r="AI183" s="80"/>
      <c r="AJ183" s="154"/>
      <c r="AK183" s="100" t="str">
        <f t="shared" si="21"/>
        <v/>
      </c>
      <c r="AL183" s="138"/>
      <c r="AM183" s="113"/>
      <c r="AN183" s="103" t="str">
        <f t="shared" si="12"/>
        <v/>
      </c>
      <c r="AO183" s="139"/>
      <c r="AP183" s="140"/>
      <c r="AQ183" s="141" t="str">
        <f t="shared" si="15"/>
        <v/>
      </c>
      <c r="AR183" s="142"/>
      <c r="AS183" s="140"/>
      <c r="AT183" s="143" t="str">
        <f t="shared" si="16"/>
        <v/>
      </c>
      <c r="AU183" s="139"/>
      <c r="AV183" s="113"/>
      <c r="AW183" s="107" t="str">
        <f t="shared" si="17"/>
        <v/>
      </c>
      <c r="AX183" s="113"/>
      <c r="AY183" s="113"/>
      <c r="AZ183" s="144" t="str">
        <f t="shared" si="18"/>
        <v/>
      </c>
      <c r="BA183" s="80"/>
      <c r="BB183" s="140"/>
      <c r="BC183" s="145" t="str">
        <f t="shared" si="19"/>
        <v/>
      </c>
      <c r="BD183" s="113"/>
      <c r="BE183" s="114"/>
      <c r="BF183" s="146" t="str">
        <f t="shared" si="20"/>
        <v/>
      </c>
      <c r="BG183" s="147" t="s">
        <v>84</v>
      </c>
      <c r="BH183" s="148"/>
      <c r="BI183" s="156"/>
      <c r="BJ183" s="150">
        <f>'Degrémont sortie'!BI183</f>
        <v>0</v>
      </c>
      <c r="BK183" s="151">
        <f>'Degrémont sortie'!BJ183</f>
        <v>0</v>
      </c>
    </row>
    <row r="184" spans="1:63" ht="14.25" outlineLevel="1">
      <c r="A184" s="152">
        <f t="shared" si="13"/>
        <v>43636</v>
      </c>
      <c r="B184" s="122">
        <v>877</v>
      </c>
      <c r="C184" s="123">
        <v>7.5</v>
      </c>
      <c r="D184" s="124">
        <v>89.3</v>
      </c>
      <c r="E184" s="125">
        <v>107.2</v>
      </c>
      <c r="F184" s="126">
        <v>50</v>
      </c>
      <c r="G184" s="127">
        <f t="shared" si="0"/>
        <v>358.00000000000017</v>
      </c>
      <c r="H184" s="128">
        <f t="shared" si="1"/>
        <v>313.96600000000018</v>
      </c>
      <c r="I184" s="129">
        <v>1</v>
      </c>
      <c r="J184" s="126">
        <v>893</v>
      </c>
      <c r="K184" s="79">
        <f t="shared" si="2"/>
        <v>893</v>
      </c>
      <c r="L184" s="128">
        <f t="shared" si="3"/>
        <v>783.16099999999994</v>
      </c>
      <c r="M184" s="130">
        <v>1</v>
      </c>
      <c r="N184" s="126">
        <v>465</v>
      </c>
      <c r="O184" s="80">
        <f t="shared" si="4"/>
        <v>465</v>
      </c>
      <c r="P184" s="81">
        <f t="shared" si="5"/>
        <v>407.80500000000001</v>
      </c>
      <c r="Q184" s="129">
        <v>2</v>
      </c>
      <c r="R184" s="131">
        <v>12.3</v>
      </c>
      <c r="S184" s="127">
        <f t="shared" si="6"/>
        <v>24.6</v>
      </c>
      <c r="T184" s="128">
        <f t="shared" si="7"/>
        <v>21.574200000000001</v>
      </c>
      <c r="U184" s="113"/>
      <c r="V184" s="81">
        <f t="shared" si="14"/>
        <v>0</v>
      </c>
      <c r="W184" s="132"/>
      <c r="X184" s="153"/>
      <c r="Y184" s="94"/>
      <c r="Z184" s="132"/>
      <c r="AA184" s="153"/>
      <c r="AB184" s="94"/>
      <c r="AC184" s="133"/>
      <c r="AD184" s="93" t="str">
        <f t="shared" si="8"/>
        <v/>
      </c>
      <c r="AE184" s="94" t="e">
        <f t="shared" si="9"/>
        <v>#VALUE!</v>
      </c>
      <c r="AF184" s="134" t="s">
        <v>85</v>
      </c>
      <c r="AG184" s="135">
        <v>0.01</v>
      </c>
      <c r="AH184" s="136">
        <f t="shared" si="10"/>
        <v>4.385E-3</v>
      </c>
      <c r="AI184" s="80"/>
      <c r="AJ184" s="154"/>
      <c r="AK184" s="100" t="str">
        <f t="shared" si="21"/>
        <v/>
      </c>
      <c r="AL184" s="138"/>
      <c r="AM184" s="113"/>
      <c r="AN184" s="103" t="str">
        <f t="shared" si="12"/>
        <v/>
      </c>
      <c r="AO184" s="139"/>
      <c r="AP184" s="140"/>
      <c r="AQ184" s="141" t="str">
        <f t="shared" si="15"/>
        <v/>
      </c>
      <c r="AR184" s="142"/>
      <c r="AS184" s="140"/>
      <c r="AT184" s="143" t="str">
        <f t="shared" si="16"/>
        <v/>
      </c>
      <c r="AU184" s="139"/>
      <c r="AV184" s="113"/>
      <c r="AW184" s="107" t="str">
        <f t="shared" si="17"/>
        <v/>
      </c>
      <c r="AX184" s="113"/>
      <c r="AY184" s="113"/>
      <c r="AZ184" s="144" t="str">
        <f t="shared" si="18"/>
        <v/>
      </c>
      <c r="BA184" s="80"/>
      <c r="BB184" s="140"/>
      <c r="BC184" s="145" t="str">
        <f t="shared" si="19"/>
        <v/>
      </c>
      <c r="BD184" s="113"/>
      <c r="BE184" s="114"/>
      <c r="BF184" s="146" t="str">
        <f t="shared" si="20"/>
        <v/>
      </c>
      <c r="BG184" s="147" t="s">
        <v>84</v>
      </c>
      <c r="BH184" s="148"/>
      <c r="BI184" s="156"/>
      <c r="BJ184" s="150">
        <f>'Degrémont sortie'!BI184</f>
        <v>0</v>
      </c>
      <c r="BK184" s="151">
        <f>'Degrémont sortie'!BJ184</f>
        <v>0</v>
      </c>
    </row>
    <row r="185" spans="1:63" ht="14.25" outlineLevel="1">
      <c r="A185" s="121">
        <f t="shared" si="13"/>
        <v>43637</v>
      </c>
      <c r="B185" s="122">
        <v>800</v>
      </c>
      <c r="C185" s="123">
        <v>7.6</v>
      </c>
      <c r="D185" s="124">
        <v>89.7</v>
      </c>
      <c r="E185" s="125">
        <v>294.7</v>
      </c>
      <c r="F185" s="126">
        <v>31</v>
      </c>
      <c r="G185" s="127">
        <f t="shared" si="0"/>
        <v>6612.9032258064517</v>
      </c>
      <c r="H185" s="128">
        <f t="shared" si="1"/>
        <v>5290.3225806451619</v>
      </c>
      <c r="I185" s="129">
        <v>1</v>
      </c>
      <c r="J185" s="126">
        <v>6270</v>
      </c>
      <c r="K185" s="79">
        <f t="shared" si="2"/>
        <v>6270</v>
      </c>
      <c r="L185" s="128">
        <f t="shared" si="3"/>
        <v>5016</v>
      </c>
      <c r="M185" s="130">
        <v>1</v>
      </c>
      <c r="N185" s="126">
        <v>497</v>
      </c>
      <c r="O185" s="80">
        <f t="shared" si="4"/>
        <v>497</v>
      </c>
      <c r="P185" s="81">
        <f t="shared" si="5"/>
        <v>397.6</v>
      </c>
      <c r="Q185" s="129">
        <v>5</v>
      </c>
      <c r="R185" s="131">
        <v>20</v>
      </c>
      <c r="S185" s="127">
        <f t="shared" si="6"/>
        <v>100</v>
      </c>
      <c r="T185" s="128">
        <f t="shared" si="7"/>
        <v>80</v>
      </c>
      <c r="U185" s="113"/>
      <c r="V185" s="81">
        <f t="shared" si="14"/>
        <v>0</v>
      </c>
      <c r="W185" s="132"/>
      <c r="X185" s="153"/>
      <c r="Y185" s="94"/>
      <c r="Z185" s="132"/>
      <c r="AA185" s="153"/>
      <c r="AB185" s="94"/>
      <c r="AC185" s="133"/>
      <c r="AD185" s="93" t="str">
        <f t="shared" si="8"/>
        <v/>
      </c>
      <c r="AE185" s="94" t="e">
        <f t="shared" si="9"/>
        <v>#VALUE!</v>
      </c>
      <c r="AF185" s="134" t="s">
        <v>85</v>
      </c>
      <c r="AG185" s="135">
        <v>0.01</v>
      </c>
      <c r="AH185" s="136">
        <f t="shared" si="10"/>
        <v>4.0000000000000001E-3</v>
      </c>
      <c r="AI185" s="80"/>
      <c r="AJ185" s="154"/>
      <c r="AK185" s="100" t="str">
        <f t="shared" si="21"/>
        <v/>
      </c>
      <c r="AL185" s="138"/>
      <c r="AM185" s="113"/>
      <c r="AN185" s="103" t="str">
        <f t="shared" si="12"/>
        <v/>
      </c>
      <c r="AO185" s="139"/>
      <c r="AP185" s="140"/>
      <c r="AQ185" s="141" t="str">
        <f t="shared" si="15"/>
        <v/>
      </c>
      <c r="AR185" s="142"/>
      <c r="AS185" s="140"/>
      <c r="AT185" s="143" t="str">
        <f t="shared" si="16"/>
        <v/>
      </c>
      <c r="AU185" s="139"/>
      <c r="AV185" s="113"/>
      <c r="AW185" s="107" t="str">
        <f t="shared" si="17"/>
        <v/>
      </c>
      <c r="AX185" s="113"/>
      <c r="AY185" s="113"/>
      <c r="AZ185" s="144" t="str">
        <f t="shared" si="18"/>
        <v/>
      </c>
      <c r="BA185" s="80"/>
      <c r="BB185" s="140"/>
      <c r="BC185" s="145" t="str">
        <f t="shared" si="19"/>
        <v/>
      </c>
      <c r="BD185" s="113"/>
      <c r="BE185" s="114"/>
      <c r="BF185" s="146" t="str">
        <f t="shared" si="20"/>
        <v/>
      </c>
      <c r="BG185" s="147" t="s">
        <v>84</v>
      </c>
      <c r="BH185" s="148"/>
      <c r="BI185" s="156"/>
      <c r="BJ185" s="150">
        <f>'Degrémont sortie'!BI185</f>
        <v>0</v>
      </c>
      <c r="BK185" s="151">
        <f>'Degrémont sortie'!BJ185</f>
        <v>0</v>
      </c>
    </row>
    <row r="186" spans="1:63" ht="14.25" outlineLevel="1">
      <c r="A186" s="152">
        <f t="shared" si="13"/>
        <v>43638</v>
      </c>
      <c r="B186" s="207"/>
      <c r="C186" s="208"/>
      <c r="D186" s="210"/>
      <c r="E186" s="211"/>
      <c r="F186" s="80"/>
      <c r="G186" s="127">
        <f t="shared" si="0"/>
        <v>0</v>
      </c>
      <c r="H186" s="128">
        <f t="shared" si="1"/>
        <v>0</v>
      </c>
      <c r="I186" s="129">
        <v>1</v>
      </c>
      <c r="J186" s="80"/>
      <c r="K186" s="79">
        <f t="shared" si="2"/>
        <v>0</v>
      </c>
      <c r="L186" s="128">
        <f t="shared" si="3"/>
        <v>0</v>
      </c>
      <c r="M186" s="130">
        <v>1</v>
      </c>
      <c r="N186" s="80"/>
      <c r="O186" s="80" t="str">
        <f t="shared" si="4"/>
        <v/>
      </c>
      <c r="P186" s="81">
        <f t="shared" si="5"/>
        <v>0</v>
      </c>
      <c r="Q186" s="213"/>
      <c r="R186" s="113"/>
      <c r="S186" s="127" t="str">
        <f t="shared" si="6"/>
        <v/>
      </c>
      <c r="T186" s="128">
        <f t="shared" si="7"/>
        <v>0</v>
      </c>
      <c r="U186" s="113"/>
      <c r="V186" s="81">
        <f t="shared" si="14"/>
        <v>0</v>
      </c>
      <c r="W186" s="132"/>
      <c r="X186" s="153"/>
      <c r="Y186" s="94"/>
      <c r="Z186" s="132"/>
      <c r="AA186" s="153"/>
      <c r="AB186" s="94"/>
      <c r="AC186" s="133"/>
      <c r="AD186" s="93" t="str">
        <f t="shared" si="8"/>
        <v/>
      </c>
      <c r="AE186" s="94" t="str">
        <f t="shared" si="9"/>
        <v/>
      </c>
      <c r="AF186" s="139"/>
      <c r="AG186" s="215"/>
      <c r="AH186" s="136" t="str">
        <f t="shared" si="10"/>
        <v/>
      </c>
      <c r="AI186" s="80"/>
      <c r="AJ186" s="154"/>
      <c r="AK186" s="100" t="str">
        <f t="shared" si="21"/>
        <v/>
      </c>
      <c r="AL186" s="138"/>
      <c r="AM186" s="113"/>
      <c r="AN186" s="103" t="str">
        <f t="shared" si="12"/>
        <v/>
      </c>
      <c r="AO186" s="139"/>
      <c r="AP186" s="140"/>
      <c r="AQ186" s="141" t="str">
        <f t="shared" si="15"/>
        <v/>
      </c>
      <c r="AR186" s="142"/>
      <c r="AS186" s="140"/>
      <c r="AT186" s="143" t="str">
        <f t="shared" si="16"/>
        <v/>
      </c>
      <c r="AU186" s="139"/>
      <c r="AV186" s="113"/>
      <c r="AW186" s="107" t="str">
        <f t="shared" si="17"/>
        <v/>
      </c>
      <c r="AX186" s="113"/>
      <c r="AY186" s="113"/>
      <c r="AZ186" s="144" t="str">
        <f t="shared" si="18"/>
        <v/>
      </c>
      <c r="BA186" s="80"/>
      <c r="BB186" s="140"/>
      <c r="BC186" s="145" t="str">
        <f t="shared" si="19"/>
        <v/>
      </c>
      <c r="BD186" s="113"/>
      <c r="BE186" s="114"/>
      <c r="BF186" s="146" t="str">
        <f t="shared" si="20"/>
        <v/>
      </c>
      <c r="BG186" s="147" t="s">
        <v>84</v>
      </c>
      <c r="BH186" s="148"/>
      <c r="BI186" s="156"/>
      <c r="BJ186" s="150">
        <f>'Degrémont sortie'!BI186</f>
        <v>0</v>
      </c>
      <c r="BK186" s="151">
        <f>'Degrémont sortie'!BJ186</f>
        <v>0</v>
      </c>
    </row>
    <row r="187" spans="1:63" ht="14.25" outlineLevel="1">
      <c r="A187" s="121">
        <f t="shared" si="13"/>
        <v>43639</v>
      </c>
      <c r="B187" s="207"/>
      <c r="C187" s="208"/>
      <c r="D187" s="210"/>
      <c r="E187" s="211"/>
      <c r="F187" s="80"/>
      <c r="G187" s="127">
        <f t="shared" si="0"/>
        <v>0</v>
      </c>
      <c r="H187" s="128">
        <f t="shared" si="1"/>
        <v>0</v>
      </c>
      <c r="I187" s="129">
        <v>1</v>
      </c>
      <c r="J187" s="80"/>
      <c r="K187" s="79">
        <f t="shared" si="2"/>
        <v>0</v>
      </c>
      <c r="L187" s="128">
        <f t="shared" si="3"/>
        <v>0</v>
      </c>
      <c r="M187" s="130">
        <v>1</v>
      </c>
      <c r="N187" s="80"/>
      <c r="O187" s="80" t="str">
        <f t="shared" si="4"/>
        <v/>
      </c>
      <c r="P187" s="81">
        <f t="shared" si="5"/>
        <v>0</v>
      </c>
      <c r="Q187" s="213"/>
      <c r="R187" s="113"/>
      <c r="S187" s="127" t="str">
        <f t="shared" si="6"/>
        <v/>
      </c>
      <c r="T187" s="128">
        <f t="shared" si="7"/>
        <v>0</v>
      </c>
      <c r="U187" s="113"/>
      <c r="V187" s="81">
        <f t="shared" si="14"/>
        <v>0</v>
      </c>
      <c r="W187" s="132"/>
      <c r="X187" s="153"/>
      <c r="Y187" s="94"/>
      <c r="Z187" s="132"/>
      <c r="AA187" s="153"/>
      <c r="AB187" s="94"/>
      <c r="AC187" s="133"/>
      <c r="AD187" s="93" t="str">
        <f t="shared" si="8"/>
        <v/>
      </c>
      <c r="AE187" s="94" t="str">
        <f t="shared" si="9"/>
        <v/>
      </c>
      <c r="AF187" s="139"/>
      <c r="AG187" s="215"/>
      <c r="AH187" s="136" t="str">
        <f t="shared" si="10"/>
        <v/>
      </c>
      <c r="AI187" s="80"/>
      <c r="AJ187" s="154"/>
      <c r="AK187" s="100" t="str">
        <f t="shared" si="21"/>
        <v/>
      </c>
      <c r="AL187" s="138"/>
      <c r="AM187" s="113"/>
      <c r="AN187" s="103" t="str">
        <f t="shared" si="12"/>
        <v/>
      </c>
      <c r="AO187" s="139"/>
      <c r="AP187" s="140"/>
      <c r="AQ187" s="141" t="str">
        <f t="shared" si="15"/>
        <v/>
      </c>
      <c r="AR187" s="142"/>
      <c r="AS187" s="140"/>
      <c r="AT187" s="143" t="str">
        <f t="shared" si="16"/>
        <v/>
      </c>
      <c r="AU187" s="139"/>
      <c r="AV187" s="113"/>
      <c r="AW187" s="107" t="str">
        <f t="shared" si="17"/>
        <v/>
      </c>
      <c r="AX187" s="113"/>
      <c r="AY187" s="113"/>
      <c r="AZ187" s="144" t="str">
        <f t="shared" si="18"/>
        <v/>
      </c>
      <c r="BA187" s="80"/>
      <c r="BB187" s="140"/>
      <c r="BC187" s="145" t="str">
        <f t="shared" si="19"/>
        <v/>
      </c>
      <c r="BD187" s="113"/>
      <c r="BE187" s="114"/>
      <c r="BF187" s="146" t="str">
        <f t="shared" si="20"/>
        <v/>
      </c>
      <c r="BG187" s="147" t="s">
        <v>84</v>
      </c>
      <c r="BH187" s="148"/>
      <c r="BI187" s="156"/>
      <c r="BJ187" s="150">
        <f>'Degrémont sortie'!BI187</f>
        <v>0</v>
      </c>
      <c r="BK187" s="151">
        <f>'Degrémont sortie'!BJ187</f>
        <v>0</v>
      </c>
    </row>
    <row r="188" spans="1:63" ht="14.25" outlineLevel="1">
      <c r="A188" s="152">
        <f t="shared" si="13"/>
        <v>43640</v>
      </c>
      <c r="B188" s="122">
        <v>869</v>
      </c>
      <c r="C188" s="123">
        <v>7.3</v>
      </c>
      <c r="D188" s="124">
        <v>88.8</v>
      </c>
      <c r="E188" s="125">
        <v>173.9</v>
      </c>
      <c r="F188" s="126">
        <v>33</v>
      </c>
      <c r="G188" s="127">
        <f t="shared" si="0"/>
        <v>2578.7878787878794</v>
      </c>
      <c r="H188" s="128">
        <f t="shared" si="1"/>
        <v>2240.9666666666676</v>
      </c>
      <c r="I188" s="129">
        <v>1</v>
      </c>
      <c r="J188" s="126">
        <v>3011</v>
      </c>
      <c r="K188" s="79">
        <f t="shared" si="2"/>
        <v>3011</v>
      </c>
      <c r="L188" s="128">
        <f t="shared" si="3"/>
        <v>2616.5590000000002</v>
      </c>
      <c r="M188" s="130">
        <v>1</v>
      </c>
      <c r="N188" s="126">
        <v>631</v>
      </c>
      <c r="O188" s="80">
        <f t="shared" si="4"/>
        <v>631</v>
      </c>
      <c r="P188" s="81">
        <f t="shared" si="5"/>
        <v>548.33900000000006</v>
      </c>
      <c r="Q188" s="129">
        <v>20</v>
      </c>
      <c r="R188" s="131">
        <v>3</v>
      </c>
      <c r="S188" s="127">
        <f t="shared" si="6"/>
        <v>60</v>
      </c>
      <c r="T188" s="128">
        <f t="shared" si="7"/>
        <v>52.14</v>
      </c>
      <c r="U188" s="113"/>
      <c r="V188" s="81">
        <f t="shared" si="14"/>
        <v>0</v>
      </c>
      <c r="W188" s="132"/>
      <c r="X188" s="153"/>
      <c r="Y188" s="94"/>
      <c r="Z188" s="132"/>
      <c r="AA188" s="153"/>
      <c r="AB188" s="94"/>
      <c r="AC188" s="133"/>
      <c r="AD188" s="93" t="str">
        <f t="shared" si="8"/>
        <v/>
      </c>
      <c r="AE188" s="94" t="e">
        <f t="shared" si="9"/>
        <v>#VALUE!</v>
      </c>
      <c r="AF188" s="134" t="s">
        <v>85</v>
      </c>
      <c r="AG188" s="135">
        <v>0.01</v>
      </c>
      <c r="AH188" s="136">
        <f t="shared" si="10"/>
        <v>4.3449999999999999E-3</v>
      </c>
      <c r="AI188" s="80"/>
      <c r="AJ188" s="154"/>
      <c r="AK188" s="100" t="str">
        <f t="shared" si="21"/>
        <v/>
      </c>
      <c r="AL188" s="138"/>
      <c r="AM188" s="113"/>
      <c r="AN188" s="103" t="str">
        <f t="shared" si="12"/>
        <v/>
      </c>
      <c r="AO188" s="139"/>
      <c r="AP188" s="140"/>
      <c r="AQ188" s="141" t="str">
        <f t="shared" si="15"/>
        <v/>
      </c>
      <c r="AR188" s="142"/>
      <c r="AS188" s="140"/>
      <c r="AT188" s="143" t="str">
        <f t="shared" si="16"/>
        <v/>
      </c>
      <c r="AU188" s="139"/>
      <c r="AV188" s="113"/>
      <c r="AW188" s="107" t="str">
        <f t="shared" si="17"/>
        <v/>
      </c>
      <c r="AX188" s="113"/>
      <c r="AY188" s="113"/>
      <c r="AZ188" s="144" t="str">
        <f t="shared" si="18"/>
        <v/>
      </c>
      <c r="BA188" s="80"/>
      <c r="BB188" s="140"/>
      <c r="BC188" s="145" t="str">
        <f t="shared" si="19"/>
        <v/>
      </c>
      <c r="BD188" s="113"/>
      <c r="BE188" s="114"/>
      <c r="BF188" s="146" t="str">
        <f t="shared" si="20"/>
        <v/>
      </c>
      <c r="BG188" s="147" t="s">
        <v>84</v>
      </c>
      <c r="BH188" s="148"/>
      <c r="BI188" s="156"/>
      <c r="BJ188" s="150">
        <f>'Degrémont sortie'!BI188</f>
        <v>0</v>
      </c>
      <c r="BK188" s="151">
        <f>'Degrémont sortie'!BJ188</f>
        <v>0</v>
      </c>
    </row>
    <row r="189" spans="1:63" ht="15.75" customHeight="1" outlineLevel="1">
      <c r="A189" s="121">
        <f t="shared" si="13"/>
        <v>43641</v>
      </c>
      <c r="B189" s="207"/>
      <c r="C189" s="123">
        <v>9.1</v>
      </c>
      <c r="D189" s="124">
        <v>90.5</v>
      </c>
      <c r="E189" s="125">
        <v>179.2</v>
      </c>
      <c r="F189" s="126">
        <v>43</v>
      </c>
      <c r="G189" s="127">
        <f t="shared" si="0"/>
        <v>2062.7906976744184</v>
      </c>
      <c r="H189" s="128">
        <f t="shared" si="1"/>
        <v>0</v>
      </c>
      <c r="I189" s="129">
        <v>1</v>
      </c>
      <c r="J189" s="126">
        <v>2132</v>
      </c>
      <c r="K189" s="79">
        <f t="shared" si="2"/>
        <v>2132</v>
      </c>
      <c r="L189" s="128">
        <f t="shared" si="3"/>
        <v>0</v>
      </c>
      <c r="M189" s="130">
        <v>1</v>
      </c>
      <c r="N189" s="126">
        <v>263</v>
      </c>
      <c r="O189" s="80">
        <f t="shared" si="4"/>
        <v>263</v>
      </c>
      <c r="P189" s="81">
        <f t="shared" si="5"/>
        <v>0</v>
      </c>
      <c r="Q189" s="129">
        <v>20</v>
      </c>
      <c r="R189" s="131">
        <v>3.91</v>
      </c>
      <c r="S189" s="127">
        <f t="shared" si="6"/>
        <v>78.2</v>
      </c>
      <c r="T189" s="128">
        <f t="shared" si="7"/>
        <v>0</v>
      </c>
      <c r="U189" s="113"/>
      <c r="V189" s="81">
        <f t="shared" si="14"/>
        <v>0</v>
      </c>
      <c r="W189" s="132"/>
      <c r="X189" s="153"/>
      <c r="Y189" s="94"/>
      <c r="Z189" s="132"/>
      <c r="AA189" s="153"/>
      <c r="AB189" s="94"/>
      <c r="AC189" s="133"/>
      <c r="AD189" s="93" t="str">
        <f t="shared" si="8"/>
        <v/>
      </c>
      <c r="AE189" s="94" t="str">
        <f t="shared" si="9"/>
        <v/>
      </c>
      <c r="AF189" s="134" t="s">
        <v>85</v>
      </c>
      <c r="AG189" s="135">
        <v>0.01</v>
      </c>
      <c r="AH189" s="136" t="str">
        <f t="shared" si="10"/>
        <v/>
      </c>
      <c r="AI189" s="80"/>
      <c r="AJ189" s="154"/>
      <c r="AK189" s="100" t="str">
        <f t="shared" si="21"/>
        <v/>
      </c>
      <c r="AL189" s="138"/>
      <c r="AM189" s="113"/>
      <c r="AN189" s="103" t="str">
        <f t="shared" si="12"/>
        <v/>
      </c>
      <c r="AO189" s="139"/>
      <c r="AP189" s="155">
        <v>49.07</v>
      </c>
      <c r="AQ189" s="141">
        <f t="shared" si="15"/>
        <v>242.01324000000002</v>
      </c>
      <c r="AR189" s="142"/>
      <c r="AS189" s="155">
        <v>0.33</v>
      </c>
      <c r="AT189" s="143">
        <f t="shared" si="16"/>
        <v>1.6275600000000001</v>
      </c>
      <c r="AU189" s="139"/>
      <c r="AV189" s="131">
        <v>9.18</v>
      </c>
      <c r="AW189" s="107">
        <f t="shared" si="17"/>
        <v>45.275760000000005</v>
      </c>
      <c r="AX189" s="113"/>
      <c r="AY189" s="131">
        <v>79.28</v>
      </c>
      <c r="AZ189" s="144">
        <f t="shared" si="18"/>
        <v>391.00896000000006</v>
      </c>
      <c r="BA189" s="126" t="s">
        <v>85</v>
      </c>
      <c r="BB189" s="155">
        <v>0.15</v>
      </c>
      <c r="BC189" s="145">
        <f t="shared" si="19"/>
        <v>0.36990000000000001</v>
      </c>
      <c r="BD189" s="131" t="s">
        <v>85</v>
      </c>
      <c r="BE189" s="158">
        <v>0.13</v>
      </c>
      <c r="BF189" s="146">
        <f t="shared" si="20"/>
        <v>0.32058000000000003</v>
      </c>
      <c r="BG189" s="147" t="s">
        <v>84</v>
      </c>
      <c r="BH189" s="148"/>
      <c r="BI189" s="156"/>
      <c r="BJ189" s="150">
        <f>'Degrémont sortie'!BI189</f>
        <v>0</v>
      </c>
      <c r="BK189" s="151">
        <f>'Degrémont sortie'!BJ189</f>
        <v>0</v>
      </c>
    </row>
    <row r="190" spans="1:63" ht="15.75" customHeight="1" outlineLevel="1">
      <c r="A190" s="152">
        <f t="shared" si="13"/>
        <v>43642</v>
      </c>
      <c r="B190" s="207"/>
      <c r="C190" s="123">
        <v>9.6</v>
      </c>
      <c r="D190" s="124">
        <v>89.1</v>
      </c>
      <c r="E190" s="125">
        <v>301.3</v>
      </c>
      <c r="F190" s="126">
        <v>31</v>
      </c>
      <c r="G190" s="127">
        <f t="shared" si="0"/>
        <v>6845.1612903225814</v>
      </c>
      <c r="H190" s="128">
        <f t="shared" si="1"/>
        <v>0</v>
      </c>
      <c r="I190" s="129">
        <v>1</v>
      </c>
      <c r="J190" s="126">
        <v>5500</v>
      </c>
      <c r="K190" s="79">
        <f t="shared" si="2"/>
        <v>5500</v>
      </c>
      <c r="L190" s="128">
        <f t="shared" si="3"/>
        <v>0</v>
      </c>
      <c r="M190" s="130">
        <v>1</v>
      </c>
      <c r="N190" s="126">
        <v>432</v>
      </c>
      <c r="O190" s="80">
        <f t="shared" si="4"/>
        <v>432</v>
      </c>
      <c r="P190" s="81">
        <f t="shared" si="5"/>
        <v>0</v>
      </c>
      <c r="Q190" s="129">
        <v>20</v>
      </c>
      <c r="R190" s="131">
        <v>11</v>
      </c>
      <c r="S190" s="127">
        <f t="shared" si="6"/>
        <v>220</v>
      </c>
      <c r="T190" s="128">
        <f t="shared" si="7"/>
        <v>0</v>
      </c>
      <c r="U190" s="113"/>
      <c r="V190" s="81">
        <f t="shared" si="14"/>
        <v>0</v>
      </c>
      <c r="W190" s="132"/>
      <c r="X190" s="153"/>
      <c r="Y190" s="94"/>
      <c r="Z190" s="132"/>
      <c r="AA190" s="153"/>
      <c r="AB190" s="94"/>
      <c r="AC190" s="133"/>
      <c r="AD190" s="93" t="str">
        <f t="shared" si="8"/>
        <v/>
      </c>
      <c r="AE190" s="94" t="str">
        <f t="shared" si="9"/>
        <v/>
      </c>
      <c r="AF190" s="134" t="s">
        <v>85</v>
      </c>
      <c r="AG190" s="135">
        <v>0.01</v>
      </c>
      <c r="AH190" s="136" t="str">
        <f t="shared" si="10"/>
        <v/>
      </c>
      <c r="AI190" s="80"/>
      <c r="AJ190" s="154"/>
      <c r="AK190" s="100" t="str">
        <f t="shared" si="21"/>
        <v/>
      </c>
      <c r="AL190" s="138"/>
      <c r="AM190" s="113"/>
      <c r="AN190" s="103" t="str">
        <f t="shared" si="12"/>
        <v/>
      </c>
      <c r="AO190" s="139"/>
      <c r="AP190" s="140"/>
      <c r="AQ190" s="141" t="str">
        <f t="shared" si="15"/>
        <v/>
      </c>
      <c r="AR190" s="142"/>
      <c r="AS190" s="140"/>
      <c r="AT190" s="143" t="str">
        <f t="shared" si="16"/>
        <v/>
      </c>
      <c r="AU190" s="139"/>
      <c r="AV190" s="113"/>
      <c r="AW190" s="107" t="str">
        <f t="shared" si="17"/>
        <v/>
      </c>
      <c r="AX190" s="113"/>
      <c r="AY190" s="113"/>
      <c r="AZ190" s="144" t="str">
        <f t="shared" si="18"/>
        <v/>
      </c>
      <c r="BA190" s="80"/>
      <c r="BB190" s="140"/>
      <c r="BC190" s="145" t="str">
        <f t="shared" si="19"/>
        <v/>
      </c>
      <c r="BD190" s="113"/>
      <c r="BE190" s="114"/>
      <c r="BF190" s="146" t="str">
        <f t="shared" si="20"/>
        <v/>
      </c>
      <c r="BG190" s="147" t="s">
        <v>84</v>
      </c>
      <c r="BH190" s="148"/>
      <c r="BI190" s="156"/>
      <c r="BJ190" s="150">
        <f>'Degrémont sortie'!BI190</f>
        <v>0</v>
      </c>
      <c r="BK190" s="151">
        <f>'Degrémont sortie'!BJ190</f>
        <v>0</v>
      </c>
    </row>
    <row r="191" spans="1:63" ht="15.75" customHeight="1" outlineLevel="1">
      <c r="A191" s="121">
        <f t="shared" si="13"/>
        <v>43643</v>
      </c>
      <c r="B191" s="207"/>
      <c r="C191" s="123">
        <v>7.8</v>
      </c>
      <c r="D191" s="124">
        <v>89.6</v>
      </c>
      <c r="E191" s="125">
        <v>321.2</v>
      </c>
      <c r="F191" s="126">
        <v>31</v>
      </c>
      <c r="G191" s="127">
        <f t="shared" si="0"/>
        <v>7470.9677419354839</v>
      </c>
      <c r="H191" s="128">
        <f t="shared" si="1"/>
        <v>0</v>
      </c>
      <c r="I191" s="129">
        <v>1</v>
      </c>
      <c r="J191" s="126">
        <v>6146</v>
      </c>
      <c r="K191" s="79">
        <f t="shared" si="2"/>
        <v>6146</v>
      </c>
      <c r="L191" s="128">
        <f t="shared" si="3"/>
        <v>0</v>
      </c>
      <c r="M191" s="130">
        <v>1</v>
      </c>
      <c r="N191" s="126">
        <v>265</v>
      </c>
      <c r="O191" s="80">
        <f t="shared" si="4"/>
        <v>265</v>
      </c>
      <c r="P191" s="81">
        <f t="shared" si="5"/>
        <v>0</v>
      </c>
      <c r="Q191" s="129">
        <v>20</v>
      </c>
      <c r="R191" s="131">
        <v>12.5</v>
      </c>
      <c r="S191" s="127">
        <f t="shared" si="6"/>
        <v>250</v>
      </c>
      <c r="T191" s="128">
        <f t="shared" si="7"/>
        <v>0</v>
      </c>
      <c r="U191" s="113"/>
      <c r="V191" s="81">
        <f t="shared" si="14"/>
        <v>0</v>
      </c>
      <c r="W191" s="132"/>
      <c r="X191" s="153"/>
      <c r="Y191" s="94"/>
      <c r="Z191" s="132"/>
      <c r="AA191" s="153"/>
      <c r="AB191" s="94"/>
      <c r="AC191" s="133"/>
      <c r="AD191" s="93" t="str">
        <f t="shared" si="8"/>
        <v/>
      </c>
      <c r="AE191" s="94" t="str">
        <f t="shared" si="9"/>
        <v/>
      </c>
      <c r="AF191" s="134" t="s">
        <v>85</v>
      </c>
      <c r="AG191" s="135">
        <v>0.01</v>
      </c>
      <c r="AH191" s="136" t="str">
        <f t="shared" si="10"/>
        <v/>
      </c>
      <c r="AI191" s="80"/>
      <c r="AJ191" s="154"/>
      <c r="AK191" s="100" t="str">
        <f t="shared" si="21"/>
        <v/>
      </c>
      <c r="AL191" s="138"/>
      <c r="AM191" s="113"/>
      <c r="AN191" s="103" t="str">
        <f t="shared" si="12"/>
        <v/>
      </c>
      <c r="AO191" s="139"/>
      <c r="AP191" s="140"/>
      <c r="AQ191" s="141" t="str">
        <f t="shared" si="15"/>
        <v/>
      </c>
      <c r="AR191" s="142"/>
      <c r="AS191" s="140"/>
      <c r="AT191" s="143" t="str">
        <f t="shared" si="16"/>
        <v/>
      </c>
      <c r="AU191" s="139"/>
      <c r="AV191" s="113"/>
      <c r="AW191" s="107" t="str">
        <f t="shared" si="17"/>
        <v/>
      </c>
      <c r="AX191" s="113"/>
      <c r="AY191" s="113"/>
      <c r="AZ191" s="144" t="str">
        <f t="shared" si="18"/>
        <v/>
      </c>
      <c r="BA191" s="80"/>
      <c r="BB191" s="140"/>
      <c r="BC191" s="145" t="str">
        <f t="shared" si="19"/>
        <v/>
      </c>
      <c r="BD191" s="113"/>
      <c r="BE191" s="114"/>
      <c r="BF191" s="146" t="str">
        <f t="shared" si="20"/>
        <v/>
      </c>
      <c r="BG191" s="147" t="s">
        <v>84</v>
      </c>
      <c r="BH191" s="148"/>
      <c r="BI191" s="156"/>
      <c r="BJ191" s="150">
        <f>'Degrémont sortie'!BI191</f>
        <v>0</v>
      </c>
      <c r="BK191" s="151">
        <f>'Degrémont sortie'!BJ191</f>
        <v>0</v>
      </c>
    </row>
    <row r="192" spans="1:63" ht="15.75" customHeight="1" outlineLevel="1">
      <c r="A192" s="152">
        <f t="shared" si="13"/>
        <v>43644</v>
      </c>
      <c r="B192" s="207"/>
      <c r="C192" s="123">
        <v>8.9</v>
      </c>
      <c r="D192" s="124">
        <v>89.7</v>
      </c>
      <c r="E192" s="125">
        <v>199.7</v>
      </c>
      <c r="F192" s="126">
        <v>31</v>
      </c>
      <c r="G192" s="127">
        <f t="shared" si="0"/>
        <v>3548.3870967741932</v>
      </c>
      <c r="H192" s="128">
        <f t="shared" si="1"/>
        <v>0</v>
      </c>
      <c r="I192" s="129">
        <v>1</v>
      </c>
      <c r="J192" s="126">
        <v>3594</v>
      </c>
      <c r="K192" s="79">
        <f t="shared" si="2"/>
        <v>3594</v>
      </c>
      <c r="L192" s="128">
        <f t="shared" si="3"/>
        <v>0</v>
      </c>
      <c r="M192" s="130">
        <v>1</v>
      </c>
      <c r="N192" s="126">
        <v>473</v>
      </c>
      <c r="O192" s="80">
        <f t="shared" si="4"/>
        <v>473</v>
      </c>
      <c r="P192" s="81">
        <f t="shared" si="5"/>
        <v>0</v>
      </c>
      <c r="Q192" s="129">
        <v>20</v>
      </c>
      <c r="R192" s="131">
        <v>7.65</v>
      </c>
      <c r="S192" s="127">
        <f t="shared" si="6"/>
        <v>153</v>
      </c>
      <c r="T192" s="128">
        <f t="shared" si="7"/>
        <v>0</v>
      </c>
      <c r="U192" s="113"/>
      <c r="V192" s="81">
        <f t="shared" si="14"/>
        <v>0</v>
      </c>
      <c r="W192" s="132"/>
      <c r="X192" s="153"/>
      <c r="Y192" s="94"/>
      <c r="Z192" s="132"/>
      <c r="AA192" s="153"/>
      <c r="AB192" s="94"/>
      <c r="AC192" s="133"/>
      <c r="AD192" s="93" t="str">
        <f t="shared" si="8"/>
        <v/>
      </c>
      <c r="AE192" s="94" t="str">
        <f t="shared" si="9"/>
        <v/>
      </c>
      <c r="AF192" s="134" t="s">
        <v>85</v>
      </c>
      <c r="AG192" s="135">
        <v>0.01</v>
      </c>
      <c r="AH192" s="136" t="str">
        <f t="shared" si="10"/>
        <v/>
      </c>
      <c r="AI192" s="80"/>
      <c r="AJ192" s="154"/>
      <c r="AK192" s="100" t="str">
        <f t="shared" si="21"/>
        <v/>
      </c>
      <c r="AL192" s="138"/>
      <c r="AM192" s="113"/>
      <c r="AN192" s="103" t="str">
        <f t="shared" si="12"/>
        <v/>
      </c>
      <c r="AO192" s="139"/>
      <c r="AP192" s="140"/>
      <c r="AQ192" s="141" t="str">
        <f t="shared" si="15"/>
        <v/>
      </c>
      <c r="AR192" s="142"/>
      <c r="AS192" s="140"/>
      <c r="AT192" s="143" t="str">
        <f t="shared" si="16"/>
        <v/>
      </c>
      <c r="AU192" s="139"/>
      <c r="AV192" s="113"/>
      <c r="AW192" s="107" t="str">
        <f t="shared" si="17"/>
        <v/>
      </c>
      <c r="AX192" s="113"/>
      <c r="AY192" s="113"/>
      <c r="AZ192" s="144" t="str">
        <f t="shared" si="18"/>
        <v/>
      </c>
      <c r="BA192" s="80"/>
      <c r="BB192" s="140"/>
      <c r="BC192" s="145" t="str">
        <f t="shared" si="19"/>
        <v/>
      </c>
      <c r="BD192" s="113"/>
      <c r="BE192" s="114"/>
      <c r="BF192" s="146" t="str">
        <f t="shared" si="20"/>
        <v/>
      </c>
      <c r="BG192" s="147" t="s">
        <v>84</v>
      </c>
      <c r="BH192" s="148"/>
      <c r="BI192" s="156"/>
      <c r="BJ192" s="150">
        <f>'Degrémont sortie'!BI192</f>
        <v>0</v>
      </c>
      <c r="BK192" s="151">
        <f>'Degrémont sortie'!BJ192</f>
        <v>0</v>
      </c>
    </row>
    <row r="193" spans="1:63" ht="15.75" customHeight="1" outlineLevel="1">
      <c r="A193" s="121">
        <f t="shared" si="13"/>
        <v>43645</v>
      </c>
      <c r="B193" s="207"/>
      <c r="C193" s="208"/>
      <c r="D193" s="210"/>
      <c r="E193" s="211"/>
      <c r="F193" s="80"/>
      <c r="G193" s="127">
        <f t="shared" si="0"/>
        <v>0</v>
      </c>
      <c r="H193" s="128">
        <f t="shared" si="1"/>
        <v>0</v>
      </c>
      <c r="I193" s="129">
        <v>1</v>
      </c>
      <c r="J193" s="80"/>
      <c r="K193" s="79">
        <f t="shared" si="2"/>
        <v>0</v>
      </c>
      <c r="L193" s="128">
        <f t="shared" si="3"/>
        <v>0</v>
      </c>
      <c r="M193" s="130">
        <v>1</v>
      </c>
      <c r="N193" s="80"/>
      <c r="O193" s="80" t="str">
        <f t="shared" si="4"/>
        <v/>
      </c>
      <c r="P193" s="81">
        <f t="shared" si="5"/>
        <v>0</v>
      </c>
      <c r="Q193" s="213"/>
      <c r="R193" s="113"/>
      <c r="S193" s="127" t="str">
        <f t="shared" si="6"/>
        <v/>
      </c>
      <c r="T193" s="128">
        <f t="shared" si="7"/>
        <v>0</v>
      </c>
      <c r="U193" s="113"/>
      <c r="V193" s="81">
        <f t="shared" si="14"/>
        <v>0</v>
      </c>
      <c r="W193" s="132"/>
      <c r="X193" s="153"/>
      <c r="Y193" s="94"/>
      <c r="Z193" s="132"/>
      <c r="AA193" s="153"/>
      <c r="AB193" s="94"/>
      <c r="AC193" s="133"/>
      <c r="AD193" s="93" t="str">
        <f t="shared" si="8"/>
        <v/>
      </c>
      <c r="AE193" s="94" t="str">
        <f t="shared" si="9"/>
        <v/>
      </c>
      <c r="AF193" s="139"/>
      <c r="AG193" s="215"/>
      <c r="AH193" s="136" t="str">
        <f t="shared" si="10"/>
        <v/>
      </c>
      <c r="AI193" s="80"/>
      <c r="AJ193" s="154"/>
      <c r="AK193" s="100" t="str">
        <f t="shared" si="21"/>
        <v/>
      </c>
      <c r="AL193" s="138"/>
      <c r="AM193" s="113"/>
      <c r="AN193" s="103" t="str">
        <f t="shared" si="12"/>
        <v/>
      </c>
      <c r="AO193" s="139"/>
      <c r="AP193" s="140"/>
      <c r="AQ193" s="141" t="str">
        <f t="shared" si="15"/>
        <v/>
      </c>
      <c r="AR193" s="142"/>
      <c r="AS193" s="140"/>
      <c r="AT193" s="143" t="str">
        <f t="shared" si="16"/>
        <v/>
      </c>
      <c r="AU193" s="139"/>
      <c r="AV193" s="113"/>
      <c r="AW193" s="107" t="str">
        <f t="shared" si="17"/>
        <v/>
      </c>
      <c r="AX193" s="113"/>
      <c r="AY193" s="113"/>
      <c r="AZ193" s="144" t="str">
        <f t="shared" si="18"/>
        <v/>
      </c>
      <c r="BA193" s="80"/>
      <c r="BB193" s="140"/>
      <c r="BC193" s="145" t="str">
        <f t="shared" si="19"/>
        <v/>
      </c>
      <c r="BD193" s="113"/>
      <c r="BE193" s="114"/>
      <c r="BF193" s="146" t="str">
        <f t="shared" si="20"/>
        <v/>
      </c>
      <c r="BG193" s="147" t="s">
        <v>84</v>
      </c>
      <c r="BH193" s="148"/>
      <c r="BI193" s="156"/>
      <c r="BJ193" s="150">
        <f>'Degrémont sortie'!BI193</f>
        <v>0</v>
      </c>
      <c r="BK193" s="151">
        <f>'Degrémont sortie'!BJ193</f>
        <v>0</v>
      </c>
    </row>
    <row r="194" spans="1:63" ht="14.25" outlineLevel="1">
      <c r="A194" s="152">
        <f t="shared" si="13"/>
        <v>43646</v>
      </c>
      <c r="B194" s="373"/>
      <c r="C194" s="374"/>
      <c r="D194" s="375"/>
      <c r="E194" s="376"/>
      <c r="F194" s="198"/>
      <c r="G194" s="127">
        <f t="shared" si="0"/>
        <v>0</v>
      </c>
      <c r="H194" s="128">
        <f t="shared" si="1"/>
        <v>0</v>
      </c>
      <c r="I194" s="188">
        <v>1</v>
      </c>
      <c r="J194" s="198"/>
      <c r="K194" s="79">
        <f t="shared" si="2"/>
        <v>0</v>
      </c>
      <c r="L194" s="128">
        <f t="shared" si="3"/>
        <v>0</v>
      </c>
      <c r="M194" s="189">
        <v>1</v>
      </c>
      <c r="N194" s="198"/>
      <c r="O194" s="80" t="str">
        <f t="shared" si="4"/>
        <v/>
      </c>
      <c r="P194" s="81">
        <f t="shared" si="5"/>
        <v>0</v>
      </c>
      <c r="Q194" s="379"/>
      <c r="R194" s="191"/>
      <c r="S194" s="127" t="str">
        <f t="shared" si="6"/>
        <v/>
      </c>
      <c r="T194" s="128">
        <f t="shared" si="7"/>
        <v>0</v>
      </c>
      <c r="U194" s="191"/>
      <c r="V194" s="81">
        <f t="shared" si="14"/>
        <v>0</v>
      </c>
      <c r="W194" s="132"/>
      <c r="X194" s="153"/>
      <c r="Y194" s="94"/>
      <c r="Z194" s="132"/>
      <c r="AA194" s="153"/>
      <c r="AB194" s="94"/>
      <c r="AC194" s="133"/>
      <c r="AD194" s="93" t="str">
        <f t="shared" si="8"/>
        <v/>
      </c>
      <c r="AE194" s="94" t="str">
        <f t="shared" si="9"/>
        <v/>
      </c>
      <c r="AF194" s="195"/>
      <c r="AG194" s="382"/>
      <c r="AH194" s="136" t="str">
        <f t="shared" si="10"/>
        <v/>
      </c>
      <c r="AI194" s="80"/>
      <c r="AJ194" s="154"/>
      <c r="AK194" s="100" t="str">
        <f t="shared" si="21"/>
        <v/>
      </c>
      <c r="AL194" s="194"/>
      <c r="AM194" s="191"/>
      <c r="AN194" s="103" t="str">
        <f t="shared" si="12"/>
        <v/>
      </c>
      <c r="AO194" s="195"/>
      <c r="AP194" s="196"/>
      <c r="AQ194" s="141" t="str">
        <f t="shared" si="15"/>
        <v/>
      </c>
      <c r="AR194" s="197"/>
      <c r="AS194" s="196"/>
      <c r="AT194" s="143" t="str">
        <f t="shared" si="16"/>
        <v/>
      </c>
      <c r="AU194" s="195"/>
      <c r="AV194" s="191"/>
      <c r="AW194" s="107" t="str">
        <f t="shared" si="17"/>
        <v/>
      </c>
      <c r="AX194" s="191"/>
      <c r="AY194" s="191"/>
      <c r="AZ194" s="144" t="str">
        <f t="shared" si="18"/>
        <v/>
      </c>
      <c r="BA194" s="198"/>
      <c r="BB194" s="196"/>
      <c r="BC194" s="145" t="str">
        <f t="shared" si="19"/>
        <v/>
      </c>
      <c r="BD194" s="191"/>
      <c r="BE194" s="199"/>
      <c r="BF194" s="146" t="str">
        <f t="shared" si="20"/>
        <v/>
      </c>
      <c r="BG194" s="147" t="s">
        <v>84</v>
      </c>
      <c r="BH194" s="200"/>
      <c r="BI194" s="391"/>
      <c r="BJ194" s="150">
        <f>'Degrémont sortie'!BI194</f>
        <v>0</v>
      </c>
      <c r="BK194" s="151">
        <f>'Degrémont sortie'!BJ194</f>
        <v>0</v>
      </c>
    </row>
    <row r="195" spans="1:63" ht="14.25" outlineLevel="1">
      <c r="A195" s="121">
        <f t="shared" si="13"/>
        <v>43647</v>
      </c>
      <c r="B195" s="207"/>
      <c r="C195" s="123">
        <v>5.8</v>
      </c>
      <c r="D195" s="124">
        <v>88.7</v>
      </c>
      <c r="E195" s="125">
        <v>109.5</v>
      </c>
      <c r="F195" s="126">
        <v>40</v>
      </c>
      <c r="G195" s="127">
        <f t="shared" si="0"/>
        <v>519.99999999999989</v>
      </c>
      <c r="H195" s="128">
        <f t="shared" si="1"/>
        <v>0</v>
      </c>
      <c r="I195" s="129">
        <v>1</v>
      </c>
      <c r="J195" s="126">
        <v>1718</v>
      </c>
      <c r="K195" s="79">
        <f t="shared" si="2"/>
        <v>1718</v>
      </c>
      <c r="L195" s="128">
        <f t="shared" si="3"/>
        <v>0</v>
      </c>
      <c r="M195" s="130">
        <v>1</v>
      </c>
      <c r="N195" s="126">
        <v>973</v>
      </c>
      <c r="O195" s="80">
        <f t="shared" si="4"/>
        <v>973</v>
      </c>
      <c r="P195" s="81">
        <f t="shared" si="5"/>
        <v>0</v>
      </c>
      <c r="Q195" s="129">
        <v>20</v>
      </c>
      <c r="R195" s="131">
        <v>1.72</v>
      </c>
      <c r="S195" s="127">
        <f t="shared" si="6"/>
        <v>34.4</v>
      </c>
      <c r="T195" s="128">
        <f t="shared" si="7"/>
        <v>0</v>
      </c>
      <c r="U195" s="113"/>
      <c r="V195" s="81">
        <f t="shared" si="14"/>
        <v>0</v>
      </c>
      <c r="W195" s="132"/>
      <c r="X195" s="153"/>
      <c r="Y195" s="94"/>
      <c r="Z195" s="132"/>
      <c r="AA195" s="153"/>
      <c r="AB195" s="94"/>
      <c r="AC195" s="133"/>
      <c r="AD195" s="93" t="str">
        <f t="shared" si="8"/>
        <v/>
      </c>
      <c r="AE195" s="94" t="str">
        <f t="shared" si="9"/>
        <v/>
      </c>
      <c r="AF195" s="134" t="s">
        <v>85</v>
      </c>
      <c r="AG195" s="135">
        <v>0.01</v>
      </c>
      <c r="AH195" s="136" t="str">
        <f t="shared" si="10"/>
        <v/>
      </c>
      <c r="AI195" s="80"/>
      <c r="AJ195" s="154"/>
      <c r="AK195" s="100" t="str">
        <f t="shared" si="21"/>
        <v/>
      </c>
      <c r="AL195" s="138"/>
      <c r="AM195" s="113"/>
      <c r="AN195" s="103" t="str">
        <f t="shared" si="12"/>
        <v/>
      </c>
      <c r="AO195" s="139"/>
      <c r="AP195" s="140"/>
      <c r="AQ195" s="141" t="str">
        <f t="shared" si="15"/>
        <v/>
      </c>
      <c r="AR195" s="142"/>
      <c r="AS195" s="140"/>
      <c r="AT195" s="143" t="str">
        <f t="shared" si="16"/>
        <v/>
      </c>
      <c r="AU195" s="139"/>
      <c r="AV195" s="113"/>
      <c r="AW195" s="107" t="str">
        <f t="shared" si="17"/>
        <v/>
      </c>
      <c r="AX195" s="113"/>
      <c r="AY195" s="113"/>
      <c r="AZ195" s="144" t="str">
        <f t="shared" si="18"/>
        <v/>
      </c>
      <c r="BA195" s="80"/>
      <c r="BB195" s="140"/>
      <c r="BC195" s="145" t="str">
        <f t="shared" si="19"/>
        <v/>
      </c>
      <c r="BD195" s="113"/>
      <c r="BE195" s="114"/>
      <c r="BF195" s="146" t="str">
        <f t="shared" si="20"/>
        <v/>
      </c>
      <c r="BG195" s="147" t="s">
        <v>84</v>
      </c>
      <c r="BH195" s="148"/>
      <c r="BI195" s="156"/>
      <c r="BJ195" s="150">
        <f>'Degrémont sortie'!BI195</f>
        <v>0</v>
      </c>
      <c r="BK195" s="151">
        <f>'Degrémont sortie'!BJ195</f>
        <v>0</v>
      </c>
    </row>
    <row r="196" spans="1:63" ht="14.25" outlineLevel="1">
      <c r="A196" s="152">
        <f t="shared" si="13"/>
        <v>43648</v>
      </c>
      <c r="B196" s="207"/>
      <c r="C196" s="123">
        <v>7.8</v>
      </c>
      <c r="D196" s="124">
        <v>89.7</v>
      </c>
      <c r="E196" s="125">
        <v>119</v>
      </c>
      <c r="F196" s="126">
        <v>41</v>
      </c>
      <c r="G196" s="127">
        <f t="shared" si="0"/>
        <v>714.63414634146329</v>
      </c>
      <c r="H196" s="128">
        <f t="shared" si="1"/>
        <v>0</v>
      </c>
      <c r="I196" s="129">
        <v>1</v>
      </c>
      <c r="J196" s="126">
        <v>2219</v>
      </c>
      <c r="K196" s="79">
        <f t="shared" si="2"/>
        <v>2219</v>
      </c>
      <c r="L196" s="128">
        <f t="shared" si="3"/>
        <v>0</v>
      </c>
      <c r="M196" s="130">
        <v>1</v>
      </c>
      <c r="N196" s="126">
        <v>1192</v>
      </c>
      <c r="O196" s="80">
        <f t="shared" si="4"/>
        <v>1192</v>
      </c>
      <c r="P196" s="81">
        <f t="shared" si="5"/>
        <v>0</v>
      </c>
      <c r="Q196" s="129">
        <v>20</v>
      </c>
      <c r="R196" s="131">
        <v>2.09</v>
      </c>
      <c r="S196" s="127">
        <f t="shared" si="6"/>
        <v>41.8</v>
      </c>
      <c r="T196" s="128">
        <f t="shared" si="7"/>
        <v>0</v>
      </c>
      <c r="U196" s="131">
        <v>64</v>
      </c>
      <c r="V196" s="81">
        <f t="shared" si="14"/>
        <v>0</v>
      </c>
      <c r="W196" s="132"/>
      <c r="X196" s="153"/>
      <c r="Y196" s="94"/>
      <c r="Z196" s="132"/>
      <c r="AA196" s="153"/>
      <c r="AB196" s="94"/>
      <c r="AC196" s="133"/>
      <c r="AD196" s="93" t="str">
        <f t="shared" si="8"/>
        <v/>
      </c>
      <c r="AE196" s="94" t="str">
        <f t="shared" si="9"/>
        <v/>
      </c>
      <c r="AF196" s="134" t="s">
        <v>85</v>
      </c>
      <c r="AG196" s="135">
        <v>0.01</v>
      </c>
      <c r="AH196" s="136" t="str">
        <f t="shared" si="10"/>
        <v/>
      </c>
      <c r="AI196" s="80"/>
      <c r="AJ196" s="154"/>
      <c r="AK196" s="100" t="str">
        <f t="shared" si="21"/>
        <v/>
      </c>
      <c r="AL196" s="138"/>
      <c r="AM196" s="131">
        <v>49</v>
      </c>
      <c r="AN196" s="103">
        <f t="shared" si="12"/>
        <v>0</v>
      </c>
      <c r="AO196" s="139"/>
      <c r="AP196" s="155">
        <v>95.75</v>
      </c>
      <c r="AQ196" s="141">
        <f t="shared" si="15"/>
        <v>0</v>
      </c>
      <c r="AR196" s="142"/>
      <c r="AS196" s="155">
        <v>0.78</v>
      </c>
      <c r="AT196" s="143">
        <f t="shared" si="16"/>
        <v>0</v>
      </c>
      <c r="AU196" s="139"/>
      <c r="AV196" s="131">
        <v>22.53</v>
      </c>
      <c r="AW196" s="107">
        <f t="shared" si="17"/>
        <v>0</v>
      </c>
      <c r="AX196" s="113"/>
      <c r="AY196" s="131">
        <v>137.44999999999999</v>
      </c>
      <c r="AZ196" s="144">
        <f t="shared" si="18"/>
        <v>0</v>
      </c>
      <c r="BA196" s="126" t="s">
        <v>85</v>
      </c>
      <c r="BB196" s="155">
        <v>0.15</v>
      </c>
      <c r="BC196" s="145">
        <f t="shared" si="19"/>
        <v>0</v>
      </c>
      <c r="BD196" s="131" t="s">
        <v>85</v>
      </c>
      <c r="BE196" s="158">
        <v>0.13</v>
      </c>
      <c r="BF196" s="146">
        <f t="shared" si="20"/>
        <v>0</v>
      </c>
      <c r="BG196" s="147" t="s">
        <v>84</v>
      </c>
      <c r="BH196" s="148"/>
      <c r="BI196" s="156"/>
      <c r="BJ196" s="150">
        <f>'Degrémont sortie'!BI196</f>
        <v>0</v>
      </c>
      <c r="BK196" s="151">
        <f>'Degrémont sortie'!BJ196</f>
        <v>0</v>
      </c>
    </row>
    <row r="197" spans="1:63" ht="14.25" outlineLevel="1">
      <c r="A197" s="121">
        <f t="shared" si="13"/>
        <v>43649</v>
      </c>
      <c r="B197" s="207"/>
      <c r="C197" s="123">
        <v>10.8</v>
      </c>
      <c r="D197" s="124">
        <v>89</v>
      </c>
      <c r="E197" s="125">
        <v>111</v>
      </c>
      <c r="F197" s="126">
        <v>50</v>
      </c>
      <c r="G197" s="127">
        <f t="shared" si="0"/>
        <v>440</v>
      </c>
      <c r="H197" s="128">
        <f t="shared" si="1"/>
        <v>0</v>
      </c>
      <c r="I197" s="129">
        <v>1</v>
      </c>
      <c r="J197" s="126">
        <v>1078</v>
      </c>
      <c r="K197" s="79">
        <f t="shared" si="2"/>
        <v>1078</v>
      </c>
      <c r="L197" s="128">
        <f t="shared" si="3"/>
        <v>0</v>
      </c>
      <c r="M197" s="130">
        <v>1</v>
      </c>
      <c r="N197" s="126">
        <v>662</v>
      </c>
      <c r="O197" s="80">
        <f t="shared" si="4"/>
        <v>662</v>
      </c>
      <c r="P197" s="81">
        <f t="shared" si="5"/>
        <v>0</v>
      </c>
      <c r="Q197" s="129">
        <v>20</v>
      </c>
      <c r="R197" s="131">
        <v>0.79</v>
      </c>
      <c r="S197" s="127">
        <f t="shared" si="6"/>
        <v>15.8</v>
      </c>
      <c r="T197" s="128">
        <f t="shared" si="7"/>
        <v>0</v>
      </c>
      <c r="U197" s="113"/>
      <c r="V197" s="81">
        <f t="shared" si="14"/>
        <v>0</v>
      </c>
      <c r="W197" s="132"/>
      <c r="X197" s="153"/>
      <c r="Y197" s="94"/>
      <c r="Z197" s="132"/>
      <c r="AA197" s="153"/>
      <c r="AB197" s="94"/>
      <c r="AC197" s="133"/>
      <c r="AD197" s="93" t="str">
        <f t="shared" si="8"/>
        <v/>
      </c>
      <c r="AE197" s="94" t="str">
        <f t="shared" si="9"/>
        <v/>
      </c>
      <c r="AF197" s="139"/>
      <c r="AG197" s="135">
        <v>0.01</v>
      </c>
      <c r="AH197" s="136" t="str">
        <f t="shared" si="10"/>
        <v/>
      </c>
      <c r="AI197" s="80"/>
      <c r="AJ197" s="154"/>
      <c r="AK197" s="100" t="str">
        <f t="shared" si="21"/>
        <v/>
      </c>
      <c r="AL197" s="138"/>
      <c r="AM197" s="113"/>
      <c r="AN197" s="103" t="str">
        <f t="shared" si="12"/>
        <v/>
      </c>
      <c r="AO197" s="139"/>
      <c r="AP197" s="140"/>
      <c r="AQ197" s="141" t="str">
        <f t="shared" si="15"/>
        <v/>
      </c>
      <c r="AR197" s="142"/>
      <c r="AS197" s="140"/>
      <c r="AT197" s="143" t="str">
        <f t="shared" si="16"/>
        <v/>
      </c>
      <c r="AU197" s="139"/>
      <c r="AV197" s="113"/>
      <c r="AW197" s="107" t="str">
        <f t="shared" si="17"/>
        <v/>
      </c>
      <c r="AX197" s="113"/>
      <c r="AY197" s="113"/>
      <c r="AZ197" s="144" t="str">
        <f t="shared" si="18"/>
        <v/>
      </c>
      <c r="BA197" s="80"/>
      <c r="BB197" s="140"/>
      <c r="BC197" s="145" t="str">
        <f t="shared" si="19"/>
        <v/>
      </c>
      <c r="BD197" s="113"/>
      <c r="BE197" s="114"/>
      <c r="BF197" s="146" t="str">
        <f t="shared" si="20"/>
        <v/>
      </c>
      <c r="BG197" s="147" t="s">
        <v>84</v>
      </c>
      <c r="BH197" s="148"/>
      <c r="BI197" s="156"/>
      <c r="BJ197" s="150">
        <f>'Degrémont sortie'!BI197</f>
        <v>0</v>
      </c>
      <c r="BK197" s="151">
        <f>'Degrémont sortie'!BJ197</f>
        <v>0</v>
      </c>
    </row>
    <row r="198" spans="1:63" ht="14.25" outlineLevel="1">
      <c r="A198" s="152">
        <f t="shared" si="13"/>
        <v>43650</v>
      </c>
      <c r="B198" s="207"/>
      <c r="C198" s="123">
        <v>9.3000000000000007</v>
      </c>
      <c r="D198" s="124">
        <v>91</v>
      </c>
      <c r="E198" s="125">
        <v>134</v>
      </c>
      <c r="F198" s="126">
        <v>50</v>
      </c>
      <c r="G198" s="127">
        <f t="shared" si="0"/>
        <v>860</v>
      </c>
      <c r="H198" s="128">
        <f t="shared" si="1"/>
        <v>0</v>
      </c>
      <c r="I198" s="129">
        <v>1</v>
      </c>
      <c r="J198" s="126">
        <v>1547</v>
      </c>
      <c r="K198" s="79">
        <f t="shared" si="2"/>
        <v>1547</v>
      </c>
      <c r="L198" s="128">
        <f t="shared" si="3"/>
        <v>0</v>
      </c>
      <c r="M198" s="130">
        <v>1</v>
      </c>
      <c r="N198" s="126">
        <v>660</v>
      </c>
      <c r="O198" s="80">
        <f t="shared" si="4"/>
        <v>660</v>
      </c>
      <c r="P198" s="81">
        <f t="shared" si="5"/>
        <v>0</v>
      </c>
      <c r="Q198" s="129">
        <v>10</v>
      </c>
      <c r="R198" s="131">
        <v>3.36</v>
      </c>
      <c r="S198" s="127">
        <f t="shared" si="6"/>
        <v>33.6</v>
      </c>
      <c r="T198" s="128">
        <f t="shared" si="7"/>
        <v>0</v>
      </c>
      <c r="U198" s="113"/>
      <c r="V198" s="81">
        <f t="shared" si="14"/>
        <v>0</v>
      </c>
      <c r="W198" s="132"/>
      <c r="X198" s="153"/>
      <c r="Y198" s="94"/>
      <c r="Z198" s="132"/>
      <c r="AA198" s="153"/>
      <c r="AB198" s="94"/>
      <c r="AC198" s="133"/>
      <c r="AD198" s="93" t="str">
        <f t="shared" si="8"/>
        <v/>
      </c>
      <c r="AE198" s="94" t="str">
        <f t="shared" si="9"/>
        <v/>
      </c>
      <c r="AF198" s="134" t="s">
        <v>85</v>
      </c>
      <c r="AG198" s="135">
        <v>0.01</v>
      </c>
      <c r="AH198" s="136" t="str">
        <f t="shared" si="10"/>
        <v/>
      </c>
      <c r="AI198" s="80"/>
      <c r="AJ198" s="154"/>
      <c r="AK198" s="100" t="str">
        <f t="shared" si="21"/>
        <v/>
      </c>
      <c r="AL198" s="138"/>
      <c r="AM198" s="113"/>
      <c r="AN198" s="103" t="str">
        <f t="shared" si="12"/>
        <v/>
      </c>
      <c r="AO198" s="139"/>
      <c r="AP198" s="140"/>
      <c r="AQ198" s="141" t="str">
        <f t="shared" si="15"/>
        <v/>
      </c>
      <c r="AR198" s="142"/>
      <c r="AS198" s="140"/>
      <c r="AT198" s="143" t="str">
        <f t="shared" si="16"/>
        <v/>
      </c>
      <c r="AU198" s="139"/>
      <c r="AV198" s="113"/>
      <c r="AW198" s="107" t="str">
        <f t="shared" si="17"/>
        <v/>
      </c>
      <c r="AX198" s="113"/>
      <c r="AY198" s="113"/>
      <c r="AZ198" s="144" t="str">
        <f t="shared" si="18"/>
        <v/>
      </c>
      <c r="BA198" s="80"/>
      <c r="BB198" s="140"/>
      <c r="BC198" s="145" t="str">
        <f t="shared" si="19"/>
        <v/>
      </c>
      <c r="BD198" s="113"/>
      <c r="BE198" s="114"/>
      <c r="BF198" s="146" t="str">
        <f t="shared" si="20"/>
        <v/>
      </c>
      <c r="BG198" s="147" t="s">
        <v>84</v>
      </c>
      <c r="BH198" s="148"/>
      <c r="BI198" s="156"/>
      <c r="BJ198" s="150">
        <f>'Degrémont sortie'!BI198</f>
        <v>0</v>
      </c>
      <c r="BK198" s="151">
        <f>'Degrémont sortie'!BJ198</f>
        <v>0</v>
      </c>
    </row>
    <row r="199" spans="1:63" ht="14.25" outlineLevel="1">
      <c r="A199" s="121">
        <f t="shared" si="13"/>
        <v>43651</v>
      </c>
      <c r="B199" s="207"/>
      <c r="C199" s="123">
        <v>10.1</v>
      </c>
      <c r="D199" s="124">
        <v>89.6</v>
      </c>
      <c r="E199" s="125">
        <v>113.3</v>
      </c>
      <c r="F199" s="126">
        <v>39</v>
      </c>
      <c r="G199" s="127">
        <f t="shared" si="0"/>
        <v>607.69230769230774</v>
      </c>
      <c r="H199" s="128">
        <f t="shared" si="1"/>
        <v>0</v>
      </c>
      <c r="I199" s="129">
        <v>1</v>
      </c>
      <c r="J199" s="126">
        <v>1670</v>
      </c>
      <c r="K199" s="79">
        <f t="shared" si="2"/>
        <v>1670</v>
      </c>
      <c r="L199" s="128">
        <f t="shared" si="3"/>
        <v>0</v>
      </c>
      <c r="M199" s="130">
        <v>1</v>
      </c>
      <c r="N199" s="126">
        <v>958</v>
      </c>
      <c r="O199" s="80">
        <f t="shared" si="4"/>
        <v>958</v>
      </c>
      <c r="P199" s="81">
        <f t="shared" si="5"/>
        <v>0</v>
      </c>
      <c r="Q199" s="129">
        <v>20</v>
      </c>
      <c r="R199" s="131">
        <v>1.0900000000000001</v>
      </c>
      <c r="S199" s="127">
        <f t="shared" si="6"/>
        <v>21.8</v>
      </c>
      <c r="T199" s="128">
        <f t="shared" si="7"/>
        <v>0</v>
      </c>
      <c r="U199" s="113"/>
      <c r="V199" s="81">
        <f t="shared" si="14"/>
        <v>0</v>
      </c>
      <c r="W199" s="132"/>
      <c r="X199" s="153"/>
      <c r="Y199" s="94"/>
      <c r="Z199" s="132"/>
      <c r="AA199" s="153"/>
      <c r="AB199" s="94"/>
      <c r="AC199" s="133"/>
      <c r="AD199" s="93" t="str">
        <f t="shared" si="8"/>
        <v/>
      </c>
      <c r="AE199" s="94" t="str">
        <f t="shared" si="9"/>
        <v/>
      </c>
      <c r="AF199" s="134" t="s">
        <v>85</v>
      </c>
      <c r="AG199" s="135">
        <v>0.01</v>
      </c>
      <c r="AH199" s="136" t="str">
        <f t="shared" si="10"/>
        <v/>
      </c>
      <c r="AI199" s="80"/>
      <c r="AJ199" s="154"/>
      <c r="AK199" s="100" t="str">
        <f t="shared" si="21"/>
        <v/>
      </c>
      <c r="AL199" s="138"/>
      <c r="AM199" s="113"/>
      <c r="AN199" s="103" t="str">
        <f t="shared" si="12"/>
        <v/>
      </c>
      <c r="AO199" s="139"/>
      <c r="AP199" s="140"/>
      <c r="AQ199" s="141" t="str">
        <f t="shared" si="15"/>
        <v/>
      </c>
      <c r="AR199" s="142"/>
      <c r="AS199" s="140"/>
      <c r="AT199" s="143" t="str">
        <f t="shared" si="16"/>
        <v/>
      </c>
      <c r="AU199" s="139"/>
      <c r="AV199" s="113"/>
      <c r="AW199" s="107" t="str">
        <f t="shared" si="17"/>
        <v/>
      </c>
      <c r="AX199" s="113"/>
      <c r="AY199" s="113"/>
      <c r="AZ199" s="144" t="str">
        <f t="shared" si="18"/>
        <v/>
      </c>
      <c r="BA199" s="80"/>
      <c r="BB199" s="140"/>
      <c r="BC199" s="145" t="str">
        <f t="shared" si="19"/>
        <v/>
      </c>
      <c r="BD199" s="113"/>
      <c r="BE199" s="114"/>
      <c r="BF199" s="146" t="str">
        <f t="shared" si="20"/>
        <v/>
      </c>
      <c r="BG199" s="147" t="s">
        <v>84</v>
      </c>
      <c r="BH199" s="148"/>
      <c r="BI199" s="156"/>
      <c r="BJ199" s="150">
        <f>'Degrémont sortie'!BI199</f>
        <v>0</v>
      </c>
      <c r="BK199" s="151">
        <f>'Degrémont sortie'!BJ199</f>
        <v>0</v>
      </c>
    </row>
    <row r="200" spans="1:63" ht="14.25" outlineLevel="1">
      <c r="A200" s="152">
        <f t="shared" si="13"/>
        <v>43652</v>
      </c>
      <c r="B200" s="207"/>
      <c r="C200" s="123">
        <v>9.34</v>
      </c>
      <c r="D200" s="124">
        <v>88.1</v>
      </c>
      <c r="E200" s="125">
        <v>113.8</v>
      </c>
      <c r="F200" s="126">
        <v>42</v>
      </c>
      <c r="G200" s="127">
        <f t="shared" si="0"/>
        <v>611.90476190476204</v>
      </c>
      <c r="H200" s="128">
        <f t="shared" si="1"/>
        <v>0</v>
      </c>
      <c r="I200" s="129">
        <v>1</v>
      </c>
      <c r="J200" s="126">
        <v>1888</v>
      </c>
      <c r="K200" s="79">
        <f t="shared" si="2"/>
        <v>1888</v>
      </c>
      <c r="L200" s="128">
        <f t="shared" si="3"/>
        <v>0</v>
      </c>
      <c r="M200" s="130">
        <v>1</v>
      </c>
      <c r="N200" s="126">
        <v>1180</v>
      </c>
      <c r="O200" s="80">
        <f t="shared" si="4"/>
        <v>1180</v>
      </c>
      <c r="P200" s="81">
        <f t="shared" si="5"/>
        <v>0</v>
      </c>
      <c r="Q200" s="129">
        <v>20</v>
      </c>
      <c r="R200" s="131">
        <v>1.27</v>
      </c>
      <c r="S200" s="127">
        <f t="shared" si="6"/>
        <v>25.4</v>
      </c>
      <c r="T200" s="128">
        <f t="shared" si="7"/>
        <v>0</v>
      </c>
      <c r="U200" s="113"/>
      <c r="V200" s="81">
        <f t="shared" si="14"/>
        <v>0</v>
      </c>
      <c r="W200" s="132"/>
      <c r="X200" s="153"/>
      <c r="Y200" s="94"/>
      <c r="Z200" s="132"/>
      <c r="AA200" s="153"/>
      <c r="AB200" s="94"/>
      <c r="AC200" s="133"/>
      <c r="AD200" s="93" t="str">
        <f t="shared" si="8"/>
        <v/>
      </c>
      <c r="AE200" s="94" t="str">
        <f t="shared" si="9"/>
        <v/>
      </c>
      <c r="AF200" s="139"/>
      <c r="AG200" s="135">
        <v>0.01</v>
      </c>
      <c r="AH200" s="136" t="str">
        <f t="shared" si="10"/>
        <v/>
      </c>
      <c r="AI200" s="80"/>
      <c r="AJ200" s="154"/>
      <c r="AK200" s="100" t="str">
        <f t="shared" si="21"/>
        <v/>
      </c>
      <c r="AL200" s="138"/>
      <c r="AM200" s="113"/>
      <c r="AN200" s="103" t="str">
        <f t="shared" si="12"/>
        <v/>
      </c>
      <c r="AO200" s="139"/>
      <c r="AP200" s="140"/>
      <c r="AQ200" s="141" t="str">
        <f t="shared" si="15"/>
        <v/>
      </c>
      <c r="AR200" s="142"/>
      <c r="AS200" s="140"/>
      <c r="AT200" s="143" t="str">
        <f t="shared" si="16"/>
        <v/>
      </c>
      <c r="AU200" s="139"/>
      <c r="AV200" s="113"/>
      <c r="AW200" s="107" t="str">
        <f t="shared" si="17"/>
        <v/>
      </c>
      <c r="AX200" s="113"/>
      <c r="AY200" s="113"/>
      <c r="AZ200" s="144" t="str">
        <f t="shared" si="18"/>
        <v/>
      </c>
      <c r="BA200" s="80"/>
      <c r="BB200" s="140"/>
      <c r="BC200" s="145" t="str">
        <f t="shared" si="19"/>
        <v/>
      </c>
      <c r="BD200" s="113"/>
      <c r="BE200" s="114"/>
      <c r="BF200" s="146" t="str">
        <f t="shared" si="20"/>
        <v/>
      </c>
      <c r="BG200" s="147" t="s">
        <v>84</v>
      </c>
      <c r="BH200" s="148"/>
      <c r="BI200" s="156"/>
      <c r="BJ200" s="150">
        <f>'Degrémont sortie'!BI200</f>
        <v>0</v>
      </c>
      <c r="BK200" s="151">
        <f>'Degrémont sortie'!BJ200</f>
        <v>0</v>
      </c>
    </row>
    <row r="201" spans="1:63" ht="15.75" customHeight="1" outlineLevel="1">
      <c r="A201" s="121">
        <f t="shared" si="13"/>
        <v>43653</v>
      </c>
      <c r="B201" s="207"/>
      <c r="C201" s="208"/>
      <c r="D201" s="210"/>
      <c r="E201" s="211"/>
      <c r="F201" s="80"/>
      <c r="G201" s="127">
        <f t="shared" si="0"/>
        <v>0</v>
      </c>
      <c r="H201" s="128">
        <f t="shared" si="1"/>
        <v>0</v>
      </c>
      <c r="I201" s="129">
        <v>1</v>
      </c>
      <c r="J201" s="80"/>
      <c r="K201" s="79">
        <f t="shared" si="2"/>
        <v>0</v>
      </c>
      <c r="L201" s="128">
        <f t="shared" si="3"/>
        <v>0</v>
      </c>
      <c r="M201" s="130">
        <v>1</v>
      </c>
      <c r="N201" s="80"/>
      <c r="O201" s="80" t="str">
        <f t="shared" si="4"/>
        <v/>
      </c>
      <c r="P201" s="81">
        <f t="shared" si="5"/>
        <v>0</v>
      </c>
      <c r="Q201" s="213"/>
      <c r="R201" s="113"/>
      <c r="S201" s="127" t="str">
        <f t="shared" si="6"/>
        <v/>
      </c>
      <c r="T201" s="128">
        <f t="shared" si="7"/>
        <v>0</v>
      </c>
      <c r="U201" s="113"/>
      <c r="V201" s="81">
        <f t="shared" si="14"/>
        <v>0</v>
      </c>
      <c r="W201" s="132"/>
      <c r="X201" s="153"/>
      <c r="Y201" s="94"/>
      <c r="Z201" s="132"/>
      <c r="AA201" s="153"/>
      <c r="AB201" s="94"/>
      <c r="AC201" s="133"/>
      <c r="AD201" s="93" t="str">
        <f t="shared" si="8"/>
        <v/>
      </c>
      <c r="AE201" s="94" t="str">
        <f t="shared" si="9"/>
        <v/>
      </c>
      <c r="AF201" s="139"/>
      <c r="AG201" s="215"/>
      <c r="AH201" s="136" t="str">
        <f t="shared" si="10"/>
        <v/>
      </c>
      <c r="AI201" s="80"/>
      <c r="AJ201" s="154"/>
      <c r="AK201" s="100" t="str">
        <f t="shared" si="21"/>
        <v/>
      </c>
      <c r="AL201" s="138"/>
      <c r="AM201" s="113"/>
      <c r="AN201" s="103" t="str">
        <f t="shared" si="12"/>
        <v/>
      </c>
      <c r="AO201" s="139"/>
      <c r="AP201" s="140"/>
      <c r="AQ201" s="141" t="str">
        <f t="shared" si="15"/>
        <v/>
      </c>
      <c r="AR201" s="142"/>
      <c r="AS201" s="140"/>
      <c r="AT201" s="143" t="str">
        <f t="shared" si="16"/>
        <v/>
      </c>
      <c r="AU201" s="139"/>
      <c r="AV201" s="113"/>
      <c r="AW201" s="107" t="str">
        <f t="shared" si="17"/>
        <v/>
      </c>
      <c r="AX201" s="113"/>
      <c r="AY201" s="113"/>
      <c r="AZ201" s="144" t="str">
        <f t="shared" si="18"/>
        <v/>
      </c>
      <c r="BA201" s="80"/>
      <c r="BB201" s="140"/>
      <c r="BC201" s="145" t="str">
        <f t="shared" si="19"/>
        <v/>
      </c>
      <c r="BD201" s="113"/>
      <c r="BE201" s="114"/>
      <c r="BF201" s="146" t="str">
        <f t="shared" si="20"/>
        <v/>
      </c>
      <c r="BG201" s="147" t="s">
        <v>84</v>
      </c>
      <c r="BH201" s="148"/>
      <c r="BI201" s="156"/>
      <c r="BJ201" s="150">
        <f>'Degrémont sortie'!BI201</f>
        <v>0</v>
      </c>
      <c r="BK201" s="151">
        <f>'Degrémont sortie'!BJ201</f>
        <v>0</v>
      </c>
    </row>
    <row r="202" spans="1:63" ht="15.75" customHeight="1" outlineLevel="1">
      <c r="A202" s="152">
        <f t="shared" si="13"/>
        <v>43654</v>
      </c>
      <c r="B202" s="207"/>
      <c r="C202" s="123">
        <v>7.8</v>
      </c>
      <c r="D202" s="124">
        <v>89.1</v>
      </c>
      <c r="E202" s="125">
        <v>235.2</v>
      </c>
      <c r="F202" s="126">
        <v>40</v>
      </c>
      <c r="G202" s="127">
        <f t="shared" si="0"/>
        <v>3652.5</v>
      </c>
      <c r="H202" s="128">
        <f t="shared" si="1"/>
        <v>0</v>
      </c>
      <c r="I202" s="129">
        <v>1</v>
      </c>
      <c r="J202" s="126">
        <v>4097</v>
      </c>
      <c r="K202" s="79">
        <f t="shared" si="2"/>
        <v>4097</v>
      </c>
      <c r="L202" s="128">
        <f t="shared" si="3"/>
        <v>0</v>
      </c>
      <c r="M202" s="130">
        <v>1</v>
      </c>
      <c r="N202" s="126">
        <v>971</v>
      </c>
      <c r="O202" s="80">
        <f t="shared" si="4"/>
        <v>971</v>
      </c>
      <c r="P202" s="81">
        <f t="shared" si="5"/>
        <v>0</v>
      </c>
      <c r="Q202" s="129">
        <v>20</v>
      </c>
      <c r="R202" s="131">
        <v>7.04</v>
      </c>
      <c r="S202" s="127">
        <f t="shared" si="6"/>
        <v>140.80000000000001</v>
      </c>
      <c r="T202" s="128">
        <f t="shared" si="7"/>
        <v>0</v>
      </c>
      <c r="U202" s="113"/>
      <c r="V202" s="81">
        <f t="shared" si="14"/>
        <v>0</v>
      </c>
      <c r="W202" s="132"/>
      <c r="X202" s="153"/>
      <c r="Y202" s="94"/>
      <c r="Z202" s="132"/>
      <c r="AA202" s="153"/>
      <c r="AB202" s="94"/>
      <c r="AC202" s="133"/>
      <c r="AD202" s="93" t="str">
        <f t="shared" si="8"/>
        <v/>
      </c>
      <c r="AE202" s="94" t="str">
        <f t="shared" si="9"/>
        <v/>
      </c>
      <c r="AF202" s="134" t="s">
        <v>85</v>
      </c>
      <c r="AG202" s="135">
        <v>0.01</v>
      </c>
      <c r="AH202" s="136" t="str">
        <f t="shared" si="10"/>
        <v/>
      </c>
      <c r="AI202" s="80"/>
      <c r="AJ202" s="154"/>
      <c r="AK202" s="100" t="str">
        <f t="shared" si="21"/>
        <v/>
      </c>
      <c r="AL202" s="138"/>
      <c r="AM202" s="113"/>
      <c r="AN202" s="103" t="str">
        <f t="shared" si="12"/>
        <v/>
      </c>
      <c r="AO202" s="139"/>
      <c r="AP202" s="140"/>
      <c r="AQ202" s="141" t="str">
        <f t="shared" si="15"/>
        <v/>
      </c>
      <c r="AR202" s="142"/>
      <c r="AS202" s="140"/>
      <c r="AT202" s="143" t="str">
        <f t="shared" si="16"/>
        <v/>
      </c>
      <c r="AU202" s="139"/>
      <c r="AV202" s="113"/>
      <c r="AW202" s="107" t="str">
        <f t="shared" si="17"/>
        <v/>
      </c>
      <c r="AX202" s="113"/>
      <c r="AY202" s="113"/>
      <c r="AZ202" s="144" t="str">
        <f t="shared" si="18"/>
        <v/>
      </c>
      <c r="BA202" s="80"/>
      <c r="BB202" s="140"/>
      <c r="BC202" s="145" t="str">
        <f t="shared" si="19"/>
        <v/>
      </c>
      <c r="BD202" s="113"/>
      <c r="BE202" s="114"/>
      <c r="BF202" s="146" t="str">
        <f t="shared" si="20"/>
        <v/>
      </c>
      <c r="BG202" s="147" t="s">
        <v>84</v>
      </c>
      <c r="BH202" s="148"/>
      <c r="BI202" s="156"/>
      <c r="BJ202" s="150">
        <f>'Degrémont sortie'!BI202</f>
        <v>0</v>
      </c>
      <c r="BK202" s="151">
        <f>'Degrémont sortie'!BJ202</f>
        <v>0</v>
      </c>
    </row>
    <row r="203" spans="1:63" ht="15.75" customHeight="1" outlineLevel="1">
      <c r="A203" s="121">
        <f t="shared" si="13"/>
        <v>43655</v>
      </c>
      <c r="B203" s="207"/>
      <c r="C203" s="123">
        <v>8.3000000000000007</v>
      </c>
      <c r="D203" s="124">
        <v>87.7</v>
      </c>
      <c r="E203" s="125">
        <v>342.5</v>
      </c>
      <c r="F203" s="126">
        <v>31</v>
      </c>
      <c r="G203" s="127">
        <f t="shared" si="0"/>
        <v>8219.354838709678</v>
      </c>
      <c r="H203" s="128">
        <f t="shared" si="1"/>
        <v>0</v>
      </c>
      <c r="I203" s="129">
        <v>1</v>
      </c>
      <c r="J203" s="126">
        <v>7220</v>
      </c>
      <c r="K203" s="79">
        <f t="shared" si="2"/>
        <v>7220</v>
      </c>
      <c r="L203" s="128">
        <f t="shared" si="3"/>
        <v>0</v>
      </c>
      <c r="M203" s="130">
        <v>1</v>
      </c>
      <c r="N203" s="126">
        <v>401</v>
      </c>
      <c r="O203" s="80">
        <f t="shared" si="4"/>
        <v>401</v>
      </c>
      <c r="P203" s="81">
        <f t="shared" si="5"/>
        <v>0</v>
      </c>
      <c r="Q203" s="129">
        <v>20</v>
      </c>
      <c r="R203" s="131">
        <v>13.7</v>
      </c>
      <c r="S203" s="127">
        <f t="shared" si="6"/>
        <v>274</v>
      </c>
      <c r="T203" s="128">
        <f t="shared" si="7"/>
        <v>0</v>
      </c>
      <c r="U203" s="131">
        <v>46</v>
      </c>
      <c r="V203" s="81">
        <f t="shared" si="14"/>
        <v>0</v>
      </c>
      <c r="W203" s="132"/>
      <c r="X203" s="153"/>
      <c r="Y203" s="94"/>
      <c r="Z203" s="132"/>
      <c r="AA203" s="153"/>
      <c r="AB203" s="94"/>
      <c r="AC203" s="133"/>
      <c r="AD203" s="93" t="str">
        <f t="shared" si="8"/>
        <v/>
      </c>
      <c r="AE203" s="94" t="str">
        <f t="shared" si="9"/>
        <v/>
      </c>
      <c r="AF203" s="134" t="s">
        <v>85</v>
      </c>
      <c r="AG203" s="135">
        <v>0.01</v>
      </c>
      <c r="AH203" s="136" t="str">
        <f t="shared" si="10"/>
        <v/>
      </c>
      <c r="AI203" s="80"/>
      <c r="AJ203" s="154"/>
      <c r="AK203" s="100" t="str">
        <f t="shared" si="21"/>
        <v/>
      </c>
      <c r="AL203" s="138"/>
      <c r="AM203" s="131">
        <v>46</v>
      </c>
      <c r="AN203" s="103">
        <f t="shared" si="12"/>
        <v>0</v>
      </c>
      <c r="AO203" s="139"/>
      <c r="AP203" s="155">
        <v>80.39</v>
      </c>
      <c r="AQ203" s="141">
        <f t="shared" si="15"/>
        <v>0</v>
      </c>
      <c r="AR203" s="142"/>
      <c r="AS203" s="155">
        <v>5</v>
      </c>
      <c r="AT203" s="143">
        <f t="shared" si="16"/>
        <v>0</v>
      </c>
      <c r="AU203" s="139"/>
      <c r="AV203" s="131">
        <v>13.94</v>
      </c>
      <c r="AW203" s="107">
        <f t="shared" si="17"/>
        <v>0</v>
      </c>
      <c r="AX203" s="113"/>
      <c r="AY203" s="131">
        <v>95.64</v>
      </c>
      <c r="AZ203" s="144">
        <f t="shared" si="18"/>
        <v>0</v>
      </c>
      <c r="BA203" s="126" t="s">
        <v>85</v>
      </c>
      <c r="BB203" s="155">
        <v>0.15</v>
      </c>
      <c r="BC203" s="145">
        <f t="shared" si="19"/>
        <v>0</v>
      </c>
      <c r="BD203" s="131" t="s">
        <v>85</v>
      </c>
      <c r="BE203" s="158">
        <v>0.13</v>
      </c>
      <c r="BF203" s="146">
        <f t="shared" si="20"/>
        <v>0</v>
      </c>
      <c r="BG203" s="147" t="s">
        <v>84</v>
      </c>
      <c r="BH203" s="148"/>
      <c r="BI203" s="156"/>
      <c r="BJ203" s="150">
        <f>'Degrémont sortie'!BI203</f>
        <v>0</v>
      </c>
      <c r="BK203" s="151">
        <f>'Degrémont sortie'!BJ203</f>
        <v>0</v>
      </c>
    </row>
    <row r="204" spans="1:63" ht="15.75" customHeight="1" outlineLevel="1">
      <c r="A204" s="152">
        <f t="shared" si="13"/>
        <v>43656</v>
      </c>
      <c r="B204" s="207"/>
      <c r="C204" s="123">
        <v>8.6</v>
      </c>
      <c r="D204" s="124">
        <v>88.8</v>
      </c>
      <c r="E204" s="125">
        <v>306.3</v>
      </c>
      <c r="F204" s="126">
        <v>31</v>
      </c>
      <c r="G204" s="127">
        <f t="shared" si="0"/>
        <v>7016.1290322580644</v>
      </c>
      <c r="H204" s="128">
        <f t="shared" si="1"/>
        <v>0</v>
      </c>
      <c r="I204" s="129">
        <v>1</v>
      </c>
      <c r="J204" s="126">
        <v>6004</v>
      </c>
      <c r="K204" s="79">
        <f t="shared" si="2"/>
        <v>6004</v>
      </c>
      <c r="L204" s="128">
        <f t="shared" si="3"/>
        <v>0</v>
      </c>
      <c r="M204" s="130">
        <v>1</v>
      </c>
      <c r="N204" s="126">
        <v>396</v>
      </c>
      <c r="O204" s="80">
        <f t="shared" si="4"/>
        <v>396</v>
      </c>
      <c r="P204" s="81">
        <f t="shared" si="5"/>
        <v>0</v>
      </c>
      <c r="Q204" s="129">
        <v>20</v>
      </c>
      <c r="R204" s="131">
        <v>12.8</v>
      </c>
      <c r="S204" s="127">
        <f t="shared" si="6"/>
        <v>256</v>
      </c>
      <c r="T204" s="128">
        <f t="shared" si="7"/>
        <v>0</v>
      </c>
      <c r="U204" s="113"/>
      <c r="V204" s="81">
        <f t="shared" si="14"/>
        <v>0</v>
      </c>
      <c r="W204" s="132"/>
      <c r="X204" s="153"/>
      <c r="Y204" s="94"/>
      <c r="Z204" s="132"/>
      <c r="AA204" s="153"/>
      <c r="AB204" s="94"/>
      <c r="AC204" s="133"/>
      <c r="AD204" s="93" t="str">
        <f t="shared" si="8"/>
        <v/>
      </c>
      <c r="AE204" s="94" t="str">
        <f t="shared" si="9"/>
        <v/>
      </c>
      <c r="AF204" s="134" t="s">
        <v>85</v>
      </c>
      <c r="AG204" s="135">
        <v>0.01</v>
      </c>
      <c r="AH204" s="136" t="str">
        <f t="shared" si="10"/>
        <v/>
      </c>
      <c r="AI204" s="80"/>
      <c r="AJ204" s="154"/>
      <c r="AK204" s="100" t="str">
        <f t="shared" si="21"/>
        <v/>
      </c>
      <c r="AL204" s="138"/>
      <c r="AM204" s="113"/>
      <c r="AN204" s="103" t="str">
        <f t="shared" si="12"/>
        <v/>
      </c>
      <c r="AO204" s="139"/>
      <c r="AP204" s="140"/>
      <c r="AQ204" s="141" t="str">
        <f t="shared" si="15"/>
        <v/>
      </c>
      <c r="AR204" s="142"/>
      <c r="AS204" s="140"/>
      <c r="AT204" s="143" t="str">
        <f t="shared" si="16"/>
        <v/>
      </c>
      <c r="AU204" s="139"/>
      <c r="AV204" s="113"/>
      <c r="AW204" s="107" t="str">
        <f t="shared" si="17"/>
        <v/>
      </c>
      <c r="AX204" s="113"/>
      <c r="AY204" s="113"/>
      <c r="AZ204" s="144" t="str">
        <f t="shared" si="18"/>
        <v/>
      </c>
      <c r="BA204" s="80"/>
      <c r="BB204" s="140"/>
      <c r="BC204" s="145" t="str">
        <f t="shared" si="19"/>
        <v/>
      </c>
      <c r="BD204" s="113"/>
      <c r="BE204" s="114"/>
      <c r="BF204" s="146" t="str">
        <f t="shared" si="20"/>
        <v/>
      </c>
      <c r="BG204" s="147" t="s">
        <v>84</v>
      </c>
      <c r="BH204" s="148"/>
      <c r="BI204" s="156"/>
      <c r="BJ204" s="150">
        <f>'Degrémont sortie'!BI204</f>
        <v>0</v>
      </c>
      <c r="BK204" s="151">
        <f>'Degrémont sortie'!BJ204</f>
        <v>0</v>
      </c>
    </row>
    <row r="205" spans="1:63" ht="15.75" customHeight="1" outlineLevel="1">
      <c r="A205" s="121">
        <f t="shared" si="13"/>
        <v>43657</v>
      </c>
      <c r="B205" s="207"/>
      <c r="C205" s="123">
        <v>9</v>
      </c>
      <c r="D205" s="124">
        <v>87.6</v>
      </c>
      <c r="E205" s="125">
        <v>502</v>
      </c>
      <c r="F205" s="126">
        <v>26</v>
      </c>
      <c r="G205" s="127">
        <f t="shared" si="0"/>
        <v>15938.461538461539</v>
      </c>
      <c r="H205" s="128">
        <f t="shared" si="1"/>
        <v>0</v>
      </c>
      <c r="I205" s="129">
        <v>1</v>
      </c>
      <c r="J205" s="126">
        <v>11081</v>
      </c>
      <c r="K205" s="79">
        <f t="shared" si="2"/>
        <v>11081</v>
      </c>
      <c r="L205" s="128">
        <f t="shared" si="3"/>
        <v>0</v>
      </c>
      <c r="M205" s="130">
        <v>1</v>
      </c>
      <c r="N205" s="126">
        <v>257</v>
      </c>
      <c r="O205" s="80">
        <f t="shared" si="4"/>
        <v>257</v>
      </c>
      <c r="P205" s="81">
        <f t="shared" si="5"/>
        <v>0</v>
      </c>
      <c r="Q205" s="129">
        <v>20</v>
      </c>
      <c r="R205" s="131">
        <v>23.2</v>
      </c>
      <c r="S205" s="127">
        <f t="shared" si="6"/>
        <v>464</v>
      </c>
      <c r="T205" s="128">
        <f t="shared" si="7"/>
        <v>0</v>
      </c>
      <c r="U205" s="113"/>
      <c r="V205" s="81">
        <f t="shared" si="14"/>
        <v>0</v>
      </c>
      <c r="W205" s="132"/>
      <c r="X205" s="153"/>
      <c r="Y205" s="94"/>
      <c r="Z205" s="132"/>
      <c r="AA205" s="153"/>
      <c r="AB205" s="94"/>
      <c r="AC205" s="133"/>
      <c r="AD205" s="93" t="str">
        <f t="shared" si="8"/>
        <v/>
      </c>
      <c r="AE205" s="94" t="str">
        <f t="shared" si="9"/>
        <v/>
      </c>
      <c r="AF205" s="134" t="s">
        <v>85</v>
      </c>
      <c r="AG205" s="135">
        <v>0.01</v>
      </c>
      <c r="AH205" s="136" t="str">
        <f t="shared" si="10"/>
        <v/>
      </c>
      <c r="AI205" s="80"/>
      <c r="AJ205" s="154"/>
      <c r="AK205" s="100" t="str">
        <f t="shared" si="21"/>
        <v/>
      </c>
      <c r="AL205" s="138"/>
      <c r="AM205" s="113"/>
      <c r="AN205" s="103" t="str">
        <f t="shared" si="12"/>
        <v/>
      </c>
      <c r="AO205" s="139"/>
      <c r="AP205" s="140"/>
      <c r="AQ205" s="141" t="str">
        <f t="shared" si="15"/>
        <v/>
      </c>
      <c r="AR205" s="142"/>
      <c r="AS205" s="140"/>
      <c r="AT205" s="143" t="str">
        <f t="shared" si="16"/>
        <v/>
      </c>
      <c r="AU205" s="139"/>
      <c r="AV205" s="113"/>
      <c r="AW205" s="107" t="str">
        <f t="shared" si="17"/>
        <v/>
      </c>
      <c r="AX205" s="113"/>
      <c r="AY205" s="113"/>
      <c r="AZ205" s="144" t="str">
        <f t="shared" si="18"/>
        <v/>
      </c>
      <c r="BA205" s="80"/>
      <c r="BB205" s="140"/>
      <c r="BC205" s="145" t="str">
        <f t="shared" si="19"/>
        <v/>
      </c>
      <c r="BD205" s="113"/>
      <c r="BE205" s="114"/>
      <c r="BF205" s="146" t="str">
        <f t="shared" si="20"/>
        <v/>
      </c>
      <c r="BG205" s="147" t="s">
        <v>84</v>
      </c>
      <c r="BH205" s="148"/>
      <c r="BI205" s="156"/>
      <c r="BJ205" s="150">
        <f>'Degrémont sortie'!BI205</f>
        <v>0</v>
      </c>
      <c r="BK205" s="151">
        <f>'Degrémont sortie'!BJ205</f>
        <v>0</v>
      </c>
    </row>
    <row r="206" spans="1:63" ht="14.25" outlineLevel="1">
      <c r="A206" s="152">
        <f t="shared" si="13"/>
        <v>43658</v>
      </c>
      <c r="B206" s="207"/>
      <c r="C206" s="123">
        <v>8.6</v>
      </c>
      <c r="D206" s="124">
        <v>92.7</v>
      </c>
      <c r="E206" s="125">
        <v>636.4</v>
      </c>
      <c r="F206" s="126">
        <v>26</v>
      </c>
      <c r="G206" s="127">
        <f t="shared" si="0"/>
        <v>20911.538461538457</v>
      </c>
      <c r="H206" s="128">
        <f t="shared" si="1"/>
        <v>0</v>
      </c>
      <c r="I206" s="129">
        <v>1</v>
      </c>
      <c r="J206" s="126">
        <v>20500</v>
      </c>
      <c r="K206" s="79">
        <f t="shared" si="2"/>
        <v>20500</v>
      </c>
      <c r="L206" s="128">
        <f t="shared" si="3"/>
        <v>0</v>
      </c>
      <c r="M206" s="130">
        <v>1</v>
      </c>
      <c r="N206" s="126">
        <v>787</v>
      </c>
      <c r="O206" s="80">
        <f t="shared" si="4"/>
        <v>787</v>
      </c>
      <c r="P206" s="81">
        <f t="shared" si="5"/>
        <v>0</v>
      </c>
      <c r="Q206" s="129">
        <v>100</v>
      </c>
      <c r="R206" s="131">
        <v>6.23</v>
      </c>
      <c r="S206" s="127">
        <f t="shared" si="6"/>
        <v>623</v>
      </c>
      <c r="T206" s="128">
        <f t="shared" si="7"/>
        <v>0</v>
      </c>
      <c r="U206" s="113"/>
      <c r="V206" s="81">
        <f t="shared" si="14"/>
        <v>0</v>
      </c>
      <c r="W206" s="132"/>
      <c r="X206" s="153"/>
      <c r="Y206" s="94"/>
      <c r="Z206" s="132"/>
      <c r="AA206" s="153"/>
      <c r="AB206" s="94"/>
      <c r="AC206" s="133"/>
      <c r="AD206" s="93" t="str">
        <f t="shared" si="8"/>
        <v/>
      </c>
      <c r="AE206" s="94" t="str">
        <f t="shared" si="9"/>
        <v/>
      </c>
      <c r="AF206" s="134" t="s">
        <v>85</v>
      </c>
      <c r="AG206" s="135">
        <v>0.01</v>
      </c>
      <c r="AH206" s="136" t="str">
        <f t="shared" si="10"/>
        <v/>
      </c>
      <c r="AI206" s="80"/>
      <c r="AJ206" s="154"/>
      <c r="AK206" s="100" t="str">
        <f t="shared" si="21"/>
        <v/>
      </c>
      <c r="AL206" s="138"/>
      <c r="AM206" s="113"/>
      <c r="AN206" s="103" t="str">
        <f t="shared" si="12"/>
        <v/>
      </c>
      <c r="AO206" s="139"/>
      <c r="AP206" s="140"/>
      <c r="AQ206" s="141" t="str">
        <f t="shared" si="15"/>
        <v/>
      </c>
      <c r="AR206" s="142"/>
      <c r="AS206" s="140"/>
      <c r="AT206" s="143" t="str">
        <f t="shared" si="16"/>
        <v/>
      </c>
      <c r="AU206" s="139"/>
      <c r="AV206" s="113"/>
      <c r="AW206" s="107" t="str">
        <f t="shared" si="17"/>
        <v/>
      </c>
      <c r="AX206" s="113"/>
      <c r="AY206" s="113"/>
      <c r="AZ206" s="144" t="str">
        <f t="shared" si="18"/>
        <v/>
      </c>
      <c r="BA206" s="80"/>
      <c r="BB206" s="140"/>
      <c r="BC206" s="145" t="str">
        <f t="shared" si="19"/>
        <v/>
      </c>
      <c r="BD206" s="113"/>
      <c r="BE206" s="114"/>
      <c r="BF206" s="146" t="str">
        <f t="shared" si="20"/>
        <v/>
      </c>
      <c r="BG206" s="147" t="s">
        <v>84</v>
      </c>
      <c r="BH206" s="148"/>
      <c r="BI206" s="156"/>
      <c r="BJ206" s="150">
        <f>'Degrémont sortie'!BI206</f>
        <v>0</v>
      </c>
      <c r="BK206" s="151">
        <f>'Degrémont sortie'!BJ206</f>
        <v>0</v>
      </c>
    </row>
    <row r="207" spans="1:63" ht="14.25" outlineLevel="1">
      <c r="A207" s="121">
        <f t="shared" si="13"/>
        <v>43659</v>
      </c>
      <c r="B207" s="207"/>
      <c r="C207" s="123">
        <v>7.9</v>
      </c>
      <c r="D207" s="124">
        <v>93.4</v>
      </c>
      <c r="E207" s="125">
        <v>201.8</v>
      </c>
      <c r="F207" s="126">
        <v>27</v>
      </c>
      <c r="G207" s="127">
        <f t="shared" si="0"/>
        <v>4014.8148148148148</v>
      </c>
      <c r="H207" s="128">
        <f t="shared" si="1"/>
        <v>0</v>
      </c>
      <c r="I207" s="129">
        <v>1</v>
      </c>
      <c r="J207" s="126">
        <v>4759</v>
      </c>
      <c r="K207" s="79">
        <f t="shared" si="2"/>
        <v>4759</v>
      </c>
      <c r="L207" s="128">
        <f t="shared" si="3"/>
        <v>0</v>
      </c>
      <c r="M207" s="130">
        <v>1</v>
      </c>
      <c r="N207" s="126">
        <v>1238</v>
      </c>
      <c r="O207" s="80">
        <f t="shared" si="4"/>
        <v>1238</v>
      </c>
      <c r="P207" s="81">
        <f t="shared" si="5"/>
        <v>0</v>
      </c>
      <c r="Q207" s="129">
        <v>20</v>
      </c>
      <c r="R207" s="131">
        <v>8.33</v>
      </c>
      <c r="S207" s="127">
        <f t="shared" si="6"/>
        <v>166.6</v>
      </c>
      <c r="T207" s="128">
        <f t="shared" si="7"/>
        <v>0</v>
      </c>
      <c r="U207" s="113"/>
      <c r="V207" s="81">
        <f t="shared" si="14"/>
        <v>0</v>
      </c>
      <c r="W207" s="132"/>
      <c r="X207" s="153"/>
      <c r="Y207" s="94"/>
      <c r="Z207" s="132"/>
      <c r="AA207" s="153"/>
      <c r="AB207" s="94"/>
      <c r="AC207" s="133"/>
      <c r="AD207" s="93" t="str">
        <f t="shared" si="8"/>
        <v/>
      </c>
      <c r="AE207" s="94" t="str">
        <f t="shared" si="9"/>
        <v/>
      </c>
      <c r="AF207" s="134" t="s">
        <v>85</v>
      </c>
      <c r="AG207" s="135">
        <v>0.01</v>
      </c>
      <c r="AH207" s="136" t="str">
        <f t="shared" si="10"/>
        <v/>
      </c>
      <c r="AI207" s="80"/>
      <c r="AJ207" s="154"/>
      <c r="AK207" s="100" t="str">
        <f t="shared" si="21"/>
        <v/>
      </c>
      <c r="AL207" s="138"/>
      <c r="AM207" s="113"/>
      <c r="AN207" s="103" t="str">
        <f t="shared" si="12"/>
        <v/>
      </c>
      <c r="AO207" s="139"/>
      <c r="AP207" s="140"/>
      <c r="AQ207" s="141" t="str">
        <f t="shared" si="15"/>
        <v/>
      </c>
      <c r="AR207" s="142"/>
      <c r="AS207" s="140"/>
      <c r="AT207" s="143" t="str">
        <f t="shared" si="16"/>
        <v/>
      </c>
      <c r="AU207" s="139"/>
      <c r="AV207" s="113"/>
      <c r="AW207" s="107" t="str">
        <f t="shared" si="17"/>
        <v/>
      </c>
      <c r="AX207" s="113"/>
      <c r="AY207" s="113"/>
      <c r="AZ207" s="144" t="str">
        <f t="shared" si="18"/>
        <v/>
      </c>
      <c r="BA207" s="80"/>
      <c r="BB207" s="140"/>
      <c r="BC207" s="145" t="str">
        <f t="shared" si="19"/>
        <v/>
      </c>
      <c r="BD207" s="113"/>
      <c r="BE207" s="114"/>
      <c r="BF207" s="146" t="str">
        <f t="shared" si="20"/>
        <v/>
      </c>
      <c r="BG207" s="147" t="s">
        <v>84</v>
      </c>
      <c r="BH207" s="148"/>
      <c r="BI207" s="156"/>
      <c r="BJ207" s="150">
        <f>'Degrémont sortie'!BI207</f>
        <v>0</v>
      </c>
      <c r="BK207" s="151">
        <f>'Degrémont sortie'!BJ207</f>
        <v>0</v>
      </c>
    </row>
    <row r="208" spans="1:63" ht="14.25" outlineLevel="1">
      <c r="A208" s="152">
        <f t="shared" si="13"/>
        <v>43660</v>
      </c>
      <c r="B208" s="207"/>
      <c r="C208" s="123">
        <v>8</v>
      </c>
      <c r="D208" s="124">
        <v>93.6</v>
      </c>
      <c r="E208" s="125">
        <v>908.3</v>
      </c>
      <c r="F208" s="126">
        <v>25</v>
      </c>
      <c r="G208" s="127">
        <f t="shared" si="0"/>
        <v>32587.999999999996</v>
      </c>
      <c r="H208" s="128">
        <f t="shared" si="1"/>
        <v>0</v>
      </c>
      <c r="I208" s="129">
        <v>1</v>
      </c>
      <c r="J208" s="126">
        <v>32700</v>
      </c>
      <c r="K208" s="79">
        <f t="shared" si="2"/>
        <v>32700</v>
      </c>
      <c r="L208" s="128">
        <f t="shared" si="3"/>
        <v>0</v>
      </c>
      <c r="M208" s="130">
        <v>1</v>
      </c>
      <c r="N208" s="126">
        <v>1364</v>
      </c>
      <c r="O208" s="80">
        <f t="shared" si="4"/>
        <v>1364</v>
      </c>
      <c r="P208" s="81">
        <f t="shared" si="5"/>
        <v>0</v>
      </c>
      <c r="Q208" s="129">
        <v>100</v>
      </c>
      <c r="R208" s="131">
        <v>10.4</v>
      </c>
      <c r="S208" s="127">
        <f t="shared" si="6"/>
        <v>1040</v>
      </c>
      <c r="T208" s="128">
        <f t="shared" si="7"/>
        <v>0</v>
      </c>
      <c r="U208" s="113"/>
      <c r="V208" s="81">
        <f t="shared" si="14"/>
        <v>0</v>
      </c>
      <c r="W208" s="132"/>
      <c r="X208" s="153"/>
      <c r="Y208" s="94"/>
      <c r="Z208" s="132"/>
      <c r="AA208" s="153"/>
      <c r="AB208" s="94"/>
      <c r="AC208" s="133"/>
      <c r="AD208" s="93" t="str">
        <f t="shared" si="8"/>
        <v/>
      </c>
      <c r="AE208" s="94" t="str">
        <f t="shared" si="9"/>
        <v/>
      </c>
      <c r="AF208" s="134" t="s">
        <v>85</v>
      </c>
      <c r="AG208" s="135">
        <v>0.01</v>
      </c>
      <c r="AH208" s="136" t="str">
        <f t="shared" si="10"/>
        <v/>
      </c>
      <c r="AI208" s="80"/>
      <c r="AJ208" s="154"/>
      <c r="AK208" s="100" t="str">
        <f t="shared" si="21"/>
        <v/>
      </c>
      <c r="AL208" s="138"/>
      <c r="AM208" s="113"/>
      <c r="AN208" s="103" t="str">
        <f t="shared" si="12"/>
        <v/>
      </c>
      <c r="AO208" s="139"/>
      <c r="AP208" s="140"/>
      <c r="AQ208" s="141" t="str">
        <f t="shared" si="15"/>
        <v/>
      </c>
      <c r="AR208" s="142"/>
      <c r="AS208" s="140"/>
      <c r="AT208" s="143" t="str">
        <f t="shared" si="16"/>
        <v/>
      </c>
      <c r="AU208" s="139"/>
      <c r="AV208" s="113"/>
      <c r="AW208" s="107" t="str">
        <f t="shared" si="17"/>
        <v/>
      </c>
      <c r="AX208" s="113"/>
      <c r="AY208" s="113"/>
      <c r="AZ208" s="144" t="str">
        <f t="shared" si="18"/>
        <v/>
      </c>
      <c r="BA208" s="80"/>
      <c r="BB208" s="140"/>
      <c r="BC208" s="145" t="str">
        <f t="shared" si="19"/>
        <v/>
      </c>
      <c r="BD208" s="113"/>
      <c r="BE208" s="114"/>
      <c r="BF208" s="146" t="str">
        <f t="shared" si="20"/>
        <v/>
      </c>
      <c r="BG208" s="147" t="s">
        <v>84</v>
      </c>
      <c r="BH208" s="148"/>
      <c r="BI208" s="156"/>
      <c r="BJ208" s="150">
        <f>'Degrémont sortie'!BI208</f>
        <v>0</v>
      </c>
      <c r="BK208" s="151">
        <f>'Degrémont sortie'!BJ208</f>
        <v>0</v>
      </c>
    </row>
    <row r="209" spans="1:63" ht="14.25" outlineLevel="1">
      <c r="A209" s="121">
        <f t="shared" si="13"/>
        <v>43661</v>
      </c>
      <c r="B209" s="207"/>
      <c r="C209" s="123">
        <v>7.8</v>
      </c>
      <c r="D209" s="124">
        <v>92.8</v>
      </c>
      <c r="E209" s="125">
        <v>311.2</v>
      </c>
      <c r="F209" s="126">
        <v>30</v>
      </c>
      <c r="G209" s="127">
        <f t="shared" si="0"/>
        <v>7279.9999999999991</v>
      </c>
      <c r="H209" s="128">
        <f t="shared" si="1"/>
        <v>0</v>
      </c>
      <c r="I209" s="129">
        <v>1</v>
      </c>
      <c r="J209" s="126">
        <v>6673</v>
      </c>
      <c r="K209" s="79">
        <f t="shared" si="2"/>
        <v>6673</v>
      </c>
      <c r="L209" s="128">
        <f t="shared" si="3"/>
        <v>0</v>
      </c>
      <c r="M209" s="130">
        <v>1</v>
      </c>
      <c r="N209" s="126">
        <v>674</v>
      </c>
      <c r="O209" s="80">
        <f t="shared" si="4"/>
        <v>674</v>
      </c>
      <c r="P209" s="81">
        <f t="shared" si="5"/>
        <v>0</v>
      </c>
      <c r="Q209" s="129">
        <v>20</v>
      </c>
      <c r="R209" s="131">
        <v>12.8</v>
      </c>
      <c r="S209" s="127">
        <f t="shared" si="6"/>
        <v>256</v>
      </c>
      <c r="T209" s="128">
        <f t="shared" si="7"/>
        <v>0</v>
      </c>
      <c r="U209" s="113"/>
      <c r="V209" s="81">
        <f t="shared" si="14"/>
        <v>0</v>
      </c>
      <c r="W209" s="132"/>
      <c r="X209" s="153"/>
      <c r="Y209" s="94"/>
      <c r="Z209" s="132"/>
      <c r="AA209" s="153"/>
      <c r="AB209" s="94"/>
      <c r="AC209" s="133"/>
      <c r="AD209" s="93" t="str">
        <f t="shared" si="8"/>
        <v/>
      </c>
      <c r="AE209" s="94" t="str">
        <f t="shared" si="9"/>
        <v/>
      </c>
      <c r="AF209" s="134" t="s">
        <v>85</v>
      </c>
      <c r="AG209" s="135">
        <v>0.01</v>
      </c>
      <c r="AH209" s="136" t="str">
        <f t="shared" si="10"/>
        <v/>
      </c>
      <c r="AI209" s="80"/>
      <c r="AJ209" s="154"/>
      <c r="AK209" s="100" t="str">
        <f t="shared" si="21"/>
        <v/>
      </c>
      <c r="AL209" s="138"/>
      <c r="AM209" s="113"/>
      <c r="AN209" s="103" t="str">
        <f t="shared" si="12"/>
        <v/>
      </c>
      <c r="AO209" s="139"/>
      <c r="AP209" s="140"/>
      <c r="AQ209" s="141" t="str">
        <f t="shared" si="15"/>
        <v/>
      </c>
      <c r="AR209" s="142"/>
      <c r="AS209" s="140"/>
      <c r="AT209" s="143" t="str">
        <f t="shared" si="16"/>
        <v/>
      </c>
      <c r="AU209" s="139"/>
      <c r="AV209" s="113"/>
      <c r="AW209" s="107" t="str">
        <f t="shared" si="17"/>
        <v/>
      </c>
      <c r="AX209" s="113"/>
      <c r="AY209" s="113"/>
      <c r="AZ209" s="144" t="str">
        <f t="shared" si="18"/>
        <v/>
      </c>
      <c r="BA209" s="80"/>
      <c r="BB209" s="140"/>
      <c r="BC209" s="145" t="str">
        <f t="shared" si="19"/>
        <v/>
      </c>
      <c r="BD209" s="113"/>
      <c r="BE209" s="114"/>
      <c r="BF209" s="146" t="str">
        <f t="shared" si="20"/>
        <v/>
      </c>
      <c r="BG209" s="147" t="s">
        <v>84</v>
      </c>
      <c r="BH209" s="148"/>
      <c r="BI209" s="156"/>
      <c r="BJ209" s="150">
        <f>'Degrémont sortie'!BI209</f>
        <v>0</v>
      </c>
      <c r="BK209" s="151">
        <f>'Degrémont sortie'!BJ209</f>
        <v>0</v>
      </c>
    </row>
    <row r="210" spans="1:63" ht="14.25" outlineLevel="1">
      <c r="A210" s="152">
        <f t="shared" si="13"/>
        <v>43662</v>
      </c>
      <c r="B210" s="122">
        <v>1149</v>
      </c>
      <c r="C210" s="123">
        <v>8.3000000000000007</v>
      </c>
      <c r="D210" s="124">
        <v>88.4</v>
      </c>
      <c r="E210" s="125">
        <v>266.39999999999998</v>
      </c>
      <c r="F210" s="126">
        <v>27</v>
      </c>
      <c r="G210" s="127">
        <f t="shared" si="0"/>
        <v>6592.5925925925912</v>
      </c>
      <c r="H210" s="128">
        <f t="shared" si="1"/>
        <v>7574.8888888888869</v>
      </c>
      <c r="I210" s="129">
        <v>1</v>
      </c>
      <c r="J210" s="126">
        <v>5924</v>
      </c>
      <c r="K210" s="79">
        <f t="shared" si="2"/>
        <v>5924</v>
      </c>
      <c r="L210" s="128">
        <f t="shared" si="3"/>
        <v>6806.6760000000004</v>
      </c>
      <c r="M210" s="130">
        <v>1</v>
      </c>
      <c r="N210" s="80"/>
      <c r="O210" s="80" t="str">
        <f t="shared" si="4"/>
        <v/>
      </c>
      <c r="P210" s="81" t="e">
        <f t="shared" si="5"/>
        <v>#VALUE!</v>
      </c>
      <c r="Q210" s="129">
        <v>20</v>
      </c>
      <c r="R210" s="131">
        <v>40.5</v>
      </c>
      <c r="S210" s="127">
        <f t="shared" si="6"/>
        <v>810</v>
      </c>
      <c r="T210" s="128">
        <f t="shared" si="7"/>
        <v>930.69</v>
      </c>
      <c r="U210" s="131">
        <v>146</v>
      </c>
      <c r="V210" s="81">
        <f t="shared" si="14"/>
        <v>167.75399999999999</v>
      </c>
      <c r="W210" s="132"/>
      <c r="X210" s="153"/>
      <c r="Y210" s="94"/>
      <c r="Z210" s="132"/>
      <c r="AA210" s="153"/>
      <c r="AB210" s="94"/>
      <c r="AC210" s="133"/>
      <c r="AD210" s="93" t="str">
        <f t="shared" si="8"/>
        <v/>
      </c>
      <c r="AE210" s="94" t="e">
        <f t="shared" si="9"/>
        <v>#VALUE!</v>
      </c>
      <c r="AF210" s="134" t="s">
        <v>85</v>
      </c>
      <c r="AG210" s="135">
        <v>0.01</v>
      </c>
      <c r="AH210" s="136">
        <f t="shared" si="10"/>
        <v>5.7450000000000001E-3</v>
      </c>
      <c r="AI210" s="80"/>
      <c r="AJ210" s="154"/>
      <c r="AK210" s="100" t="str">
        <f t="shared" si="21"/>
        <v/>
      </c>
      <c r="AL210" s="138"/>
      <c r="AM210" s="131">
        <v>180</v>
      </c>
      <c r="AN210" s="103">
        <f t="shared" si="12"/>
        <v>398.52</v>
      </c>
      <c r="AO210" s="139"/>
      <c r="AP210" s="155">
        <v>312.41000000000003</v>
      </c>
      <c r="AQ210" s="141">
        <f t="shared" si="15"/>
        <v>691.67574000000002</v>
      </c>
      <c r="AR210" s="142"/>
      <c r="AS210" s="155">
        <v>1.96</v>
      </c>
      <c r="AT210" s="143">
        <f t="shared" si="16"/>
        <v>4.3394399999999997</v>
      </c>
      <c r="AU210" s="139"/>
      <c r="AV210" s="131">
        <v>55.05</v>
      </c>
      <c r="AW210" s="107">
        <f t="shared" si="17"/>
        <v>121.88069999999999</v>
      </c>
      <c r="AX210" s="113"/>
      <c r="AY210" s="131">
        <v>460.5</v>
      </c>
      <c r="AZ210" s="144">
        <f t="shared" si="18"/>
        <v>1019.547</v>
      </c>
      <c r="BA210" s="126" t="s">
        <v>85</v>
      </c>
      <c r="BB210" s="155">
        <v>0.15</v>
      </c>
      <c r="BC210" s="145">
        <f t="shared" si="19"/>
        <v>0.16605</v>
      </c>
      <c r="BD210" s="131" t="s">
        <v>85</v>
      </c>
      <c r="BE210" s="158">
        <v>0.13</v>
      </c>
      <c r="BF210" s="146">
        <f t="shared" si="20"/>
        <v>0.14391000000000001</v>
      </c>
      <c r="BG210" s="147" t="s">
        <v>84</v>
      </c>
      <c r="BH210" s="148"/>
      <c r="BI210" s="156"/>
      <c r="BJ210" s="150">
        <f>'Degrémont sortie'!BI210</f>
        <v>0</v>
      </c>
      <c r="BK210" s="151">
        <f>'Degrémont sortie'!BJ210</f>
        <v>0</v>
      </c>
    </row>
    <row r="211" spans="1:63" ht="14.25" outlineLevel="1">
      <c r="A211" s="121">
        <f t="shared" si="13"/>
        <v>43663</v>
      </c>
      <c r="B211" s="122">
        <v>1065</v>
      </c>
      <c r="C211" s="123">
        <v>8.6999999999999993</v>
      </c>
      <c r="D211" s="124">
        <v>88.8</v>
      </c>
      <c r="E211" s="125">
        <v>304.3</v>
      </c>
      <c r="F211" s="126">
        <v>28</v>
      </c>
      <c r="G211" s="127">
        <f t="shared" si="0"/>
        <v>7696.4285714285716</v>
      </c>
      <c r="H211" s="128">
        <f t="shared" si="1"/>
        <v>8196.6964285714294</v>
      </c>
      <c r="I211" s="129">
        <v>1</v>
      </c>
      <c r="J211" s="126">
        <v>6636</v>
      </c>
      <c r="K211" s="79">
        <f t="shared" si="2"/>
        <v>6636</v>
      </c>
      <c r="L211" s="128">
        <f t="shared" si="3"/>
        <v>7067.34</v>
      </c>
      <c r="M211" s="130">
        <v>1</v>
      </c>
      <c r="N211" s="126">
        <v>623</v>
      </c>
      <c r="O211" s="80">
        <f t="shared" si="4"/>
        <v>623</v>
      </c>
      <c r="P211" s="81">
        <f t="shared" si="5"/>
        <v>663.495</v>
      </c>
      <c r="Q211" s="129">
        <v>20</v>
      </c>
      <c r="R211" s="131">
        <v>12</v>
      </c>
      <c r="S211" s="127">
        <f t="shared" si="6"/>
        <v>240</v>
      </c>
      <c r="T211" s="128">
        <f t="shared" si="7"/>
        <v>255.6</v>
      </c>
      <c r="U211" s="113"/>
      <c r="V211" s="81">
        <f t="shared" si="14"/>
        <v>0</v>
      </c>
      <c r="W211" s="132"/>
      <c r="X211" s="153"/>
      <c r="Y211" s="94"/>
      <c r="Z211" s="132"/>
      <c r="AA211" s="153"/>
      <c r="AB211" s="94"/>
      <c r="AC211" s="133"/>
      <c r="AD211" s="93" t="str">
        <f t="shared" si="8"/>
        <v/>
      </c>
      <c r="AE211" s="94" t="e">
        <f t="shared" si="9"/>
        <v>#VALUE!</v>
      </c>
      <c r="AF211" s="134" t="s">
        <v>85</v>
      </c>
      <c r="AG211" s="135">
        <v>0.01</v>
      </c>
      <c r="AH211" s="136">
        <f t="shared" si="10"/>
        <v>5.3249999999999999E-3</v>
      </c>
      <c r="AI211" s="80"/>
      <c r="AJ211" s="154"/>
      <c r="AK211" s="100" t="str">
        <f t="shared" si="21"/>
        <v/>
      </c>
      <c r="AL211" s="138"/>
      <c r="AM211" s="113"/>
      <c r="AN211" s="103" t="str">
        <f t="shared" si="12"/>
        <v/>
      </c>
      <c r="AO211" s="139"/>
      <c r="AP211" s="140"/>
      <c r="AQ211" s="141" t="str">
        <f t="shared" si="15"/>
        <v/>
      </c>
      <c r="AR211" s="142"/>
      <c r="AS211" s="140"/>
      <c r="AT211" s="143" t="str">
        <f t="shared" si="16"/>
        <v/>
      </c>
      <c r="AU211" s="139"/>
      <c r="AV211" s="113"/>
      <c r="AW211" s="107" t="str">
        <f t="shared" si="17"/>
        <v/>
      </c>
      <c r="AX211" s="113"/>
      <c r="AY211" s="113"/>
      <c r="AZ211" s="144" t="str">
        <f t="shared" si="18"/>
        <v/>
      </c>
      <c r="BA211" s="80"/>
      <c r="BB211" s="140"/>
      <c r="BC211" s="145" t="str">
        <f t="shared" si="19"/>
        <v/>
      </c>
      <c r="BD211" s="113"/>
      <c r="BE211" s="114"/>
      <c r="BF211" s="146" t="str">
        <f t="shared" si="20"/>
        <v/>
      </c>
      <c r="BG211" s="147" t="s">
        <v>84</v>
      </c>
      <c r="BH211" s="148"/>
      <c r="BI211" s="156"/>
      <c r="BJ211" s="150">
        <f>'Degrémont sortie'!BI211</f>
        <v>0</v>
      </c>
      <c r="BK211" s="151">
        <f>'Degrémont sortie'!BJ211</f>
        <v>0</v>
      </c>
    </row>
    <row r="212" spans="1:63" ht="14.25" outlineLevel="1">
      <c r="A212" s="152">
        <f t="shared" si="13"/>
        <v>43664</v>
      </c>
      <c r="B212" s="122">
        <v>1028</v>
      </c>
      <c r="C212" s="123">
        <v>8.1</v>
      </c>
      <c r="D212" s="124">
        <v>89</v>
      </c>
      <c r="E212" s="125">
        <v>277</v>
      </c>
      <c r="F212" s="126">
        <v>26</v>
      </c>
      <c r="G212" s="127">
        <f t="shared" si="0"/>
        <v>7230.7692307692305</v>
      </c>
      <c r="H212" s="128">
        <f t="shared" si="1"/>
        <v>7433.2307692307686</v>
      </c>
      <c r="I212" s="129">
        <v>1</v>
      </c>
      <c r="J212" s="126">
        <v>6342</v>
      </c>
      <c r="K212" s="79">
        <f t="shared" si="2"/>
        <v>6342</v>
      </c>
      <c r="L212" s="128">
        <f t="shared" si="3"/>
        <v>6519.576</v>
      </c>
      <c r="M212" s="130">
        <v>1</v>
      </c>
      <c r="N212" s="126">
        <v>491</v>
      </c>
      <c r="O212" s="80">
        <f t="shared" si="4"/>
        <v>491</v>
      </c>
      <c r="P212" s="81">
        <f t="shared" si="5"/>
        <v>504.74799999999999</v>
      </c>
      <c r="Q212" s="129">
        <v>20</v>
      </c>
      <c r="R212" s="131">
        <v>11</v>
      </c>
      <c r="S212" s="127">
        <f t="shared" si="6"/>
        <v>220</v>
      </c>
      <c r="T212" s="128">
        <f t="shared" si="7"/>
        <v>226.16</v>
      </c>
      <c r="U212" s="113"/>
      <c r="V212" s="81">
        <f t="shared" si="14"/>
        <v>0</v>
      </c>
      <c r="W212" s="132"/>
      <c r="X212" s="153"/>
      <c r="Y212" s="94"/>
      <c r="Z212" s="132"/>
      <c r="AA212" s="153"/>
      <c r="AB212" s="94"/>
      <c r="AC212" s="133"/>
      <c r="AD212" s="93" t="str">
        <f t="shared" si="8"/>
        <v/>
      </c>
      <c r="AE212" s="94" t="e">
        <f t="shared" si="9"/>
        <v>#VALUE!</v>
      </c>
      <c r="AF212" s="134" t="s">
        <v>85</v>
      </c>
      <c r="AG212" s="135">
        <v>0.01</v>
      </c>
      <c r="AH212" s="136">
        <f t="shared" si="10"/>
        <v>5.1399999999999996E-3</v>
      </c>
      <c r="AI212" s="80"/>
      <c r="AJ212" s="154"/>
      <c r="AK212" s="100" t="str">
        <f t="shared" si="21"/>
        <v/>
      </c>
      <c r="AL212" s="138"/>
      <c r="AM212" s="113"/>
      <c r="AN212" s="103" t="str">
        <f t="shared" si="12"/>
        <v/>
      </c>
      <c r="AO212" s="139"/>
      <c r="AP212" s="140"/>
      <c r="AQ212" s="141" t="str">
        <f t="shared" si="15"/>
        <v/>
      </c>
      <c r="AR212" s="142"/>
      <c r="AS212" s="140"/>
      <c r="AT212" s="143" t="str">
        <f t="shared" si="16"/>
        <v/>
      </c>
      <c r="AU212" s="139"/>
      <c r="AV212" s="113"/>
      <c r="AW212" s="107" t="str">
        <f t="shared" si="17"/>
        <v/>
      </c>
      <c r="AX212" s="113"/>
      <c r="AY212" s="113"/>
      <c r="AZ212" s="144" t="str">
        <f t="shared" si="18"/>
        <v/>
      </c>
      <c r="BA212" s="80"/>
      <c r="BB212" s="140"/>
      <c r="BC212" s="145" t="str">
        <f t="shared" si="19"/>
        <v/>
      </c>
      <c r="BD212" s="113"/>
      <c r="BE212" s="114"/>
      <c r="BF212" s="146" t="str">
        <f t="shared" si="20"/>
        <v/>
      </c>
      <c r="BG212" s="147" t="s">
        <v>84</v>
      </c>
      <c r="BH212" s="148"/>
      <c r="BI212" s="156"/>
      <c r="BJ212" s="150">
        <f>'Degrémont sortie'!BI212</f>
        <v>0</v>
      </c>
      <c r="BK212" s="151">
        <f>'Degrémont sortie'!BJ212</f>
        <v>0</v>
      </c>
    </row>
    <row r="213" spans="1:63" ht="15.75" customHeight="1" outlineLevel="1">
      <c r="A213" s="121">
        <f t="shared" si="13"/>
        <v>43665</v>
      </c>
      <c r="B213" s="122">
        <v>1014</v>
      </c>
      <c r="C213" s="123">
        <v>8</v>
      </c>
      <c r="D213" s="124">
        <v>87.7</v>
      </c>
      <c r="E213" s="125">
        <v>315.89999999999998</v>
      </c>
      <c r="F213" s="126">
        <v>27</v>
      </c>
      <c r="G213" s="127">
        <f t="shared" si="0"/>
        <v>8451.8518518518522</v>
      </c>
      <c r="H213" s="128">
        <f t="shared" si="1"/>
        <v>8570.1777777777788</v>
      </c>
      <c r="I213" s="129">
        <v>1</v>
      </c>
      <c r="J213" s="126">
        <v>7473</v>
      </c>
      <c r="K213" s="79">
        <f t="shared" si="2"/>
        <v>7473</v>
      </c>
      <c r="L213" s="128">
        <f t="shared" si="3"/>
        <v>7577.6220000000003</v>
      </c>
      <c r="M213" s="130">
        <v>1</v>
      </c>
      <c r="N213" s="126">
        <v>605</v>
      </c>
      <c r="O213" s="80">
        <f t="shared" si="4"/>
        <v>605</v>
      </c>
      <c r="P213" s="81">
        <f t="shared" si="5"/>
        <v>613.47</v>
      </c>
      <c r="Q213" s="129">
        <v>20</v>
      </c>
      <c r="R213" s="131">
        <v>15</v>
      </c>
      <c r="S213" s="127">
        <f t="shared" si="6"/>
        <v>300</v>
      </c>
      <c r="T213" s="128">
        <f t="shared" si="7"/>
        <v>304.2</v>
      </c>
      <c r="U213" s="113"/>
      <c r="V213" s="81">
        <f t="shared" si="14"/>
        <v>0</v>
      </c>
      <c r="W213" s="132"/>
      <c r="X213" s="153"/>
      <c r="Y213" s="94"/>
      <c r="Z213" s="132"/>
      <c r="AA213" s="153"/>
      <c r="AB213" s="94"/>
      <c r="AC213" s="133"/>
      <c r="AD213" s="93" t="str">
        <f t="shared" si="8"/>
        <v/>
      </c>
      <c r="AE213" s="94" t="e">
        <f t="shared" si="9"/>
        <v>#VALUE!</v>
      </c>
      <c r="AF213" s="134" t="s">
        <v>85</v>
      </c>
      <c r="AG213" s="135">
        <v>0.01</v>
      </c>
      <c r="AH213" s="136">
        <f t="shared" si="10"/>
        <v>5.0699999999999999E-3</v>
      </c>
      <c r="AI213" s="80"/>
      <c r="AJ213" s="154"/>
      <c r="AK213" s="100" t="str">
        <f t="shared" si="21"/>
        <v/>
      </c>
      <c r="AL213" s="138"/>
      <c r="AM213" s="113"/>
      <c r="AN213" s="103" t="str">
        <f t="shared" si="12"/>
        <v/>
      </c>
      <c r="AO213" s="139"/>
      <c r="AP213" s="140"/>
      <c r="AQ213" s="141" t="str">
        <f t="shared" si="15"/>
        <v/>
      </c>
      <c r="AR213" s="142"/>
      <c r="AS213" s="140"/>
      <c r="AT213" s="143" t="str">
        <f t="shared" si="16"/>
        <v/>
      </c>
      <c r="AU213" s="139"/>
      <c r="AV213" s="113"/>
      <c r="AW213" s="107" t="str">
        <f t="shared" si="17"/>
        <v/>
      </c>
      <c r="AX213" s="113"/>
      <c r="AY213" s="113"/>
      <c r="AZ213" s="144" t="str">
        <f t="shared" si="18"/>
        <v/>
      </c>
      <c r="BA213" s="80"/>
      <c r="BB213" s="140"/>
      <c r="BC213" s="145" t="str">
        <f t="shared" si="19"/>
        <v/>
      </c>
      <c r="BD213" s="113"/>
      <c r="BE213" s="114"/>
      <c r="BF213" s="146" t="str">
        <f t="shared" si="20"/>
        <v/>
      </c>
      <c r="BG213" s="147" t="s">
        <v>84</v>
      </c>
      <c r="BH213" s="148"/>
      <c r="BI213" s="156"/>
      <c r="BJ213" s="150">
        <f>'Degrémont sortie'!BI213</f>
        <v>0</v>
      </c>
      <c r="BK213" s="151">
        <f>'Degrémont sortie'!BJ213</f>
        <v>0</v>
      </c>
    </row>
    <row r="214" spans="1:63" ht="15.75" customHeight="1" outlineLevel="1">
      <c r="A214" s="152">
        <f t="shared" si="13"/>
        <v>43666</v>
      </c>
      <c r="B214" s="122">
        <v>493</v>
      </c>
      <c r="C214" s="123">
        <v>8</v>
      </c>
      <c r="D214" s="124">
        <v>95.4</v>
      </c>
      <c r="E214" s="125">
        <v>349.7</v>
      </c>
      <c r="F214" s="126">
        <v>33</v>
      </c>
      <c r="G214" s="127">
        <f t="shared" si="0"/>
        <v>7706.0606060606051</v>
      </c>
      <c r="H214" s="128">
        <f t="shared" si="1"/>
        <v>3799.0878787878783</v>
      </c>
      <c r="I214" s="129">
        <v>1</v>
      </c>
      <c r="J214" s="126">
        <v>7596</v>
      </c>
      <c r="K214" s="79">
        <f t="shared" si="2"/>
        <v>7596</v>
      </c>
      <c r="L214" s="128">
        <f t="shared" si="3"/>
        <v>3744.828</v>
      </c>
      <c r="M214" s="130">
        <v>1</v>
      </c>
      <c r="N214" s="126">
        <v>588</v>
      </c>
      <c r="O214" s="80">
        <f t="shared" si="4"/>
        <v>588</v>
      </c>
      <c r="P214" s="81">
        <f t="shared" si="5"/>
        <v>289.88400000000001</v>
      </c>
      <c r="Q214" s="129">
        <v>20</v>
      </c>
      <c r="R214" s="131">
        <v>12</v>
      </c>
      <c r="S214" s="127">
        <f t="shared" si="6"/>
        <v>240</v>
      </c>
      <c r="T214" s="128">
        <f t="shared" si="7"/>
        <v>118.32</v>
      </c>
      <c r="U214" s="113"/>
      <c r="V214" s="81">
        <f t="shared" si="14"/>
        <v>0</v>
      </c>
      <c r="W214" s="132"/>
      <c r="X214" s="153"/>
      <c r="Y214" s="94"/>
      <c r="Z214" s="132"/>
      <c r="AA214" s="153"/>
      <c r="AB214" s="94"/>
      <c r="AC214" s="133"/>
      <c r="AD214" s="93" t="str">
        <f t="shared" si="8"/>
        <v/>
      </c>
      <c r="AE214" s="94" t="e">
        <f t="shared" si="9"/>
        <v>#VALUE!</v>
      </c>
      <c r="AF214" s="134" t="s">
        <v>85</v>
      </c>
      <c r="AG214" s="135">
        <v>0.01</v>
      </c>
      <c r="AH214" s="136">
        <f t="shared" si="10"/>
        <v>2.4649999999999997E-3</v>
      </c>
      <c r="AI214" s="80"/>
      <c r="AJ214" s="154"/>
      <c r="AK214" s="100" t="str">
        <f t="shared" si="21"/>
        <v/>
      </c>
      <c r="AL214" s="138"/>
      <c r="AM214" s="113"/>
      <c r="AN214" s="103" t="str">
        <f t="shared" si="12"/>
        <v/>
      </c>
      <c r="AO214" s="139"/>
      <c r="AP214" s="140"/>
      <c r="AQ214" s="141" t="str">
        <f t="shared" si="15"/>
        <v/>
      </c>
      <c r="AR214" s="142"/>
      <c r="AS214" s="140"/>
      <c r="AT214" s="143" t="str">
        <f t="shared" si="16"/>
        <v/>
      </c>
      <c r="AU214" s="139"/>
      <c r="AV214" s="113"/>
      <c r="AW214" s="107" t="str">
        <f t="shared" si="17"/>
        <v/>
      </c>
      <c r="AX214" s="113"/>
      <c r="AY214" s="113"/>
      <c r="AZ214" s="144" t="str">
        <f t="shared" si="18"/>
        <v/>
      </c>
      <c r="BA214" s="80"/>
      <c r="BB214" s="140"/>
      <c r="BC214" s="145" t="str">
        <f t="shared" si="19"/>
        <v/>
      </c>
      <c r="BD214" s="113"/>
      <c r="BE214" s="114"/>
      <c r="BF214" s="146" t="str">
        <f t="shared" si="20"/>
        <v/>
      </c>
      <c r="BG214" s="147" t="s">
        <v>84</v>
      </c>
      <c r="BH214" s="148"/>
      <c r="BI214" s="156"/>
      <c r="BJ214" s="150">
        <f>'Degrémont sortie'!BI214</f>
        <v>0</v>
      </c>
      <c r="BK214" s="151">
        <f>'Degrémont sortie'!BJ214</f>
        <v>0</v>
      </c>
    </row>
    <row r="215" spans="1:63" ht="15.75" customHeight="1" outlineLevel="1">
      <c r="A215" s="121">
        <f t="shared" si="13"/>
        <v>43667</v>
      </c>
      <c r="B215" s="207"/>
      <c r="C215" s="208"/>
      <c r="D215" s="210"/>
      <c r="E215" s="211"/>
      <c r="F215" s="80"/>
      <c r="G215" s="127">
        <f t="shared" si="0"/>
        <v>0</v>
      </c>
      <c r="H215" s="128">
        <f t="shared" si="1"/>
        <v>0</v>
      </c>
      <c r="I215" s="129">
        <v>1</v>
      </c>
      <c r="J215" s="80"/>
      <c r="K215" s="79">
        <f t="shared" si="2"/>
        <v>0</v>
      </c>
      <c r="L215" s="128">
        <f t="shared" si="3"/>
        <v>0</v>
      </c>
      <c r="M215" s="130">
        <v>1</v>
      </c>
      <c r="N215" s="80"/>
      <c r="O215" s="80" t="str">
        <f t="shared" si="4"/>
        <v/>
      </c>
      <c r="P215" s="81">
        <f t="shared" si="5"/>
        <v>0</v>
      </c>
      <c r="Q215" s="213"/>
      <c r="R215" s="113"/>
      <c r="S215" s="127" t="str">
        <f t="shared" si="6"/>
        <v/>
      </c>
      <c r="T215" s="128">
        <f t="shared" si="7"/>
        <v>0</v>
      </c>
      <c r="U215" s="113"/>
      <c r="V215" s="81">
        <f t="shared" si="14"/>
        <v>0</v>
      </c>
      <c r="W215" s="132"/>
      <c r="X215" s="153"/>
      <c r="Y215" s="94"/>
      <c r="Z215" s="132"/>
      <c r="AA215" s="153"/>
      <c r="AB215" s="94"/>
      <c r="AC215" s="133"/>
      <c r="AD215" s="93" t="str">
        <f t="shared" si="8"/>
        <v/>
      </c>
      <c r="AE215" s="94" t="str">
        <f t="shared" si="9"/>
        <v/>
      </c>
      <c r="AF215" s="134" t="s">
        <v>85</v>
      </c>
      <c r="AG215" s="135">
        <v>0.01</v>
      </c>
      <c r="AH215" s="136" t="str">
        <f t="shared" si="10"/>
        <v/>
      </c>
      <c r="AI215" s="80"/>
      <c r="AJ215" s="154"/>
      <c r="AK215" s="100" t="str">
        <f t="shared" si="21"/>
        <v/>
      </c>
      <c r="AL215" s="138"/>
      <c r="AM215" s="113"/>
      <c r="AN215" s="103" t="str">
        <f t="shared" si="12"/>
        <v/>
      </c>
      <c r="AO215" s="139"/>
      <c r="AP215" s="140"/>
      <c r="AQ215" s="141" t="str">
        <f t="shared" si="15"/>
        <v/>
      </c>
      <c r="AR215" s="142"/>
      <c r="AS215" s="140"/>
      <c r="AT215" s="143" t="str">
        <f t="shared" si="16"/>
        <v/>
      </c>
      <c r="AU215" s="139"/>
      <c r="AV215" s="113"/>
      <c r="AW215" s="107" t="str">
        <f t="shared" si="17"/>
        <v/>
      </c>
      <c r="AX215" s="113"/>
      <c r="AY215" s="113"/>
      <c r="AZ215" s="144" t="str">
        <f t="shared" si="18"/>
        <v/>
      </c>
      <c r="BA215" s="80"/>
      <c r="BB215" s="140"/>
      <c r="BC215" s="145" t="str">
        <f t="shared" si="19"/>
        <v/>
      </c>
      <c r="BD215" s="113"/>
      <c r="BE215" s="114"/>
      <c r="BF215" s="146" t="str">
        <f t="shared" si="20"/>
        <v/>
      </c>
      <c r="BG215" s="147" t="s">
        <v>84</v>
      </c>
      <c r="BH215" s="148"/>
      <c r="BI215" s="156"/>
      <c r="BJ215" s="150">
        <f>'Degrémont sortie'!BI215</f>
        <v>0</v>
      </c>
      <c r="BK215" s="151">
        <f>'Degrémont sortie'!BJ215</f>
        <v>0</v>
      </c>
    </row>
    <row r="216" spans="1:63" ht="15.75" customHeight="1" outlineLevel="1">
      <c r="A216" s="152">
        <f t="shared" si="13"/>
        <v>43668</v>
      </c>
      <c r="B216" s="122">
        <v>928</v>
      </c>
      <c r="C216" s="123">
        <v>7.9</v>
      </c>
      <c r="D216" s="124">
        <v>89.4</v>
      </c>
      <c r="E216" s="125">
        <v>243.6</v>
      </c>
      <c r="F216" s="126">
        <v>29</v>
      </c>
      <c r="G216" s="127">
        <f t="shared" si="0"/>
        <v>5317.2413793103451</v>
      </c>
      <c r="H216" s="128">
        <f t="shared" si="1"/>
        <v>4934.3999999999996</v>
      </c>
      <c r="I216" s="129">
        <v>1</v>
      </c>
      <c r="J216" s="126">
        <v>5081</v>
      </c>
      <c r="K216" s="79">
        <f t="shared" si="2"/>
        <v>5081</v>
      </c>
      <c r="L216" s="128">
        <f t="shared" si="3"/>
        <v>4715.1679999999997</v>
      </c>
      <c r="M216" s="130">
        <v>1</v>
      </c>
      <c r="N216" s="126">
        <v>509</v>
      </c>
      <c r="O216" s="80">
        <f t="shared" si="4"/>
        <v>509</v>
      </c>
      <c r="P216" s="81">
        <f t="shared" si="5"/>
        <v>472.35199999999998</v>
      </c>
      <c r="Q216" s="129">
        <v>20</v>
      </c>
      <c r="R216" s="131">
        <v>8.74</v>
      </c>
      <c r="S216" s="127">
        <f t="shared" si="6"/>
        <v>174.8</v>
      </c>
      <c r="T216" s="128">
        <f t="shared" si="7"/>
        <v>162.21440000000001</v>
      </c>
      <c r="U216" s="113"/>
      <c r="V216" s="81">
        <f t="shared" si="14"/>
        <v>0</v>
      </c>
      <c r="W216" s="132"/>
      <c r="X216" s="153"/>
      <c r="Y216" s="94"/>
      <c r="Z216" s="132"/>
      <c r="AA216" s="153"/>
      <c r="AB216" s="94"/>
      <c r="AC216" s="133"/>
      <c r="AD216" s="93" t="str">
        <f t="shared" si="8"/>
        <v/>
      </c>
      <c r="AE216" s="94" t="e">
        <f t="shared" si="9"/>
        <v>#VALUE!</v>
      </c>
      <c r="AF216" s="134" t="s">
        <v>85</v>
      </c>
      <c r="AG216" s="135">
        <v>0.01</v>
      </c>
      <c r="AH216" s="136">
        <f t="shared" si="10"/>
        <v>4.64E-3</v>
      </c>
      <c r="AI216" s="80"/>
      <c r="AJ216" s="154"/>
      <c r="AK216" s="100" t="str">
        <f t="shared" si="21"/>
        <v/>
      </c>
      <c r="AL216" s="138"/>
      <c r="AM216" s="113"/>
      <c r="AN216" s="103" t="str">
        <f t="shared" si="12"/>
        <v/>
      </c>
      <c r="AO216" s="139"/>
      <c r="AP216" s="140"/>
      <c r="AQ216" s="141" t="str">
        <f t="shared" si="15"/>
        <v/>
      </c>
      <c r="AR216" s="142"/>
      <c r="AS216" s="140"/>
      <c r="AT216" s="143" t="str">
        <f t="shared" si="16"/>
        <v/>
      </c>
      <c r="AU216" s="139"/>
      <c r="AV216" s="113"/>
      <c r="AW216" s="107" t="str">
        <f t="shared" si="17"/>
        <v/>
      </c>
      <c r="AX216" s="113"/>
      <c r="AY216" s="113"/>
      <c r="AZ216" s="144" t="str">
        <f t="shared" si="18"/>
        <v/>
      </c>
      <c r="BA216" s="80"/>
      <c r="BB216" s="140"/>
      <c r="BC216" s="145" t="str">
        <f t="shared" si="19"/>
        <v/>
      </c>
      <c r="BD216" s="113"/>
      <c r="BE216" s="114"/>
      <c r="BF216" s="146" t="str">
        <f t="shared" si="20"/>
        <v/>
      </c>
      <c r="BG216" s="147" t="s">
        <v>84</v>
      </c>
      <c r="BH216" s="148"/>
      <c r="BI216" s="156"/>
      <c r="BJ216" s="150">
        <f>'Degrémont sortie'!BI216</f>
        <v>0</v>
      </c>
      <c r="BK216" s="151">
        <f>'Degrémont sortie'!BJ216</f>
        <v>0</v>
      </c>
    </row>
    <row r="217" spans="1:63" ht="15.75" customHeight="1" outlineLevel="1">
      <c r="A217" s="121">
        <f t="shared" si="13"/>
        <v>43669</v>
      </c>
      <c r="B217" s="122">
        <v>1050</v>
      </c>
      <c r="C217" s="123">
        <v>8.1</v>
      </c>
      <c r="D217" s="124">
        <v>88.4</v>
      </c>
      <c r="E217" s="125">
        <v>287</v>
      </c>
      <c r="F217" s="126">
        <v>25</v>
      </c>
      <c r="G217" s="127">
        <f t="shared" si="0"/>
        <v>7944</v>
      </c>
      <c r="H217" s="128">
        <f t="shared" si="1"/>
        <v>8341.2000000000007</v>
      </c>
      <c r="I217" s="129">
        <v>1</v>
      </c>
      <c r="J217" s="126">
        <v>7282</v>
      </c>
      <c r="K217" s="79">
        <f t="shared" si="2"/>
        <v>7282</v>
      </c>
      <c r="L217" s="128">
        <f t="shared" si="3"/>
        <v>7646.1</v>
      </c>
      <c r="M217" s="130">
        <v>1</v>
      </c>
      <c r="N217" s="126">
        <v>740</v>
      </c>
      <c r="O217" s="80">
        <f t="shared" si="4"/>
        <v>740</v>
      </c>
      <c r="P217" s="81">
        <f t="shared" si="5"/>
        <v>777</v>
      </c>
      <c r="Q217" s="129">
        <v>20</v>
      </c>
      <c r="R217" s="131">
        <v>12</v>
      </c>
      <c r="S217" s="127">
        <f t="shared" si="6"/>
        <v>240</v>
      </c>
      <c r="T217" s="128">
        <f t="shared" si="7"/>
        <v>252</v>
      </c>
      <c r="U217" s="131">
        <v>74</v>
      </c>
      <c r="V217" s="81">
        <f t="shared" si="14"/>
        <v>77.7</v>
      </c>
      <c r="W217" s="132"/>
      <c r="X217" s="153"/>
      <c r="Y217" s="94"/>
      <c r="Z217" s="132"/>
      <c r="AA217" s="153"/>
      <c r="AB217" s="94"/>
      <c r="AC217" s="133"/>
      <c r="AD217" s="93" t="str">
        <f t="shared" si="8"/>
        <v/>
      </c>
      <c r="AE217" s="94" t="e">
        <f t="shared" si="9"/>
        <v>#VALUE!</v>
      </c>
      <c r="AF217" s="134" t="s">
        <v>85</v>
      </c>
      <c r="AG217" s="135">
        <v>0.1</v>
      </c>
      <c r="AH217" s="136">
        <f t="shared" si="10"/>
        <v>5.2499999999999998E-2</v>
      </c>
      <c r="AI217" s="80"/>
      <c r="AJ217" s="154"/>
      <c r="AK217" s="100" t="str">
        <f t="shared" si="21"/>
        <v/>
      </c>
      <c r="AL217" s="138"/>
      <c r="AM217" s="113"/>
      <c r="AN217" s="103" t="str">
        <f t="shared" si="12"/>
        <v/>
      </c>
      <c r="AO217" s="139"/>
      <c r="AP217" s="155">
        <v>155.32</v>
      </c>
      <c r="AQ217" s="141">
        <f t="shared" si="15"/>
        <v>1209.6321599999999</v>
      </c>
      <c r="AR217" s="142"/>
      <c r="AS217" s="155">
        <v>2.62</v>
      </c>
      <c r="AT217" s="143">
        <f t="shared" si="16"/>
        <v>20.40456</v>
      </c>
      <c r="AU217" s="139"/>
      <c r="AV217" s="131">
        <v>30.55</v>
      </c>
      <c r="AW217" s="107">
        <f t="shared" si="17"/>
        <v>237.92340000000002</v>
      </c>
      <c r="AX217" s="113"/>
      <c r="AY217" s="131">
        <v>251</v>
      </c>
      <c r="AZ217" s="144">
        <f t="shared" si="18"/>
        <v>1954.788</v>
      </c>
      <c r="BA217" s="126" t="s">
        <v>85</v>
      </c>
      <c r="BB217" s="155">
        <v>0.15</v>
      </c>
      <c r="BC217" s="145">
        <f t="shared" si="19"/>
        <v>0.58409999999999995</v>
      </c>
      <c r="BD217" s="131" t="s">
        <v>85</v>
      </c>
      <c r="BE217" s="158">
        <v>0.13</v>
      </c>
      <c r="BF217" s="146">
        <f t="shared" si="20"/>
        <v>0.50622</v>
      </c>
      <c r="BG217" s="147" t="s">
        <v>84</v>
      </c>
      <c r="BH217" s="148"/>
      <c r="BI217" s="156"/>
      <c r="BJ217" s="150">
        <f>'Degrémont sortie'!BI217</f>
        <v>0</v>
      </c>
      <c r="BK217" s="151">
        <f>'Degrémont sortie'!BJ217</f>
        <v>0</v>
      </c>
    </row>
    <row r="218" spans="1:63" ht="14.25" outlineLevel="1">
      <c r="A218" s="152">
        <f t="shared" si="13"/>
        <v>43670</v>
      </c>
      <c r="B218" s="183">
        <v>1061</v>
      </c>
      <c r="C218" s="184">
        <v>8.3000000000000007</v>
      </c>
      <c r="D218" s="185">
        <v>94.6</v>
      </c>
      <c r="E218" s="186">
        <v>759.9</v>
      </c>
      <c r="F218" s="187">
        <v>74</v>
      </c>
      <c r="G218" s="127">
        <f t="shared" si="0"/>
        <v>8990.54054054054</v>
      </c>
      <c r="H218" s="128">
        <f t="shared" si="1"/>
        <v>9538.9635135135122</v>
      </c>
      <c r="I218" s="188">
        <v>1</v>
      </c>
      <c r="J218" s="187">
        <v>8995</v>
      </c>
      <c r="K218" s="79">
        <f t="shared" si="2"/>
        <v>8995</v>
      </c>
      <c r="L218" s="128">
        <f t="shared" si="3"/>
        <v>9543.6949999999997</v>
      </c>
      <c r="M218" s="189">
        <v>1</v>
      </c>
      <c r="N218" s="187">
        <v>1305</v>
      </c>
      <c r="O218" s="80">
        <f t="shared" si="4"/>
        <v>1305</v>
      </c>
      <c r="P218" s="81">
        <f t="shared" si="5"/>
        <v>1384.605</v>
      </c>
      <c r="Q218" s="188">
        <v>20</v>
      </c>
      <c r="R218" s="190">
        <v>15.5</v>
      </c>
      <c r="S218" s="127">
        <f t="shared" si="6"/>
        <v>310</v>
      </c>
      <c r="T218" s="128">
        <f t="shared" si="7"/>
        <v>328.91</v>
      </c>
      <c r="U218" s="191"/>
      <c r="V218" s="81">
        <f t="shared" si="14"/>
        <v>0</v>
      </c>
      <c r="W218" s="132"/>
      <c r="X218" s="153"/>
      <c r="Y218" s="94"/>
      <c r="Z218" s="132"/>
      <c r="AA218" s="153"/>
      <c r="AB218" s="94"/>
      <c r="AC218" s="133"/>
      <c r="AD218" s="93" t="str">
        <f t="shared" si="8"/>
        <v/>
      </c>
      <c r="AE218" s="94" t="e">
        <f t="shared" si="9"/>
        <v>#VALUE!</v>
      </c>
      <c r="AF218" s="192" t="s">
        <v>85</v>
      </c>
      <c r="AG218" s="193">
        <v>0.01</v>
      </c>
      <c r="AH218" s="136">
        <f t="shared" si="10"/>
        <v>5.3049999999999998E-3</v>
      </c>
      <c r="AI218" s="80"/>
      <c r="AJ218" s="154"/>
      <c r="AK218" s="100" t="str">
        <f t="shared" si="21"/>
        <v/>
      </c>
      <c r="AL218" s="194"/>
      <c r="AM218" s="191"/>
      <c r="AN218" s="103" t="str">
        <f t="shared" si="12"/>
        <v/>
      </c>
      <c r="AO218" s="195"/>
      <c r="AP218" s="196"/>
      <c r="AQ218" s="141" t="str">
        <f t="shared" si="15"/>
        <v/>
      </c>
      <c r="AR218" s="197"/>
      <c r="AS218" s="196"/>
      <c r="AT218" s="143" t="str">
        <f t="shared" si="16"/>
        <v/>
      </c>
      <c r="AU218" s="195"/>
      <c r="AV218" s="191"/>
      <c r="AW218" s="107" t="str">
        <f t="shared" si="17"/>
        <v/>
      </c>
      <c r="AX218" s="191"/>
      <c r="AY218" s="191"/>
      <c r="AZ218" s="144" t="str">
        <f t="shared" si="18"/>
        <v/>
      </c>
      <c r="BA218" s="198"/>
      <c r="BB218" s="196"/>
      <c r="BC218" s="145" t="str">
        <f t="shared" si="19"/>
        <v/>
      </c>
      <c r="BD218" s="191"/>
      <c r="BE218" s="199"/>
      <c r="BF218" s="146" t="str">
        <f t="shared" si="20"/>
        <v/>
      </c>
      <c r="BG218" s="147" t="s">
        <v>84</v>
      </c>
      <c r="BH218" s="200"/>
      <c r="BI218" s="391"/>
      <c r="BJ218" s="150">
        <f>'Degrémont sortie'!BI218</f>
        <v>0</v>
      </c>
      <c r="BK218" s="151">
        <f>'Degrémont sortie'!BJ218</f>
        <v>0</v>
      </c>
    </row>
    <row r="219" spans="1:63" ht="14.25" outlineLevel="1">
      <c r="A219" s="121">
        <f t="shared" si="13"/>
        <v>43671</v>
      </c>
      <c r="B219" s="122">
        <v>859</v>
      </c>
      <c r="C219" s="123">
        <v>7.83</v>
      </c>
      <c r="D219" s="124">
        <v>92.8</v>
      </c>
      <c r="E219" s="125">
        <v>301.89999999999998</v>
      </c>
      <c r="F219" s="126">
        <v>50</v>
      </c>
      <c r="G219" s="127">
        <f t="shared" si="0"/>
        <v>4181.9999999999991</v>
      </c>
      <c r="H219" s="128">
        <f t="shared" si="1"/>
        <v>3592.3379999999993</v>
      </c>
      <c r="I219" s="129">
        <v>2</v>
      </c>
      <c r="J219" s="126">
        <v>2700</v>
      </c>
      <c r="K219" s="79">
        <f t="shared" si="2"/>
        <v>5400</v>
      </c>
      <c r="L219" s="128">
        <f t="shared" si="3"/>
        <v>4638.6000000000004</v>
      </c>
      <c r="M219" s="130">
        <v>1</v>
      </c>
      <c r="N219" s="126">
        <v>1065</v>
      </c>
      <c r="O219" s="80">
        <f t="shared" si="4"/>
        <v>1065</v>
      </c>
      <c r="P219" s="81">
        <f t="shared" si="5"/>
        <v>914.83500000000004</v>
      </c>
      <c r="Q219" s="129">
        <v>20</v>
      </c>
      <c r="R219" s="131">
        <v>7.26</v>
      </c>
      <c r="S219" s="127">
        <f t="shared" si="6"/>
        <v>145.19999999999999</v>
      </c>
      <c r="T219" s="128">
        <f t="shared" si="7"/>
        <v>124.72679999999998</v>
      </c>
      <c r="U219" s="113"/>
      <c r="V219" s="81">
        <f t="shared" si="14"/>
        <v>0</v>
      </c>
      <c r="W219" s="132"/>
      <c r="X219" s="153"/>
      <c r="Y219" s="94"/>
      <c r="Z219" s="132"/>
      <c r="AA219" s="153"/>
      <c r="AB219" s="94"/>
      <c r="AC219" s="133"/>
      <c r="AD219" s="93" t="str">
        <f t="shared" si="8"/>
        <v/>
      </c>
      <c r="AE219" s="94" t="e">
        <f t="shared" si="9"/>
        <v>#VALUE!</v>
      </c>
      <c r="AF219" s="134" t="s">
        <v>85</v>
      </c>
      <c r="AG219" s="135">
        <v>0.01</v>
      </c>
      <c r="AH219" s="136">
        <f t="shared" si="10"/>
        <v>4.2950000000000002E-3</v>
      </c>
      <c r="AI219" s="80"/>
      <c r="AJ219" s="154"/>
      <c r="AK219" s="100" t="str">
        <f t="shared" si="21"/>
        <v/>
      </c>
      <c r="AL219" s="138"/>
      <c r="AM219" s="113"/>
      <c r="AN219" s="103" t="str">
        <f t="shared" si="12"/>
        <v/>
      </c>
      <c r="AO219" s="139"/>
      <c r="AP219" s="140"/>
      <c r="AQ219" s="141" t="str">
        <f t="shared" si="15"/>
        <v/>
      </c>
      <c r="AR219" s="142"/>
      <c r="AS219" s="140"/>
      <c r="AT219" s="143" t="str">
        <f t="shared" si="16"/>
        <v/>
      </c>
      <c r="AU219" s="139"/>
      <c r="AV219" s="113"/>
      <c r="AW219" s="107" t="str">
        <f t="shared" si="17"/>
        <v/>
      </c>
      <c r="AX219" s="113"/>
      <c r="AY219" s="113"/>
      <c r="AZ219" s="144" t="str">
        <f t="shared" si="18"/>
        <v/>
      </c>
      <c r="BA219" s="80"/>
      <c r="BB219" s="140"/>
      <c r="BC219" s="145" t="str">
        <f t="shared" si="19"/>
        <v/>
      </c>
      <c r="BD219" s="113"/>
      <c r="BE219" s="114"/>
      <c r="BF219" s="146" t="str">
        <f t="shared" si="20"/>
        <v/>
      </c>
      <c r="BG219" s="147" t="s">
        <v>84</v>
      </c>
      <c r="BH219" s="148"/>
      <c r="BI219" s="156"/>
      <c r="BJ219" s="150">
        <f>'Degrémont sortie'!BI219</f>
        <v>0</v>
      </c>
      <c r="BK219" s="151">
        <f>'Degrémont sortie'!BJ219</f>
        <v>0</v>
      </c>
    </row>
    <row r="220" spans="1:63" ht="14.25" outlineLevel="1">
      <c r="A220" s="152">
        <f t="shared" si="13"/>
        <v>43672</v>
      </c>
      <c r="B220" s="122">
        <v>1004</v>
      </c>
      <c r="C220" s="123">
        <v>8.3000000000000007</v>
      </c>
      <c r="D220" s="124">
        <v>92.8</v>
      </c>
      <c r="E220" s="125">
        <v>160.1</v>
      </c>
      <c r="F220" s="126">
        <v>28</v>
      </c>
      <c r="G220" s="127">
        <f t="shared" si="0"/>
        <v>2403.5714285714284</v>
      </c>
      <c r="H220" s="128">
        <f t="shared" si="1"/>
        <v>2413.1857142857143</v>
      </c>
      <c r="I220" s="129">
        <v>1</v>
      </c>
      <c r="J220" s="126">
        <v>4152</v>
      </c>
      <c r="K220" s="79">
        <f t="shared" si="2"/>
        <v>4152</v>
      </c>
      <c r="L220" s="128">
        <f t="shared" si="3"/>
        <v>4168.6080000000002</v>
      </c>
      <c r="M220" s="130">
        <v>1</v>
      </c>
      <c r="N220" s="126">
        <v>527</v>
      </c>
      <c r="O220" s="80">
        <f t="shared" si="4"/>
        <v>527</v>
      </c>
      <c r="P220" s="81">
        <f t="shared" si="5"/>
        <v>529.10799999999995</v>
      </c>
      <c r="Q220" s="129">
        <v>20</v>
      </c>
      <c r="R220" s="131">
        <v>5.7</v>
      </c>
      <c r="S220" s="127">
        <f t="shared" si="6"/>
        <v>114</v>
      </c>
      <c r="T220" s="128">
        <f t="shared" si="7"/>
        <v>114.456</v>
      </c>
      <c r="U220" s="113"/>
      <c r="V220" s="81">
        <f t="shared" si="14"/>
        <v>0</v>
      </c>
      <c r="W220" s="132"/>
      <c r="X220" s="153"/>
      <c r="Y220" s="94"/>
      <c r="Z220" s="132"/>
      <c r="AA220" s="153"/>
      <c r="AB220" s="94"/>
      <c r="AC220" s="133"/>
      <c r="AD220" s="93" t="str">
        <f t="shared" si="8"/>
        <v/>
      </c>
      <c r="AE220" s="94" t="e">
        <f t="shared" si="9"/>
        <v>#VALUE!</v>
      </c>
      <c r="AF220" s="134" t="s">
        <v>85</v>
      </c>
      <c r="AG220" s="135">
        <v>0.01</v>
      </c>
      <c r="AH220" s="136">
        <f t="shared" si="10"/>
        <v>5.0200000000000002E-3</v>
      </c>
      <c r="AI220" s="80"/>
      <c r="AJ220" s="154"/>
      <c r="AK220" s="100" t="str">
        <f t="shared" si="21"/>
        <v/>
      </c>
      <c r="AL220" s="138"/>
      <c r="AM220" s="113"/>
      <c r="AN220" s="103" t="str">
        <f t="shared" si="12"/>
        <v/>
      </c>
      <c r="AO220" s="139"/>
      <c r="AP220" s="140"/>
      <c r="AQ220" s="141" t="str">
        <f t="shared" si="15"/>
        <v/>
      </c>
      <c r="AR220" s="142"/>
      <c r="AS220" s="140"/>
      <c r="AT220" s="143" t="str">
        <f t="shared" si="16"/>
        <v/>
      </c>
      <c r="AU220" s="139"/>
      <c r="AV220" s="113"/>
      <c r="AW220" s="107" t="str">
        <f t="shared" si="17"/>
        <v/>
      </c>
      <c r="AX220" s="113"/>
      <c r="AY220" s="113"/>
      <c r="AZ220" s="144" t="str">
        <f t="shared" si="18"/>
        <v/>
      </c>
      <c r="BA220" s="80"/>
      <c r="BB220" s="140"/>
      <c r="BC220" s="145" t="str">
        <f t="shared" si="19"/>
        <v/>
      </c>
      <c r="BD220" s="113"/>
      <c r="BE220" s="114"/>
      <c r="BF220" s="146" t="str">
        <f t="shared" si="20"/>
        <v/>
      </c>
      <c r="BG220" s="147" t="s">
        <v>84</v>
      </c>
      <c r="BH220" s="148"/>
      <c r="BI220" s="156"/>
      <c r="BJ220" s="150">
        <f>'Degrémont sortie'!BI220</f>
        <v>0</v>
      </c>
      <c r="BK220" s="151">
        <f>'Degrémont sortie'!BJ220</f>
        <v>0</v>
      </c>
    </row>
    <row r="221" spans="1:63" ht="14.25" outlineLevel="1">
      <c r="A221" s="121">
        <f t="shared" si="13"/>
        <v>43673</v>
      </c>
      <c r="B221" s="122">
        <v>323</v>
      </c>
      <c r="C221" s="123">
        <v>8.1</v>
      </c>
      <c r="D221" s="124">
        <v>92.3</v>
      </c>
      <c r="E221" s="125">
        <v>202.4</v>
      </c>
      <c r="F221" s="126">
        <v>30</v>
      </c>
      <c r="G221" s="127">
        <f t="shared" si="0"/>
        <v>3670.0000000000005</v>
      </c>
      <c r="H221" s="128">
        <f t="shared" si="1"/>
        <v>1185.4100000000003</v>
      </c>
      <c r="I221" s="129">
        <v>1</v>
      </c>
      <c r="J221" s="126">
        <v>2897</v>
      </c>
      <c r="K221" s="79">
        <f t="shared" si="2"/>
        <v>2897</v>
      </c>
      <c r="L221" s="128">
        <f t="shared" si="3"/>
        <v>935.73099999999999</v>
      </c>
      <c r="M221" s="130">
        <v>1</v>
      </c>
      <c r="N221" s="126">
        <v>493</v>
      </c>
      <c r="O221" s="80">
        <f t="shared" si="4"/>
        <v>493</v>
      </c>
      <c r="P221" s="81">
        <f t="shared" si="5"/>
        <v>159.239</v>
      </c>
      <c r="Q221" s="129">
        <v>20</v>
      </c>
      <c r="R221" s="131">
        <v>5.2</v>
      </c>
      <c r="S221" s="127">
        <f t="shared" si="6"/>
        <v>104</v>
      </c>
      <c r="T221" s="128">
        <f t="shared" si="7"/>
        <v>33.591999999999999</v>
      </c>
      <c r="U221" s="113"/>
      <c r="V221" s="81">
        <f t="shared" si="14"/>
        <v>0</v>
      </c>
      <c r="W221" s="132"/>
      <c r="X221" s="153"/>
      <c r="Y221" s="94"/>
      <c r="Z221" s="132"/>
      <c r="AA221" s="153"/>
      <c r="AB221" s="94"/>
      <c r="AC221" s="133"/>
      <c r="AD221" s="93" t="str">
        <f t="shared" si="8"/>
        <v/>
      </c>
      <c r="AE221" s="94" t="e">
        <f t="shared" si="9"/>
        <v>#VALUE!</v>
      </c>
      <c r="AF221" s="134" t="s">
        <v>85</v>
      </c>
      <c r="AG221" s="135">
        <v>0.01</v>
      </c>
      <c r="AH221" s="136">
        <f t="shared" si="10"/>
        <v>1.6149999999999999E-3</v>
      </c>
      <c r="AI221" s="80"/>
      <c r="AJ221" s="154"/>
      <c r="AK221" s="100" t="str">
        <f t="shared" si="21"/>
        <v/>
      </c>
      <c r="AL221" s="138"/>
      <c r="AM221" s="113"/>
      <c r="AN221" s="103" t="str">
        <f t="shared" si="12"/>
        <v/>
      </c>
      <c r="AO221" s="139"/>
      <c r="AP221" s="140"/>
      <c r="AQ221" s="141" t="str">
        <f t="shared" si="15"/>
        <v/>
      </c>
      <c r="AR221" s="142"/>
      <c r="AS221" s="140"/>
      <c r="AT221" s="143" t="str">
        <f t="shared" si="16"/>
        <v/>
      </c>
      <c r="AU221" s="139"/>
      <c r="AV221" s="113"/>
      <c r="AW221" s="107" t="str">
        <f t="shared" si="17"/>
        <v/>
      </c>
      <c r="AX221" s="113"/>
      <c r="AY221" s="113"/>
      <c r="AZ221" s="144" t="str">
        <f t="shared" si="18"/>
        <v/>
      </c>
      <c r="BA221" s="80"/>
      <c r="BB221" s="140"/>
      <c r="BC221" s="145" t="str">
        <f t="shared" si="19"/>
        <v/>
      </c>
      <c r="BD221" s="113"/>
      <c r="BE221" s="114"/>
      <c r="BF221" s="146" t="str">
        <f t="shared" si="20"/>
        <v/>
      </c>
      <c r="BG221" s="147" t="s">
        <v>84</v>
      </c>
      <c r="BH221" s="148"/>
      <c r="BI221" s="156"/>
      <c r="BJ221" s="150">
        <f>'Degrémont sortie'!BI221</f>
        <v>0</v>
      </c>
      <c r="BK221" s="151">
        <f>'Degrémont sortie'!BJ221</f>
        <v>0</v>
      </c>
    </row>
    <row r="222" spans="1:63" ht="14.25" outlineLevel="1">
      <c r="A222" s="152">
        <f t="shared" si="13"/>
        <v>43674</v>
      </c>
      <c r="B222" s="207"/>
      <c r="C222" s="208"/>
      <c r="D222" s="210"/>
      <c r="E222" s="211"/>
      <c r="F222" s="80"/>
      <c r="G222" s="127">
        <f t="shared" si="0"/>
        <v>0</v>
      </c>
      <c r="H222" s="128">
        <f t="shared" si="1"/>
        <v>0</v>
      </c>
      <c r="I222" s="129">
        <v>1</v>
      </c>
      <c r="J222" s="80"/>
      <c r="K222" s="79">
        <f t="shared" si="2"/>
        <v>0</v>
      </c>
      <c r="L222" s="128">
        <f t="shared" si="3"/>
        <v>0</v>
      </c>
      <c r="M222" s="130">
        <v>1</v>
      </c>
      <c r="N222" s="80"/>
      <c r="O222" s="80" t="str">
        <f t="shared" si="4"/>
        <v/>
      </c>
      <c r="P222" s="81">
        <f t="shared" si="5"/>
        <v>0</v>
      </c>
      <c r="Q222" s="213"/>
      <c r="R222" s="113"/>
      <c r="S222" s="127" t="str">
        <f t="shared" si="6"/>
        <v/>
      </c>
      <c r="T222" s="128">
        <f t="shared" si="7"/>
        <v>0</v>
      </c>
      <c r="U222" s="113"/>
      <c r="V222" s="81">
        <f t="shared" si="14"/>
        <v>0</v>
      </c>
      <c r="W222" s="132"/>
      <c r="X222" s="153"/>
      <c r="Y222" s="94"/>
      <c r="Z222" s="132"/>
      <c r="AA222" s="153"/>
      <c r="AB222" s="94"/>
      <c r="AC222" s="133"/>
      <c r="AD222" s="93" t="str">
        <f t="shared" si="8"/>
        <v/>
      </c>
      <c r="AE222" s="94" t="str">
        <f t="shared" si="9"/>
        <v/>
      </c>
      <c r="AF222" s="139"/>
      <c r="AG222" s="215"/>
      <c r="AH222" s="136" t="str">
        <f t="shared" si="10"/>
        <v/>
      </c>
      <c r="AI222" s="80"/>
      <c r="AJ222" s="154"/>
      <c r="AK222" s="100" t="str">
        <f t="shared" si="21"/>
        <v/>
      </c>
      <c r="AL222" s="138"/>
      <c r="AM222" s="113"/>
      <c r="AN222" s="103" t="str">
        <f t="shared" si="12"/>
        <v/>
      </c>
      <c r="AO222" s="139"/>
      <c r="AP222" s="140"/>
      <c r="AQ222" s="141" t="str">
        <f t="shared" si="15"/>
        <v/>
      </c>
      <c r="AR222" s="142"/>
      <c r="AS222" s="140"/>
      <c r="AT222" s="143" t="str">
        <f t="shared" si="16"/>
        <v/>
      </c>
      <c r="AU222" s="139"/>
      <c r="AV222" s="113"/>
      <c r="AW222" s="107" t="str">
        <f t="shared" si="17"/>
        <v/>
      </c>
      <c r="AX222" s="113"/>
      <c r="AY222" s="113"/>
      <c r="AZ222" s="144" t="str">
        <f t="shared" si="18"/>
        <v/>
      </c>
      <c r="BA222" s="80"/>
      <c r="BB222" s="140"/>
      <c r="BC222" s="145" t="str">
        <f t="shared" si="19"/>
        <v/>
      </c>
      <c r="BD222" s="113"/>
      <c r="BE222" s="114"/>
      <c r="BF222" s="146" t="str">
        <f t="shared" si="20"/>
        <v/>
      </c>
      <c r="BG222" s="147" t="s">
        <v>84</v>
      </c>
      <c r="BH222" s="148"/>
      <c r="BI222" s="156"/>
      <c r="BJ222" s="150">
        <f>'Degrémont sortie'!BI222</f>
        <v>0</v>
      </c>
      <c r="BK222" s="151">
        <f>'Degrémont sortie'!BJ222</f>
        <v>0</v>
      </c>
    </row>
    <row r="223" spans="1:63" ht="25.5" outlineLevel="1">
      <c r="A223" s="121">
        <f t="shared" si="13"/>
        <v>43675</v>
      </c>
      <c r="B223" s="122">
        <v>226</v>
      </c>
      <c r="C223" s="123">
        <v>7.7</v>
      </c>
      <c r="D223" s="124">
        <v>89.5</v>
      </c>
      <c r="E223" s="125">
        <v>579</v>
      </c>
      <c r="F223" s="126">
        <v>29</v>
      </c>
      <c r="G223" s="127">
        <f t="shared" si="0"/>
        <v>16879.310344827587</v>
      </c>
      <c r="H223" s="128">
        <f t="shared" si="1"/>
        <v>3814.7241379310344</v>
      </c>
      <c r="I223" s="129">
        <v>1</v>
      </c>
      <c r="J223" s="126">
        <v>27200</v>
      </c>
      <c r="K223" s="79">
        <f t="shared" si="2"/>
        <v>27200</v>
      </c>
      <c r="L223" s="128">
        <f t="shared" si="3"/>
        <v>6147.2</v>
      </c>
      <c r="M223" s="130">
        <v>1</v>
      </c>
      <c r="N223" s="126">
        <v>8468</v>
      </c>
      <c r="O223" s="80">
        <f t="shared" si="4"/>
        <v>8468</v>
      </c>
      <c r="P223" s="81">
        <f t="shared" si="5"/>
        <v>1913.768</v>
      </c>
      <c r="Q223" s="129">
        <v>20</v>
      </c>
      <c r="R223" s="131">
        <v>38.1</v>
      </c>
      <c r="S223" s="127">
        <f t="shared" si="6"/>
        <v>762</v>
      </c>
      <c r="T223" s="128">
        <f t="shared" si="7"/>
        <v>172.21199999999999</v>
      </c>
      <c r="U223" s="113"/>
      <c r="V223" s="81">
        <f t="shared" si="14"/>
        <v>0</v>
      </c>
      <c r="W223" s="132"/>
      <c r="X223" s="153"/>
      <c r="Y223" s="94"/>
      <c r="Z223" s="132"/>
      <c r="AA223" s="153"/>
      <c r="AB223" s="94"/>
      <c r="AC223" s="133"/>
      <c r="AD223" s="93" t="str">
        <f t="shared" si="8"/>
        <v/>
      </c>
      <c r="AE223" s="94" t="e">
        <f t="shared" si="9"/>
        <v>#VALUE!</v>
      </c>
      <c r="AF223" s="139"/>
      <c r="AG223" s="135">
        <v>0.16</v>
      </c>
      <c r="AH223" s="136">
        <f t="shared" si="10"/>
        <v>3.6160000000000005E-2</v>
      </c>
      <c r="AI223" s="80"/>
      <c r="AJ223" s="154"/>
      <c r="AK223" s="100" t="str">
        <f t="shared" si="21"/>
        <v/>
      </c>
      <c r="AL223" s="138"/>
      <c r="AM223" s="113"/>
      <c r="AN223" s="103" t="str">
        <f t="shared" si="12"/>
        <v/>
      </c>
      <c r="AO223" s="139"/>
      <c r="AP223" s="140"/>
      <c r="AQ223" s="141" t="str">
        <f t="shared" si="15"/>
        <v/>
      </c>
      <c r="AR223" s="142"/>
      <c r="AS223" s="140"/>
      <c r="AT223" s="143" t="str">
        <f t="shared" si="16"/>
        <v/>
      </c>
      <c r="AU223" s="139"/>
      <c r="AV223" s="113"/>
      <c r="AW223" s="107" t="str">
        <f t="shared" si="17"/>
        <v/>
      </c>
      <c r="AX223" s="113"/>
      <c r="AY223" s="113"/>
      <c r="AZ223" s="144" t="str">
        <f t="shared" si="18"/>
        <v/>
      </c>
      <c r="BA223" s="80"/>
      <c r="BB223" s="140"/>
      <c r="BC223" s="145" t="str">
        <f t="shared" si="19"/>
        <v/>
      </c>
      <c r="BD223" s="113"/>
      <c r="BE223" s="114"/>
      <c r="BF223" s="146" t="str">
        <f t="shared" si="20"/>
        <v/>
      </c>
      <c r="BG223" s="147" t="s">
        <v>84</v>
      </c>
      <c r="BH223" s="148"/>
      <c r="BI223" s="156"/>
      <c r="BJ223" s="150" t="str">
        <f>'Degrémont sortie'!BI223</f>
        <v>CA : MES:173,08mg/L; DCO:7022mg/L; PO4:79,8mg/L</v>
      </c>
      <c r="BK223" s="151">
        <f>'Degrémont sortie'!BJ223</f>
        <v>0</v>
      </c>
    </row>
    <row r="224" spans="1:63" ht="14.25" outlineLevel="1">
      <c r="A224" s="152">
        <f t="shared" si="13"/>
        <v>43676</v>
      </c>
      <c r="B224" s="122">
        <v>164</v>
      </c>
      <c r="C224" s="123">
        <v>7</v>
      </c>
      <c r="D224" s="124">
        <v>94.6</v>
      </c>
      <c r="E224" s="125">
        <v>559</v>
      </c>
      <c r="F224" s="126">
        <v>29</v>
      </c>
      <c r="G224" s="127">
        <f t="shared" si="0"/>
        <v>16013.793103448275</v>
      </c>
      <c r="H224" s="128">
        <f t="shared" si="1"/>
        <v>2626.2620689655168</v>
      </c>
      <c r="I224" s="129">
        <v>1</v>
      </c>
      <c r="J224" s="126">
        <v>27200</v>
      </c>
      <c r="K224" s="79">
        <f t="shared" si="2"/>
        <v>27200</v>
      </c>
      <c r="L224" s="128">
        <f t="shared" si="3"/>
        <v>4460.8</v>
      </c>
      <c r="M224" s="130">
        <v>1</v>
      </c>
      <c r="N224" s="126">
        <v>5703</v>
      </c>
      <c r="O224" s="80">
        <f t="shared" si="4"/>
        <v>5703</v>
      </c>
      <c r="P224" s="81">
        <f t="shared" si="5"/>
        <v>935.29200000000003</v>
      </c>
      <c r="Q224" s="129">
        <v>40</v>
      </c>
      <c r="R224" s="131">
        <v>16.100000000000001</v>
      </c>
      <c r="S224" s="127">
        <f t="shared" si="6"/>
        <v>644</v>
      </c>
      <c r="T224" s="128">
        <f t="shared" si="7"/>
        <v>105.616</v>
      </c>
      <c r="U224" s="113"/>
      <c r="V224" s="81">
        <f t="shared" si="14"/>
        <v>0</v>
      </c>
      <c r="W224" s="132"/>
      <c r="X224" s="153"/>
      <c r="Y224" s="94"/>
      <c r="Z224" s="132"/>
      <c r="AA224" s="153"/>
      <c r="AB224" s="94"/>
      <c r="AC224" s="133"/>
      <c r="AD224" s="93" t="str">
        <f t="shared" si="8"/>
        <v/>
      </c>
      <c r="AE224" s="94" t="e">
        <f t="shared" si="9"/>
        <v>#VALUE!</v>
      </c>
      <c r="AF224" s="134" t="s">
        <v>85</v>
      </c>
      <c r="AG224" s="135">
        <v>0.01</v>
      </c>
      <c r="AH224" s="136">
        <f t="shared" si="10"/>
        <v>8.2000000000000009E-4</v>
      </c>
      <c r="AI224" s="80"/>
      <c r="AJ224" s="154"/>
      <c r="AK224" s="100" t="str">
        <f t="shared" si="21"/>
        <v/>
      </c>
      <c r="AL224" s="138"/>
      <c r="AM224" s="131">
        <v>130</v>
      </c>
      <c r="AN224" s="103">
        <f t="shared" si="12"/>
        <v>631.28</v>
      </c>
      <c r="AO224" s="139"/>
      <c r="AP224" s="155">
        <v>347.98</v>
      </c>
      <c r="AQ224" s="141">
        <f t="shared" si="15"/>
        <v>1689.79088</v>
      </c>
      <c r="AR224" s="142"/>
      <c r="AS224" s="155">
        <v>3.12</v>
      </c>
      <c r="AT224" s="143">
        <f t="shared" si="16"/>
        <v>15.15072</v>
      </c>
      <c r="AU224" s="139"/>
      <c r="AV224" s="131">
        <v>28.3</v>
      </c>
      <c r="AW224" s="107">
        <f t="shared" si="17"/>
        <v>137.4248</v>
      </c>
      <c r="AX224" s="113"/>
      <c r="AY224" s="131">
        <v>374.63</v>
      </c>
      <c r="AZ224" s="144">
        <f t="shared" si="18"/>
        <v>1819.2032799999999</v>
      </c>
      <c r="BA224" s="126" t="s">
        <v>85</v>
      </c>
      <c r="BB224" s="155">
        <v>0.15</v>
      </c>
      <c r="BC224" s="145">
        <f t="shared" si="19"/>
        <v>0.36419999999999997</v>
      </c>
      <c r="BD224" s="131" t="s">
        <v>85</v>
      </c>
      <c r="BE224" s="158">
        <v>0.13</v>
      </c>
      <c r="BF224" s="146">
        <f t="shared" si="20"/>
        <v>0.31563999999999998</v>
      </c>
      <c r="BG224" s="147" t="s">
        <v>84</v>
      </c>
      <c r="BH224" s="148"/>
      <c r="BI224" s="156"/>
      <c r="BJ224" s="150" t="str">
        <f>'Degrémont sortie'!BI224</f>
        <v>CA : MES:110mg/L ; DCO: 5236mg/L</v>
      </c>
      <c r="BK224" s="151">
        <f>'Degrémont sortie'!BJ224</f>
        <v>0</v>
      </c>
    </row>
    <row r="225" spans="1:63" ht="15.75" customHeight="1" outlineLevel="1">
      <c r="A225" s="121">
        <f t="shared" si="13"/>
        <v>43677</v>
      </c>
      <c r="B225" s="122">
        <v>169</v>
      </c>
      <c r="C225" s="123">
        <v>5.9</v>
      </c>
      <c r="D225" s="124">
        <v>91.6</v>
      </c>
      <c r="E225" s="125">
        <v>564.5</v>
      </c>
      <c r="F225" s="126">
        <v>26</v>
      </c>
      <c r="G225" s="127">
        <f t="shared" si="0"/>
        <v>18188.461538461539</v>
      </c>
      <c r="H225" s="128">
        <f t="shared" si="1"/>
        <v>3073.85</v>
      </c>
      <c r="I225" s="129">
        <v>1</v>
      </c>
      <c r="J225" s="126">
        <v>33000</v>
      </c>
      <c r="K225" s="79">
        <f t="shared" si="2"/>
        <v>33000</v>
      </c>
      <c r="L225" s="128">
        <f t="shared" si="3"/>
        <v>5577</v>
      </c>
      <c r="M225" s="130">
        <v>1</v>
      </c>
      <c r="N225" s="126">
        <v>5200</v>
      </c>
      <c r="O225" s="80">
        <f t="shared" si="4"/>
        <v>5200</v>
      </c>
      <c r="P225" s="81">
        <f t="shared" si="5"/>
        <v>878.8</v>
      </c>
      <c r="Q225" s="129">
        <v>100</v>
      </c>
      <c r="R225" s="131">
        <v>9.3800000000000008</v>
      </c>
      <c r="S225" s="127">
        <f t="shared" si="6"/>
        <v>938.00000000000011</v>
      </c>
      <c r="T225" s="128">
        <f t="shared" si="7"/>
        <v>158.52200000000002</v>
      </c>
      <c r="U225" s="113"/>
      <c r="V225" s="81">
        <f t="shared" si="14"/>
        <v>0</v>
      </c>
      <c r="W225" s="132"/>
      <c r="X225" s="153"/>
      <c r="Y225" s="94"/>
      <c r="Z225" s="132"/>
      <c r="AA225" s="153"/>
      <c r="AB225" s="94"/>
      <c r="AC225" s="133"/>
      <c r="AD225" s="93" t="str">
        <f t="shared" si="8"/>
        <v/>
      </c>
      <c r="AE225" s="94" t="e">
        <f t="shared" si="9"/>
        <v>#VALUE!</v>
      </c>
      <c r="AF225" s="134" t="s">
        <v>85</v>
      </c>
      <c r="AG225" s="135">
        <v>0.02</v>
      </c>
      <c r="AH225" s="136">
        <f t="shared" si="10"/>
        <v>1.6899999999999999E-3</v>
      </c>
      <c r="AI225" s="80"/>
      <c r="AJ225" s="154"/>
      <c r="AK225" s="100" t="str">
        <f t="shared" si="21"/>
        <v/>
      </c>
      <c r="AL225" s="138"/>
      <c r="AM225" s="113"/>
      <c r="AN225" s="103" t="str">
        <f t="shared" si="12"/>
        <v/>
      </c>
      <c r="AO225" s="139"/>
      <c r="AP225" s="140"/>
      <c r="AQ225" s="141" t="str">
        <f t="shared" si="15"/>
        <v/>
      </c>
      <c r="AR225" s="142"/>
      <c r="AS225" s="140"/>
      <c r="AT225" s="143" t="str">
        <f t="shared" si="16"/>
        <v/>
      </c>
      <c r="AU225" s="139"/>
      <c r="AV225" s="113"/>
      <c r="AW225" s="107" t="str">
        <f t="shared" si="17"/>
        <v/>
      </c>
      <c r="AX225" s="113"/>
      <c r="AY225" s="113"/>
      <c r="AZ225" s="144" t="str">
        <f t="shared" si="18"/>
        <v/>
      </c>
      <c r="BA225" s="80"/>
      <c r="BB225" s="140"/>
      <c r="BC225" s="145" t="str">
        <f t="shared" si="19"/>
        <v/>
      </c>
      <c r="BD225" s="113"/>
      <c r="BE225" s="114"/>
      <c r="BF225" s="146" t="str">
        <f t="shared" si="20"/>
        <v/>
      </c>
      <c r="BG225" s="147" t="s">
        <v>84</v>
      </c>
      <c r="BH225" s="148"/>
      <c r="BI225" s="156"/>
      <c r="BJ225" s="150">
        <f>'Degrémont sortie'!BI225</f>
        <v>0</v>
      </c>
      <c r="BK225" s="151">
        <f>'Degrémont sortie'!BJ225</f>
        <v>0</v>
      </c>
    </row>
    <row r="226" spans="1:63" ht="15.75" customHeight="1" outlineLevel="1">
      <c r="A226" s="152">
        <f t="shared" si="13"/>
        <v>43678</v>
      </c>
      <c r="B226" s="122">
        <v>320</v>
      </c>
      <c r="C226" s="123">
        <v>6.23</v>
      </c>
      <c r="D226" s="124">
        <v>90.1</v>
      </c>
      <c r="E226" s="125">
        <v>224.3</v>
      </c>
      <c r="F226" s="126">
        <v>4</v>
      </c>
      <c r="G226" s="127">
        <f t="shared" si="0"/>
        <v>33550.000000000007</v>
      </c>
      <c r="H226" s="128">
        <f t="shared" si="1"/>
        <v>10736.000000000002</v>
      </c>
      <c r="I226" s="129">
        <v>1</v>
      </c>
      <c r="J226" s="126">
        <v>46700</v>
      </c>
      <c r="K226" s="79">
        <f t="shared" si="2"/>
        <v>46700</v>
      </c>
      <c r="L226" s="128">
        <f t="shared" si="3"/>
        <v>14944</v>
      </c>
      <c r="M226" s="130">
        <v>1</v>
      </c>
      <c r="N226" s="126">
        <v>7450</v>
      </c>
      <c r="O226" s="80">
        <f t="shared" si="4"/>
        <v>7450</v>
      </c>
      <c r="P226" s="81">
        <f t="shared" si="5"/>
        <v>2384</v>
      </c>
      <c r="Q226" s="129">
        <v>20</v>
      </c>
      <c r="R226" s="131">
        <v>52.5</v>
      </c>
      <c r="S226" s="127">
        <f t="shared" si="6"/>
        <v>1050</v>
      </c>
      <c r="T226" s="128">
        <f t="shared" si="7"/>
        <v>336</v>
      </c>
      <c r="U226" s="113"/>
      <c r="V226" s="81">
        <f t="shared" si="14"/>
        <v>0</v>
      </c>
      <c r="W226" s="132"/>
      <c r="X226" s="153"/>
      <c r="Y226" s="94"/>
      <c r="Z226" s="132"/>
      <c r="AA226" s="153"/>
      <c r="AB226" s="94"/>
      <c r="AC226" s="133"/>
      <c r="AD226" s="93" t="str">
        <f t="shared" si="8"/>
        <v/>
      </c>
      <c r="AE226" s="94" t="e">
        <f t="shared" si="9"/>
        <v>#VALUE!</v>
      </c>
      <c r="AF226" s="139"/>
      <c r="AG226" s="135">
        <v>0.02</v>
      </c>
      <c r="AH226" s="136">
        <f t="shared" si="10"/>
        <v>6.4000000000000003E-3</v>
      </c>
      <c r="AI226" s="80"/>
      <c r="AJ226" s="154"/>
      <c r="AK226" s="100" t="str">
        <f t="shared" si="21"/>
        <v/>
      </c>
      <c r="AL226" s="138"/>
      <c r="AM226" s="113"/>
      <c r="AN226" s="103" t="str">
        <f t="shared" si="12"/>
        <v/>
      </c>
      <c r="AO226" s="139"/>
      <c r="AP226" s="140"/>
      <c r="AQ226" s="141" t="str">
        <f t="shared" si="15"/>
        <v/>
      </c>
      <c r="AR226" s="142"/>
      <c r="AS226" s="140"/>
      <c r="AT226" s="143" t="str">
        <f t="shared" si="16"/>
        <v/>
      </c>
      <c r="AU226" s="139"/>
      <c r="AV226" s="113"/>
      <c r="AW226" s="107" t="str">
        <f t="shared" si="17"/>
        <v/>
      </c>
      <c r="AX226" s="113"/>
      <c r="AY226" s="113"/>
      <c r="AZ226" s="144" t="str">
        <f t="shared" si="18"/>
        <v/>
      </c>
      <c r="BA226" s="80"/>
      <c r="BB226" s="140"/>
      <c r="BC226" s="145" t="str">
        <f t="shared" si="19"/>
        <v/>
      </c>
      <c r="BD226" s="113"/>
      <c r="BE226" s="114"/>
      <c r="BF226" s="146" t="str">
        <f t="shared" si="20"/>
        <v/>
      </c>
      <c r="BG226" s="147" t="s">
        <v>84</v>
      </c>
      <c r="BH226" s="148"/>
      <c r="BI226" s="156"/>
      <c r="BJ226" s="150">
        <f>'Degrémont sortie'!BI226</f>
        <v>0</v>
      </c>
      <c r="BK226" s="151">
        <f>'Degrémont sortie'!BJ226</f>
        <v>0</v>
      </c>
    </row>
    <row r="227" spans="1:63" ht="15.75" customHeight="1" outlineLevel="1">
      <c r="A227" s="121">
        <f t="shared" si="13"/>
        <v>43679</v>
      </c>
      <c r="B227" s="122">
        <v>107</v>
      </c>
      <c r="C227" s="123">
        <v>5.77</v>
      </c>
      <c r="D227" s="124">
        <v>95.9</v>
      </c>
      <c r="E227" s="125">
        <v>391.6</v>
      </c>
      <c r="F227" s="126">
        <v>7</v>
      </c>
      <c r="G227" s="127">
        <f t="shared" si="0"/>
        <v>42242.857142857152</v>
      </c>
      <c r="H227" s="128">
        <f t="shared" si="1"/>
        <v>4519.9857142857154</v>
      </c>
      <c r="I227" s="129">
        <v>50</v>
      </c>
      <c r="J227" s="126">
        <v>803</v>
      </c>
      <c r="K227" s="79">
        <f t="shared" si="2"/>
        <v>40150</v>
      </c>
      <c r="L227" s="128">
        <f t="shared" si="3"/>
        <v>4296.05</v>
      </c>
      <c r="M227" s="130">
        <v>1</v>
      </c>
      <c r="N227" s="80"/>
      <c r="O227" s="80" t="str">
        <f t="shared" si="4"/>
        <v/>
      </c>
      <c r="P227" s="81" t="e">
        <f t="shared" si="5"/>
        <v>#VALUE!</v>
      </c>
      <c r="Q227" s="129">
        <v>50</v>
      </c>
      <c r="R227" s="131">
        <v>27.6</v>
      </c>
      <c r="S227" s="127">
        <f t="shared" si="6"/>
        <v>1380</v>
      </c>
      <c r="T227" s="128">
        <f t="shared" si="7"/>
        <v>147.66</v>
      </c>
      <c r="U227" s="113"/>
      <c r="V227" s="81">
        <f t="shared" si="14"/>
        <v>0</v>
      </c>
      <c r="W227" s="132"/>
      <c r="X227" s="153"/>
      <c r="Y227" s="94"/>
      <c r="Z227" s="132"/>
      <c r="AA227" s="153"/>
      <c r="AB227" s="94"/>
      <c r="AC227" s="133"/>
      <c r="AD227" s="93" t="str">
        <f t="shared" si="8"/>
        <v/>
      </c>
      <c r="AE227" s="94" t="e">
        <f t="shared" si="9"/>
        <v>#VALUE!</v>
      </c>
      <c r="AF227" s="139"/>
      <c r="AG227" s="135">
        <v>0.01</v>
      </c>
      <c r="AH227" s="136">
        <f t="shared" si="10"/>
        <v>1.07E-3</v>
      </c>
      <c r="AI227" s="80"/>
      <c r="AJ227" s="154"/>
      <c r="AK227" s="100" t="str">
        <f t="shared" si="21"/>
        <v/>
      </c>
      <c r="AL227" s="138"/>
      <c r="AM227" s="113"/>
      <c r="AN227" s="103" t="str">
        <f t="shared" si="12"/>
        <v/>
      </c>
      <c r="AO227" s="139"/>
      <c r="AP227" s="140"/>
      <c r="AQ227" s="141" t="str">
        <f t="shared" si="15"/>
        <v/>
      </c>
      <c r="AR227" s="142"/>
      <c r="AS227" s="140"/>
      <c r="AT227" s="143" t="str">
        <f t="shared" si="16"/>
        <v/>
      </c>
      <c r="AU227" s="139"/>
      <c r="AV227" s="113"/>
      <c r="AW227" s="107" t="str">
        <f t="shared" si="17"/>
        <v/>
      </c>
      <c r="AX227" s="113"/>
      <c r="AY227" s="113"/>
      <c r="AZ227" s="144" t="str">
        <f t="shared" si="18"/>
        <v/>
      </c>
      <c r="BA227" s="80"/>
      <c r="BB227" s="140"/>
      <c r="BC227" s="145" t="str">
        <f t="shared" si="19"/>
        <v/>
      </c>
      <c r="BD227" s="113"/>
      <c r="BE227" s="114"/>
      <c r="BF227" s="146" t="str">
        <f t="shared" si="20"/>
        <v/>
      </c>
      <c r="BG227" s="147" t="s">
        <v>84</v>
      </c>
      <c r="BH227" s="148"/>
      <c r="BI227" s="156"/>
      <c r="BJ227" s="150">
        <f>'Degrémont sortie'!BI227</f>
        <v>0</v>
      </c>
      <c r="BK227" s="151">
        <f>'Degrémont sortie'!BJ227</f>
        <v>0</v>
      </c>
    </row>
    <row r="228" spans="1:63" ht="15.75" customHeight="1" outlineLevel="1">
      <c r="A228" s="152">
        <f t="shared" si="13"/>
        <v>43680</v>
      </c>
      <c r="B228" s="207"/>
      <c r="C228" s="208"/>
      <c r="D228" s="210"/>
      <c r="E228" s="211"/>
      <c r="F228" s="80"/>
      <c r="G228" s="127">
        <f t="shared" si="0"/>
        <v>0</v>
      </c>
      <c r="H228" s="128">
        <f t="shared" si="1"/>
        <v>0</v>
      </c>
      <c r="I228" s="129">
        <v>1</v>
      </c>
      <c r="J228" s="80"/>
      <c r="K228" s="79">
        <f t="shared" si="2"/>
        <v>0</v>
      </c>
      <c r="L228" s="128">
        <f t="shared" si="3"/>
        <v>0</v>
      </c>
      <c r="M228" s="130">
        <v>1</v>
      </c>
      <c r="N228" s="80"/>
      <c r="O228" s="80" t="str">
        <f t="shared" si="4"/>
        <v/>
      </c>
      <c r="P228" s="81">
        <f t="shared" si="5"/>
        <v>0</v>
      </c>
      <c r="Q228" s="213"/>
      <c r="R228" s="113"/>
      <c r="S228" s="127" t="str">
        <f t="shared" si="6"/>
        <v/>
      </c>
      <c r="T228" s="128">
        <f t="shared" si="7"/>
        <v>0</v>
      </c>
      <c r="U228" s="113"/>
      <c r="V228" s="81">
        <f t="shared" si="14"/>
        <v>0</v>
      </c>
      <c r="W228" s="132"/>
      <c r="X228" s="153"/>
      <c r="Y228" s="94"/>
      <c r="Z228" s="132"/>
      <c r="AA228" s="153"/>
      <c r="AB228" s="94"/>
      <c r="AC228" s="133"/>
      <c r="AD228" s="93" t="str">
        <f t="shared" si="8"/>
        <v/>
      </c>
      <c r="AE228" s="94" t="str">
        <f t="shared" si="9"/>
        <v/>
      </c>
      <c r="AF228" s="139"/>
      <c r="AG228" s="215"/>
      <c r="AH228" s="136" t="str">
        <f t="shared" si="10"/>
        <v/>
      </c>
      <c r="AI228" s="80"/>
      <c r="AJ228" s="154"/>
      <c r="AK228" s="100" t="str">
        <f t="shared" si="21"/>
        <v/>
      </c>
      <c r="AL228" s="138"/>
      <c r="AM228" s="113"/>
      <c r="AN228" s="103" t="str">
        <f t="shared" si="12"/>
        <v/>
      </c>
      <c r="AO228" s="139"/>
      <c r="AP228" s="140"/>
      <c r="AQ228" s="141" t="str">
        <f t="shared" si="15"/>
        <v/>
      </c>
      <c r="AR228" s="142"/>
      <c r="AS228" s="140"/>
      <c r="AT228" s="143" t="str">
        <f t="shared" si="16"/>
        <v/>
      </c>
      <c r="AU228" s="139"/>
      <c r="AV228" s="113"/>
      <c r="AW228" s="107" t="str">
        <f t="shared" si="17"/>
        <v/>
      </c>
      <c r="AX228" s="113"/>
      <c r="AY228" s="113"/>
      <c r="AZ228" s="144" t="str">
        <f t="shared" si="18"/>
        <v/>
      </c>
      <c r="BA228" s="80"/>
      <c r="BB228" s="140"/>
      <c r="BC228" s="145" t="str">
        <f t="shared" si="19"/>
        <v/>
      </c>
      <c r="BD228" s="113"/>
      <c r="BE228" s="114"/>
      <c r="BF228" s="146" t="str">
        <f t="shared" si="20"/>
        <v/>
      </c>
      <c r="BG228" s="147" t="s">
        <v>84</v>
      </c>
      <c r="BH228" s="148"/>
      <c r="BI228" s="156"/>
      <c r="BJ228" s="150">
        <f>'Degrémont sortie'!BI228</f>
        <v>0</v>
      </c>
      <c r="BK228" s="151">
        <f>'Degrémont sortie'!BJ228</f>
        <v>0</v>
      </c>
    </row>
    <row r="229" spans="1:63" ht="15.75" customHeight="1" outlineLevel="1">
      <c r="A229" s="121">
        <f t="shared" si="13"/>
        <v>43681</v>
      </c>
      <c r="B229" s="207"/>
      <c r="C229" s="208"/>
      <c r="D229" s="210"/>
      <c r="E229" s="211"/>
      <c r="F229" s="80"/>
      <c r="G229" s="127">
        <f t="shared" si="0"/>
        <v>0</v>
      </c>
      <c r="H229" s="128">
        <f t="shared" si="1"/>
        <v>0</v>
      </c>
      <c r="I229" s="129">
        <v>1</v>
      </c>
      <c r="J229" s="80"/>
      <c r="K229" s="79">
        <f t="shared" si="2"/>
        <v>0</v>
      </c>
      <c r="L229" s="128">
        <f t="shared" si="3"/>
        <v>0</v>
      </c>
      <c r="M229" s="130">
        <v>1</v>
      </c>
      <c r="N229" s="80"/>
      <c r="O229" s="80" t="str">
        <f t="shared" si="4"/>
        <v/>
      </c>
      <c r="P229" s="81">
        <f t="shared" si="5"/>
        <v>0</v>
      </c>
      <c r="Q229" s="213"/>
      <c r="R229" s="113"/>
      <c r="S229" s="127" t="str">
        <f t="shared" si="6"/>
        <v/>
      </c>
      <c r="T229" s="128">
        <f t="shared" si="7"/>
        <v>0</v>
      </c>
      <c r="U229" s="113"/>
      <c r="V229" s="81">
        <f t="shared" si="14"/>
        <v>0</v>
      </c>
      <c r="W229" s="132"/>
      <c r="X229" s="153"/>
      <c r="Y229" s="94"/>
      <c r="Z229" s="132"/>
      <c r="AA229" s="153"/>
      <c r="AB229" s="94"/>
      <c r="AC229" s="133"/>
      <c r="AD229" s="93" t="str">
        <f t="shared" si="8"/>
        <v/>
      </c>
      <c r="AE229" s="94" t="str">
        <f t="shared" si="9"/>
        <v/>
      </c>
      <c r="AF229" s="139"/>
      <c r="AG229" s="215"/>
      <c r="AH229" s="136" t="str">
        <f t="shared" si="10"/>
        <v/>
      </c>
      <c r="AI229" s="80"/>
      <c r="AJ229" s="154"/>
      <c r="AK229" s="100" t="str">
        <f t="shared" si="21"/>
        <v/>
      </c>
      <c r="AL229" s="138"/>
      <c r="AM229" s="113"/>
      <c r="AN229" s="103" t="str">
        <f t="shared" si="12"/>
        <v/>
      </c>
      <c r="AO229" s="139"/>
      <c r="AP229" s="140"/>
      <c r="AQ229" s="141" t="str">
        <f t="shared" si="15"/>
        <v/>
      </c>
      <c r="AR229" s="142"/>
      <c r="AS229" s="140"/>
      <c r="AT229" s="143" t="str">
        <f t="shared" si="16"/>
        <v/>
      </c>
      <c r="AU229" s="139"/>
      <c r="AV229" s="113"/>
      <c r="AW229" s="107" t="str">
        <f t="shared" si="17"/>
        <v/>
      </c>
      <c r="AX229" s="113"/>
      <c r="AY229" s="113"/>
      <c r="AZ229" s="144" t="str">
        <f t="shared" si="18"/>
        <v/>
      </c>
      <c r="BA229" s="80"/>
      <c r="BB229" s="140"/>
      <c r="BC229" s="145" t="str">
        <f t="shared" si="19"/>
        <v/>
      </c>
      <c r="BD229" s="113"/>
      <c r="BE229" s="114"/>
      <c r="BF229" s="146" t="str">
        <f t="shared" si="20"/>
        <v/>
      </c>
      <c r="BG229" s="147" t="s">
        <v>84</v>
      </c>
      <c r="BH229" s="148"/>
      <c r="BI229" s="156"/>
      <c r="BJ229" s="150">
        <f>'Degrémont sortie'!BI229</f>
        <v>0</v>
      </c>
      <c r="BK229" s="151">
        <f>'Degrémont sortie'!BJ229</f>
        <v>0</v>
      </c>
    </row>
    <row r="230" spans="1:63" ht="14.25" outlineLevel="1">
      <c r="A230" s="152">
        <f t="shared" si="13"/>
        <v>43682</v>
      </c>
      <c r="B230" s="122">
        <v>157</v>
      </c>
      <c r="C230" s="123">
        <v>6.34</v>
      </c>
      <c r="D230" s="124">
        <v>94.7</v>
      </c>
      <c r="E230" s="125">
        <v>237.4</v>
      </c>
      <c r="F230" s="126">
        <v>4</v>
      </c>
      <c r="G230" s="127">
        <f t="shared" si="0"/>
        <v>35675</v>
      </c>
      <c r="H230" s="128">
        <f t="shared" si="1"/>
        <v>5600.9750000000004</v>
      </c>
      <c r="I230" s="129">
        <v>5</v>
      </c>
      <c r="J230" s="126">
        <v>8131</v>
      </c>
      <c r="K230" s="79">
        <f t="shared" si="2"/>
        <v>40655</v>
      </c>
      <c r="L230" s="128">
        <f t="shared" si="3"/>
        <v>6382.835</v>
      </c>
      <c r="M230" s="130">
        <v>1</v>
      </c>
      <c r="N230" s="126">
        <v>8945</v>
      </c>
      <c r="O230" s="80">
        <f t="shared" si="4"/>
        <v>8945</v>
      </c>
      <c r="P230" s="81">
        <f t="shared" si="5"/>
        <v>1404.365</v>
      </c>
      <c r="Q230" s="129">
        <v>20</v>
      </c>
      <c r="R230" s="131">
        <v>43.1</v>
      </c>
      <c r="S230" s="127">
        <f t="shared" si="6"/>
        <v>862</v>
      </c>
      <c r="T230" s="128">
        <f t="shared" si="7"/>
        <v>135.334</v>
      </c>
      <c r="U230" s="113"/>
      <c r="V230" s="81">
        <f t="shared" si="14"/>
        <v>0</v>
      </c>
      <c r="W230" s="132"/>
      <c r="X230" s="153"/>
      <c r="Y230" s="94"/>
      <c r="Z230" s="132"/>
      <c r="AA230" s="153"/>
      <c r="AB230" s="94"/>
      <c r="AC230" s="133"/>
      <c r="AD230" s="93" t="str">
        <f t="shared" si="8"/>
        <v/>
      </c>
      <c r="AE230" s="94" t="e">
        <f t="shared" si="9"/>
        <v>#VALUE!</v>
      </c>
      <c r="AF230" s="134" t="s">
        <v>85</v>
      </c>
      <c r="AG230" s="135">
        <v>0.02</v>
      </c>
      <c r="AH230" s="136">
        <f t="shared" si="10"/>
        <v>1.57E-3</v>
      </c>
      <c r="AI230" s="80"/>
      <c r="AJ230" s="154"/>
      <c r="AK230" s="100" t="str">
        <f t="shared" si="21"/>
        <v/>
      </c>
      <c r="AL230" s="138"/>
      <c r="AM230" s="113"/>
      <c r="AN230" s="103" t="str">
        <f t="shared" si="12"/>
        <v/>
      </c>
      <c r="AO230" s="139"/>
      <c r="AP230" s="140"/>
      <c r="AQ230" s="141" t="str">
        <f t="shared" si="15"/>
        <v/>
      </c>
      <c r="AR230" s="142"/>
      <c r="AS230" s="140"/>
      <c r="AT230" s="143" t="str">
        <f t="shared" si="16"/>
        <v/>
      </c>
      <c r="AU230" s="139"/>
      <c r="AV230" s="113"/>
      <c r="AW230" s="107" t="str">
        <f t="shared" si="17"/>
        <v/>
      </c>
      <c r="AX230" s="113"/>
      <c r="AY230" s="113"/>
      <c r="AZ230" s="144" t="str">
        <f t="shared" si="18"/>
        <v/>
      </c>
      <c r="BA230" s="80"/>
      <c r="BB230" s="140"/>
      <c r="BC230" s="145" t="str">
        <f t="shared" si="19"/>
        <v/>
      </c>
      <c r="BD230" s="113"/>
      <c r="BE230" s="114"/>
      <c r="BF230" s="146" t="str">
        <f t="shared" si="20"/>
        <v/>
      </c>
      <c r="BG230" s="147" t="s">
        <v>84</v>
      </c>
      <c r="BH230" s="148"/>
      <c r="BI230" s="156"/>
      <c r="BJ230" s="150">
        <f>'Degrémont sortie'!BI230</f>
        <v>0</v>
      </c>
      <c r="BK230" s="151">
        <f>'Degrémont sortie'!BJ230</f>
        <v>0</v>
      </c>
    </row>
    <row r="231" spans="1:63" ht="14.25" outlineLevel="1">
      <c r="A231" s="121">
        <f t="shared" si="13"/>
        <v>43683</v>
      </c>
      <c r="B231" s="122">
        <v>175</v>
      </c>
      <c r="C231" s="123">
        <v>7.49</v>
      </c>
      <c r="D231" s="124">
        <v>89.3</v>
      </c>
      <c r="E231" s="125">
        <v>539.4</v>
      </c>
      <c r="F231" s="126">
        <v>25</v>
      </c>
      <c r="G231" s="127">
        <f t="shared" si="0"/>
        <v>18003.999999999996</v>
      </c>
      <c r="H231" s="128">
        <f t="shared" si="1"/>
        <v>3150.6999999999994</v>
      </c>
      <c r="I231" s="129">
        <v>5</v>
      </c>
      <c r="J231" s="126">
        <v>5633</v>
      </c>
      <c r="K231" s="79">
        <f t="shared" si="2"/>
        <v>28165</v>
      </c>
      <c r="L231" s="128">
        <f t="shared" si="3"/>
        <v>4928.875</v>
      </c>
      <c r="M231" s="130">
        <v>1</v>
      </c>
      <c r="N231" s="126">
        <v>8564</v>
      </c>
      <c r="O231" s="80">
        <f t="shared" si="4"/>
        <v>8564</v>
      </c>
      <c r="P231" s="81">
        <f t="shared" si="5"/>
        <v>1498.7</v>
      </c>
      <c r="Q231" s="129">
        <v>20</v>
      </c>
      <c r="R231" s="131">
        <v>35.200000000000003</v>
      </c>
      <c r="S231" s="127">
        <f t="shared" si="6"/>
        <v>704</v>
      </c>
      <c r="T231" s="128">
        <f t="shared" si="7"/>
        <v>123.2</v>
      </c>
      <c r="U231" s="113"/>
      <c r="V231" s="81">
        <f t="shared" si="14"/>
        <v>0</v>
      </c>
      <c r="W231" s="132"/>
      <c r="X231" s="153"/>
      <c r="Y231" s="94"/>
      <c r="Z231" s="132"/>
      <c r="AA231" s="153"/>
      <c r="AB231" s="94"/>
      <c r="AC231" s="133"/>
      <c r="AD231" s="93" t="str">
        <f t="shared" si="8"/>
        <v/>
      </c>
      <c r="AE231" s="94" t="e">
        <f t="shared" si="9"/>
        <v>#VALUE!</v>
      </c>
      <c r="AF231" s="139"/>
      <c r="AG231" s="135">
        <v>0.08</v>
      </c>
      <c r="AH231" s="136">
        <f t="shared" si="10"/>
        <v>1.4E-2</v>
      </c>
      <c r="AI231" s="80"/>
      <c r="AJ231" s="154"/>
      <c r="AK231" s="100" t="str">
        <f t="shared" si="21"/>
        <v/>
      </c>
      <c r="AL231" s="138"/>
      <c r="AM231" s="131">
        <v>270</v>
      </c>
      <c r="AN231" s="103">
        <f t="shared" si="12"/>
        <v>365.58000000000004</v>
      </c>
      <c r="AO231" s="139"/>
      <c r="AP231" s="155">
        <v>637.76</v>
      </c>
      <c r="AQ231" s="141">
        <f t="shared" si="15"/>
        <v>863.52704000000006</v>
      </c>
      <c r="AR231" s="142"/>
      <c r="AS231" s="155">
        <v>7.21</v>
      </c>
      <c r="AT231" s="143">
        <f t="shared" si="16"/>
        <v>9.76234</v>
      </c>
      <c r="AU231" s="139"/>
      <c r="AV231" s="131">
        <v>8.64</v>
      </c>
      <c r="AW231" s="107">
        <f t="shared" si="17"/>
        <v>11.698560000000002</v>
      </c>
      <c r="AX231" s="113"/>
      <c r="AY231" s="131">
        <v>438</v>
      </c>
      <c r="AZ231" s="144">
        <f t="shared" si="18"/>
        <v>593.05200000000002</v>
      </c>
      <c r="BA231" s="80"/>
      <c r="BB231" s="155">
        <v>78.22</v>
      </c>
      <c r="BC231" s="145">
        <f t="shared" si="19"/>
        <v>105.90988</v>
      </c>
      <c r="BD231" s="113"/>
      <c r="BE231" s="158">
        <v>0.51</v>
      </c>
      <c r="BF231" s="146">
        <f t="shared" si="20"/>
        <v>0.69054000000000004</v>
      </c>
      <c r="BG231" s="147" t="s">
        <v>84</v>
      </c>
      <c r="BH231" s="148"/>
      <c r="BI231" s="156"/>
      <c r="BJ231" s="150">
        <f>'Degrémont sortie'!BI231</f>
        <v>0</v>
      </c>
      <c r="BK231" s="151">
        <f>'Degrémont sortie'!BJ231</f>
        <v>0</v>
      </c>
    </row>
    <row r="232" spans="1:63" ht="14.25" outlineLevel="1">
      <c r="A232" s="152">
        <f t="shared" si="13"/>
        <v>43684</v>
      </c>
      <c r="B232" s="122">
        <v>262</v>
      </c>
      <c r="C232" s="123">
        <v>7.6</v>
      </c>
      <c r="D232" s="124">
        <v>89.2</v>
      </c>
      <c r="E232" s="125">
        <v>270.2</v>
      </c>
      <c r="F232" s="126">
        <v>10</v>
      </c>
      <c r="G232" s="127">
        <f t="shared" si="0"/>
        <v>18100</v>
      </c>
      <c r="H232" s="128">
        <f t="shared" si="1"/>
        <v>4742.2</v>
      </c>
      <c r="I232" s="129">
        <v>5</v>
      </c>
      <c r="J232" s="126">
        <v>19200</v>
      </c>
      <c r="K232" s="79">
        <f t="shared" si="2"/>
        <v>96000</v>
      </c>
      <c r="L232" s="128">
        <f t="shared" si="3"/>
        <v>25152</v>
      </c>
      <c r="M232" s="130">
        <v>1</v>
      </c>
      <c r="N232" s="126">
        <v>2810</v>
      </c>
      <c r="O232" s="80">
        <f t="shared" si="4"/>
        <v>2810</v>
      </c>
      <c r="P232" s="81">
        <f t="shared" si="5"/>
        <v>736.22</v>
      </c>
      <c r="Q232" s="129">
        <v>50</v>
      </c>
      <c r="R232" s="131">
        <v>25.8</v>
      </c>
      <c r="S232" s="127">
        <f t="shared" si="6"/>
        <v>1290</v>
      </c>
      <c r="T232" s="128">
        <f t="shared" si="7"/>
        <v>337.98</v>
      </c>
      <c r="U232" s="131">
        <v>380</v>
      </c>
      <c r="V232" s="81">
        <f t="shared" si="14"/>
        <v>99.56</v>
      </c>
      <c r="W232" s="132"/>
      <c r="X232" s="153"/>
      <c r="Y232" s="94"/>
      <c r="Z232" s="132"/>
      <c r="AA232" s="153"/>
      <c r="AB232" s="94"/>
      <c r="AC232" s="133"/>
      <c r="AD232" s="93" t="str">
        <f t="shared" si="8"/>
        <v/>
      </c>
      <c r="AE232" s="94" t="e">
        <f t="shared" si="9"/>
        <v>#VALUE!</v>
      </c>
      <c r="AF232" s="139"/>
      <c r="AG232" s="135">
        <v>0.03</v>
      </c>
      <c r="AH232" s="136">
        <f t="shared" si="10"/>
        <v>7.8599999999999989E-3</v>
      </c>
      <c r="AI232" s="80"/>
      <c r="AJ232" s="154"/>
      <c r="AK232" s="100" t="str">
        <f t="shared" si="21"/>
        <v/>
      </c>
      <c r="AL232" s="138"/>
      <c r="AM232" s="113"/>
      <c r="AN232" s="103" t="str">
        <f t="shared" si="12"/>
        <v/>
      </c>
      <c r="AO232" s="139"/>
      <c r="AP232" s="140"/>
      <c r="AQ232" s="141" t="str">
        <f t="shared" si="15"/>
        <v/>
      </c>
      <c r="AR232" s="142"/>
      <c r="AS232" s="140"/>
      <c r="AT232" s="143" t="str">
        <f t="shared" si="16"/>
        <v/>
      </c>
      <c r="AU232" s="139"/>
      <c r="AV232" s="113"/>
      <c r="AW232" s="107" t="str">
        <f t="shared" si="17"/>
        <v/>
      </c>
      <c r="AX232" s="113"/>
      <c r="AY232" s="113"/>
      <c r="AZ232" s="144" t="str">
        <f t="shared" si="18"/>
        <v/>
      </c>
      <c r="BA232" s="80"/>
      <c r="BB232" s="140"/>
      <c r="BC232" s="145" t="str">
        <f t="shared" si="19"/>
        <v/>
      </c>
      <c r="BD232" s="113"/>
      <c r="BE232" s="114"/>
      <c r="BF232" s="146" t="str">
        <f t="shared" si="20"/>
        <v/>
      </c>
      <c r="BG232" s="147" t="s">
        <v>84</v>
      </c>
      <c r="BH232" s="148"/>
      <c r="BI232" s="156"/>
      <c r="BJ232" s="150">
        <f>'Degrémont sortie'!BI232</f>
        <v>0</v>
      </c>
      <c r="BK232" s="151">
        <f>'Degrémont sortie'!BJ232</f>
        <v>0</v>
      </c>
    </row>
    <row r="233" spans="1:63" ht="14.25" outlineLevel="1">
      <c r="A233" s="121">
        <f t="shared" si="13"/>
        <v>43685</v>
      </c>
      <c r="B233" s="122">
        <v>677</v>
      </c>
      <c r="C233" s="123">
        <v>8.08</v>
      </c>
      <c r="D233" s="124">
        <v>94.4</v>
      </c>
      <c r="E233" s="125">
        <v>364.9</v>
      </c>
      <c r="F233" s="126">
        <v>7</v>
      </c>
      <c r="G233" s="127">
        <f t="shared" si="0"/>
        <v>38642.857142857145</v>
      </c>
      <c r="H233" s="128">
        <f t="shared" si="1"/>
        <v>26161.214285714286</v>
      </c>
      <c r="I233" s="129">
        <v>50</v>
      </c>
      <c r="J233" s="126">
        <v>2659</v>
      </c>
      <c r="K233" s="79">
        <f t="shared" si="2"/>
        <v>132950</v>
      </c>
      <c r="L233" s="128">
        <f t="shared" si="3"/>
        <v>90007.15</v>
      </c>
      <c r="M233" s="130">
        <v>5</v>
      </c>
      <c r="N233" s="126">
        <v>221</v>
      </c>
      <c r="O233" s="80">
        <f t="shared" si="4"/>
        <v>1105</v>
      </c>
      <c r="P233" s="81">
        <f t="shared" si="5"/>
        <v>748.08500000000004</v>
      </c>
      <c r="Q233" s="129">
        <v>50</v>
      </c>
      <c r="R233" s="131">
        <v>31</v>
      </c>
      <c r="S233" s="127">
        <f t="shared" si="6"/>
        <v>1550</v>
      </c>
      <c r="T233" s="128">
        <f t="shared" si="7"/>
        <v>1049.3499999999999</v>
      </c>
      <c r="U233" s="113"/>
      <c r="V233" s="81">
        <f t="shared" si="14"/>
        <v>0</v>
      </c>
      <c r="W233" s="132"/>
      <c r="X233" s="153"/>
      <c r="Y233" s="94"/>
      <c r="Z233" s="132"/>
      <c r="AA233" s="153"/>
      <c r="AB233" s="94"/>
      <c r="AC233" s="133"/>
      <c r="AD233" s="93" t="str">
        <f t="shared" si="8"/>
        <v/>
      </c>
      <c r="AE233" s="94" t="e">
        <f t="shared" si="9"/>
        <v>#VALUE!</v>
      </c>
      <c r="AF233" s="134" t="s">
        <v>85</v>
      </c>
      <c r="AG233" s="135">
        <v>0.01</v>
      </c>
      <c r="AH233" s="136">
        <f t="shared" si="10"/>
        <v>3.3850000000000004E-3</v>
      </c>
      <c r="AI233" s="80"/>
      <c r="AJ233" s="154"/>
      <c r="AK233" s="100" t="str">
        <f t="shared" si="21"/>
        <v/>
      </c>
      <c r="AL233" s="138"/>
      <c r="AM233" s="113"/>
      <c r="AN233" s="103" t="str">
        <f t="shared" si="12"/>
        <v/>
      </c>
      <c r="AO233" s="139"/>
      <c r="AP233" s="140"/>
      <c r="AQ233" s="141" t="str">
        <f t="shared" si="15"/>
        <v/>
      </c>
      <c r="AR233" s="142"/>
      <c r="AS233" s="140"/>
      <c r="AT233" s="143" t="str">
        <f t="shared" si="16"/>
        <v/>
      </c>
      <c r="AU233" s="139"/>
      <c r="AV233" s="113"/>
      <c r="AW233" s="107" t="str">
        <f t="shared" si="17"/>
        <v/>
      </c>
      <c r="AX233" s="113"/>
      <c r="AY233" s="113"/>
      <c r="AZ233" s="144" t="str">
        <f t="shared" si="18"/>
        <v/>
      </c>
      <c r="BA233" s="80"/>
      <c r="BB233" s="140"/>
      <c r="BC233" s="145" t="str">
        <f t="shared" si="19"/>
        <v/>
      </c>
      <c r="BD233" s="113"/>
      <c r="BE233" s="114"/>
      <c r="BF233" s="146" t="str">
        <f t="shared" si="20"/>
        <v/>
      </c>
      <c r="BG233" s="147" t="s">
        <v>84</v>
      </c>
      <c r="BH233" s="148"/>
      <c r="BI233" s="156"/>
      <c r="BJ233" s="150">
        <f>'Degrémont sortie'!BI233</f>
        <v>0</v>
      </c>
      <c r="BK233" s="151">
        <f>'Degrémont sortie'!BJ233</f>
        <v>0</v>
      </c>
    </row>
    <row r="234" spans="1:63" ht="14.25" outlineLevel="1">
      <c r="A234" s="152">
        <f t="shared" si="13"/>
        <v>43686</v>
      </c>
      <c r="B234" s="207"/>
      <c r="C234" s="208"/>
      <c r="D234" s="210"/>
      <c r="E234" s="211"/>
      <c r="F234" s="80"/>
      <c r="G234" s="127">
        <f t="shared" si="0"/>
        <v>0</v>
      </c>
      <c r="H234" s="128">
        <f t="shared" si="1"/>
        <v>0</v>
      </c>
      <c r="I234" s="129">
        <v>1</v>
      </c>
      <c r="J234" s="80"/>
      <c r="K234" s="79">
        <f t="shared" si="2"/>
        <v>0</v>
      </c>
      <c r="L234" s="128">
        <f t="shared" si="3"/>
        <v>0</v>
      </c>
      <c r="M234" s="130">
        <v>1</v>
      </c>
      <c r="N234" s="80"/>
      <c r="O234" s="80" t="str">
        <f t="shared" si="4"/>
        <v/>
      </c>
      <c r="P234" s="81">
        <f t="shared" si="5"/>
        <v>0</v>
      </c>
      <c r="Q234" s="213"/>
      <c r="R234" s="113"/>
      <c r="S234" s="127" t="str">
        <f t="shared" si="6"/>
        <v/>
      </c>
      <c r="T234" s="128">
        <f t="shared" si="7"/>
        <v>0</v>
      </c>
      <c r="U234" s="113"/>
      <c r="V234" s="81">
        <f t="shared" si="14"/>
        <v>0</v>
      </c>
      <c r="W234" s="132"/>
      <c r="X234" s="153"/>
      <c r="Y234" s="94"/>
      <c r="Z234" s="132"/>
      <c r="AA234" s="153"/>
      <c r="AB234" s="94"/>
      <c r="AC234" s="133"/>
      <c r="AD234" s="93" t="str">
        <f t="shared" si="8"/>
        <v/>
      </c>
      <c r="AE234" s="94" t="str">
        <f t="shared" si="9"/>
        <v/>
      </c>
      <c r="AF234" s="134" t="s">
        <v>85</v>
      </c>
      <c r="AG234" s="135">
        <v>0.01</v>
      </c>
      <c r="AH234" s="136" t="str">
        <f t="shared" si="10"/>
        <v/>
      </c>
      <c r="AI234" s="80"/>
      <c r="AJ234" s="154"/>
      <c r="AK234" s="100" t="str">
        <f t="shared" si="21"/>
        <v/>
      </c>
      <c r="AL234" s="138"/>
      <c r="AM234" s="113"/>
      <c r="AN234" s="103" t="str">
        <f t="shared" si="12"/>
        <v/>
      </c>
      <c r="AO234" s="139"/>
      <c r="AP234" s="140"/>
      <c r="AQ234" s="141" t="str">
        <f t="shared" si="15"/>
        <v/>
      </c>
      <c r="AR234" s="142"/>
      <c r="AS234" s="140"/>
      <c r="AT234" s="143" t="str">
        <f t="shared" si="16"/>
        <v/>
      </c>
      <c r="AU234" s="139"/>
      <c r="AV234" s="113"/>
      <c r="AW234" s="107" t="str">
        <f t="shared" si="17"/>
        <v/>
      </c>
      <c r="AX234" s="113"/>
      <c r="AY234" s="113"/>
      <c r="AZ234" s="144" t="str">
        <f t="shared" si="18"/>
        <v/>
      </c>
      <c r="BA234" s="80"/>
      <c r="BB234" s="140"/>
      <c r="BC234" s="145" t="str">
        <f t="shared" si="19"/>
        <v/>
      </c>
      <c r="BD234" s="113"/>
      <c r="BE234" s="114"/>
      <c r="BF234" s="146" t="str">
        <f t="shared" si="20"/>
        <v/>
      </c>
      <c r="BG234" s="147" t="s">
        <v>84</v>
      </c>
      <c r="BH234" s="148"/>
      <c r="BI234" s="156"/>
      <c r="BJ234" s="150">
        <f>'Degrémont sortie'!BI234</f>
        <v>0</v>
      </c>
      <c r="BK234" s="151">
        <f>'Degrémont sortie'!BJ234</f>
        <v>0</v>
      </c>
    </row>
    <row r="235" spans="1:63" ht="14.25" outlineLevel="1">
      <c r="A235" s="121">
        <f t="shared" si="13"/>
        <v>43687</v>
      </c>
      <c r="B235" s="207"/>
      <c r="C235" s="208"/>
      <c r="D235" s="210"/>
      <c r="E235" s="211"/>
      <c r="F235" s="80"/>
      <c r="G235" s="127">
        <f t="shared" si="0"/>
        <v>0</v>
      </c>
      <c r="H235" s="128">
        <f t="shared" si="1"/>
        <v>0</v>
      </c>
      <c r="I235" s="129">
        <v>1</v>
      </c>
      <c r="J235" s="80"/>
      <c r="K235" s="79">
        <f t="shared" si="2"/>
        <v>0</v>
      </c>
      <c r="L235" s="128">
        <f t="shared" si="3"/>
        <v>0</v>
      </c>
      <c r="M235" s="130">
        <v>1</v>
      </c>
      <c r="N235" s="80"/>
      <c r="O235" s="80" t="str">
        <f t="shared" si="4"/>
        <v/>
      </c>
      <c r="P235" s="81">
        <f t="shared" si="5"/>
        <v>0</v>
      </c>
      <c r="Q235" s="213"/>
      <c r="R235" s="113"/>
      <c r="S235" s="127" t="str">
        <f t="shared" si="6"/>
        <v/>
      </c>
      <c r="T235" s="128">
        <f t="shared" si="7"/>
        <v>0</v>
      </c>
      <c r="U235" s="113"/>
      <c r="V235" s="81">
        <f t="shared" si="14"/>
        <v>0</v>
      </c>
      <c r="W235" s="132"/>
      <c r="X235" s="153"/>
      <c r="Y235" s="94"/>
      <c r="Z235" s="132"/>
      <c r="AA235" s="153"/>
      <c r="AB235" s="94"/>
      <c r="AC235" s="133"/>
      <c r="AD235" s="93" t="str">
        <f t="shared" si="8"/>
        <v/>
      </c>
      <c r="AE235" s="94" t="str">
        <f t="shared" si="9"/>
        <v/>
      </c>
      <c r="AF235" s="139"/>
      <c r="AG235" s="215"/>
      <c r="AH235" s="136" t="str">
        <f t="shared" si="10"/>
        <v/>
      </c>
      <c r="AI235" s="80"/>
      <c r="AJ235" s="154"/>
      <c r="AK235" s="100" t="str">
        <f t="shared" si="21"/>
        <v/>
      </c>
      <c r="AL235" s="138"/>
      <c r="AM235" s="113"/>
      <c r="AN235" s="103" t="str">
        <f t="shared" si="12"/>
        <v/>
      </c>
      <c r="AO235" s="139"/>
      <c r="AP235" s="140"/>
      <c r="AQ235" s="141" t="str">
        <f t="shared" si="15"/>
        <v/>
      </c>
      <c r="AR235" s="142"/>
      <c r="AS235" s="140"/>
      <c r="AT235" s="143" t="str">
        <f t="shared" si="16"/>
        <v/>
      </c>
      <c r="AU235" s="139"/>
      <c r="AV235" s="113"/>
      <c r="AW235" s="107" t="str">
        <f t="shared" si="17"/>
        <v/>
      </c>
      <c r="AX235" s="113"/>
      <c r="AY235" s="113"/>
      <c r="AZ235" s="144" t="str">
        <f t="shared" si="18"/>
        <v/>
      </c>
      <c r="BA235" s="80"/>
      <c r="BB235" s="140"/>
      <c r="BC235" s="145" t="str">
        <f t="shared" si="19"/>
        <v/>
      </c>
      <c r="BD235" s="113"/>
      <c r="BE235" s="114"/>
      <c r="BF235" s="146" t="str">
        <f t="shared" si="20"/>
        <v/>
      </c>
      <c r="BG235" s="147" t="s">
        <v>84</v>
      </c>
      <c r="BH235" s="148"/>
      <c r="BI235" s="156"/>
      <c r="BJ235" s="150">
        <f>'Degrémont sortie'!BI235</f>
        <v>0</v>
      </c>
      <c r="BK235" s="151">
        <f>'Degrémont sortie'!BJ235</f>
        <v>0</v>
      </c>
    </row>
    <row r="236" spans="1:63" ht="14.25" outlineLevel="1">
      <c r="A236" s="152">
        <f t="shared" si="13"/>
        <v>43688</v>
      </c>
      <c r="B236" s="207"/>
      <c r="C236" s="208"/>
      <c r="D236" s="210"/>
      <c r="E236" s="211"/>
      <c r="F236" s="80"/>
      <c r="G236" s="127">
        <f t="shared" si="0"/>
        <v>0</v>
      </c>
      <c r="H236" s="128">
        <f t="shared" si="1"/>
        <v>0</v>
      </c>
      <c r="I236" s="129">
        <v>1</v>
      </c>
      <c r="J236" s="80"/>
      <c r="K236" s="79">
        <f t="shared" si="2"/>
        <v>0</v>
      </c>
      <c r="L236" s="128">
        <f t="shared" si="3"/>
        <v>0</v>
      </c>
      <c r="M236" s="130">
        <v>1</v>
      </c>
      <c r="N236" s="80"/>
      <c r="O236" s="80" t="str">
        <f t="shared" si="4"/>
        <v/>
      </c>
      <c r="P236" s="81">
        <f t="shared" si="5"/>
        <v>0</v>
      </c>
      <c r="Q236" s="213"/>
      <c r="R236" s="113"/>
      <c r="S236" s="127" t="str">
        <f t="shared" si="6"/>
        <v/>
      </c>
      <c r="T236" s="128">
        <f t="shared" si="7"/>
        <v>0</v>
      </c>
      <c r="U236" s="113"/>
      <c r="V236" s="81">
        <f t="shared" si="14"/>
        <v>0</v>
      </c>
      <c r="W236" s="132"/>
      <c r="X236" s="153"/>
      <c r="Y236" s="94"/>
      <c r="Z236" s="132"/>
      <c r="AA236" s="153"/>
      <c r="AB236" s="94"/>
      <c r="AC236" s="133"/>
      <c r="AD236" s="93" t="str">
        <f t="shared" si="8"/>
        <v/>
      </c>
      <c r="AE236" s="94" t="str">
        <f t="shared" si="9"/>
        <v/>
      </c>
      <c r="AF236" s="139"/>
      <c r="AG236" s="215"/>
      <c r="AH236" s="136" t="str">
        <f t="shared" si="10"/>
        <v/>
      </c>
      <c r="AI236" s="80"/>
      <c r="AJ236" s="154"/>
      <c r="AK236" s="100" t="str">
        <f t="shared" si="21"/>
        <v/>
      </c>
      <c r="AL236" s="138"/>
      <c r="AM236" s="113"/>
      <c r="AN236" s="103" t="str">
        <f t="shared" si="12"/>
        <v/>
      </c>
      <c r="AO236" s="139"/>
      <c r="AP236" s="140"/>
      <c r="AQ236" s="141" t="str">
        <f t="shared" si="15"/>
        <v/>
      </c>
      <c r="AR236" s="142"/>
      <c r="AS236" s="140"/>
      <c r="AT236" s="143" t="str">
        <f t="shared" si="16"/>
        <v/>
      </c>
      <c r="AU236" s="139"/>
      <c r="AV236" s="113"/>
      <c r="AW236" s="107" t="str">
        <f t="shared" si="17"/>
        <v/>
      </c>
      <c r="AX236" s="113"/>
      <c r="AY236" s="113"/>
      <c r="AZ236" s="144" t="str">
        <f t="shared" si="18"/>
        <v/>
      </c>
      <c r="BA236" s="80"/>
      <c r="BB236" s="140"/>
      <c r="BC236" s="145" t="str">
        <f t="shared" si="19"/>
        <v/>
      </c>
      <c r="BD236" s="113"/>
      <c r="BE236" s="114"/>
      <c r="BF236" s="146" t="str">
        <f t="shared" si="20"/>
        <v/>
      </c>
      <c r="BG236" s="147" t="s">
        <v>84</v>
      </c>
      <c r="BH236" s="148"/>
      <c r="BI236" s="156"/>
      <c r="BJ236" s="150">
        <f>'Degrémont sortie'!BI236</f>
        <v>0</v>
      </c>
      <c r="BK236" s="151">
        <f>'Degrémont sortie'!BJ236</f>
        <v>0</v>
      </c>
    </row>
    <row r="237" spans="1:63" ht="15.75" customHeight="1" outlineLevel="1">
      <c r="A237" s="121">
        <f t="shared" si="13"/>
        <v>43689</v>
      </c>
      <c r="B237" s="122">
        <v>33</v>
      </c>
      <c r="C237" s="208"/>
      <c r="D237" s="210"/>
      <c r="E237" s="211"/>
      <c r="F237" s="80"/>
      <c r="G237" s="127">
        <f t="shared" si="0"/>
        <v>0</v>
      </c>
      <c r="H237" s="128">
        <f t="shared" si="1"/>
        <v>0</v>
      </c>
      <c r="I237" s="129">
        <v>1</v>
      </c>
      <c r="J237" s="80"/>
      <c r="K237" s="79">
        <f t="shared" si="2"/>
        <v>0</v>
      </c>
      <c r="L237" s="128">
        <f t="shared" si="3"/>
        <v>0</v>
      </c>
      <c r="M237" s="130">
        <v>1</v>
      </c>
      <c r="N237" s="80"/>
      <c r="O237" s="80" t="str">
        <f t="shared" si="4"/>
        <v/>
      </c>
      <c r="P237" s="81" t="e">
        <f t="shared" si="5"/>
        <v>#VALUE!</v>
      </c>
      <c r="Q237" s="213"/>
      <c r="R237" s="113"/>
      <c r="S237" s="127" t="str">
        <f t="shared" si="6"/>
        <v/>
      </c>
      <c r="T237" s="128" t="e">
        <f t="shared" si="7"/>
        <v>#VALUE!</v>
      </c>
      <c r="U237" s="113"/>
      <c r="V237" s="81">
        <f t="shared" si="14"/>
        <v>0</v>
      </c>
      <c r="W237" s="132"/>
      <c r="X237" s="153"/>
      <c r="Y237" s="94"/>
      <c r="Z237" s="132"/>
      <c r="AA237" s="153"/>
      <c r="AB237" s="94"/>
      <c r="AC237" s="133"/>
      <c r="AD237" s="93" t="str">
        <f t="shared" si="8"/>
        <v/>
      </c>
      <c r="AE237" s="94" t="e">
        <f t="shared" si="9"/>
        <v>#VALUE!</v>
      </c>
      <c r="AF237" s="134" t="s">
        <v>85</v>
      </c>
      <c r="AG237" s="135">
        <v>0.01</v>
      </c>
      <c r="AH237" s="136">
        <f t="shared" si="10"/>
        <v>1.65E-4</v>
      </c>
      <c r="AI237" s="80"/>
      <c r="AJ237" s="154"/>
      <c r="AK237" s="100" t="str">
        <f t="shared" si="21"/>
        <v/>
      </c>
      <c r="AL237" s="138"/>
      <c r="AM237" s="113"/>
      <c r="AN237" s="103" t="str">
        <f t="shared" si="12"/>
        <v/>
      </c>
      <c r="AO237" s="139"/>
      <c r="AP237" s="140"/>
      <c r="AQ237" s="141" t="str">
        <f t="shared" si="15"/>
        <v/>
      </c>
      <c r="AR237" s="142"/>
      <c r="AS237" s="140"/>
      <c r="AT237" s="143" t="str">
        <f t="shared" si="16"/>
        <v/>
      </c>
      <c r="AU237" s="139"/>
      <c r="AV237" s="113"/>
      <c r="AW237" s="107" t="str">
        <f t="shared" si="17"/>
        <v/>
      </c>
      <c r="AX237" s="113"/>
      <c r="AY237" s="113"/>
      <c r="AZ237" s="144" t="str">
        <f t="shared" si="18"/>
        <v/>
      </c>
      <c r="BA237" s="80"/>
      <c r="BB237" s="140"/>
      <c r="BC237" s="145" t="str">
        <f t="shared" si="19"/>
        <v/>
      </c>
      <c r="BD237" s="113"/>
      <c r="BE237" s="114"/>
      <c r="BF237" s="146" t="str">
        <f t="shared" si="20"/>
        <v/>
      </c>
      <c r="BG237" s="147" t="s">
        <v>84</v>
      </c>
      <c r="BH237" s="148"/>
      <c r="BI237" s="156"/>
      <c r="BJ237" s="150">
        <f>'Degrémont sortie'!BI237</f>
        <v>0</v>
      </c>
      <c r="BK237" s="151">
        <f>'Degrémont sortie'!BJ237</f>
        <v>0</v>
      </c>
    </row>
    <row r="238" spans="1:63" ht="15.75" customHeight="1" outlineLevel="1">
      <c r="A238" s="152">
        <f t="shared" si="13"/>
        <v>43690</v>
      </c>
      <c r="B238" s="122">
        <v>21</v>
      </c>
      <c r="C238" s="208"/>
      <c r="D238" s="210"/>
      <c r="E238" s="211"/>
      <c r="F238" s="80"/>
      <c r="G238" s="127">
        <f t="shared" si="0"/>
        <v>0</v>
      </c>
      <c r="H238" s="128">
        <f t="shared" si="1"/>
        <v>0</v>
      </c>
      <c r="I238" s="129">
        <v>1</v>
      </c>
      <c r="J238" s="80"/>
      <c r="K238" s="79">
        <f t="shared" si="2"/>
        <v>0</v>
      </c>
      <c r="L238" s="128">
        <f t="shared" si="3"/>
        <v>0</v>
      </c>
      <c r="M238" s="130">
        <v>1</v>
      </c>
      <c r="N238" s="80"/>
      <c r="O238" s="80" t="str">
        <f t="shared" si="4"/>
        <v/>
      </c>
      <c r="P238" s="81" t="e">
        <f t="shared" si="5"/>
        <v>#VALUE!</v>
      </c>
      <c r="Q238" s="213"/>
      <c r="R238" s="113"/>
      <c r="S238" s="127" t="str">
        <f t="shared" si="6"/>
        <v/>
      </c>
      <c r="T238" s="128" t="e">
        <f t="shared" si="7"/>
        <v>#VALUE!</v>
      </c>
      <c r="U238" s="131">
        <v>470</v>
      </c>
      <c r="V238" s="81">
        <f t="shared" si="14"/>
        <v>9.8699999999999992</v>
      </c>
      <c r="W238" s="132"/>
      <c r="X238" s="153"/>
      <c r="Y238" s="94"/>
      <c r="Z238" s="132"/>
      <c r="AA238" s="153"/>
      <c r="AB238" s="94"/>
      <c r="AC238" s="133"/>
      <c r="AD238" s="93" t="str">
        <f t="shared" si="8"/>
        <v/>
      </c>
      <c r="AE238" s="94" t="e">
        <f t="shared" si="9"/>
        <v>#VALUE!</v>
      </c>
      <c r="AF238" s="134" t="s">
        <v>85</v>
      </c>
      <c r="AG238" s="135">
        <v>0.01</v>
      </c>
      <c r="AH238" s="136">
        <f t="shared" si="10"/>
        <v>1.0499999999999999E-4</v>
      </c>
      <c r="AI238" s="80"/>
      <c r="AJ238" s="154"/>
      <c r="AK238" s="100" t="str">
        <f t="shared" si="21"/>
        <v/>
      </c>
      <c r="AL238" s="138"/>
      <c r="AM238" s="131">
        <v>370</v>
      </c>
      <c r="AN238" s="103">
        <f t="shared" si="12"/>
        <v>432.15999999999997</v>
      </c>
      <c r="AO238" s="139"/>
      <c r="AP238" s="155">
        <v>255.7</v>
      </c>
      <c r="AQ238" s="141">
        <f t="shared" si="15"/>
        <v>298.65759999999995</v>
      </c>
      <c r="AR238" s="142"/>
      <c r="AS238" s="155">
        <v>4.29</v>
      </c>
      <c r="AT238" s="143">
        <f t="shared" si="16"/>
        <v>5.0107200000000001</v>
      </c>
      <c r="AU238" s="139"/>
      <c r="AV238" s="131">
        <v>9.43</v>
      </c>
      <c r="AW238" s="107">
        <f t="shared" si="17"/>
        <v>11.014239999999999</v>
      </c>
      <c r="AX238" s="113"/>
      <c r="AY238" s="131">
        <v>337.94</v>
      </c>
      <c r="AZ238" s="144">
        <f t="shared" si="18"/>
        <v>394.71391999999997</v>
      </c>
      <c r="BA238" s="80"/>
      <c r="BB238" s="155">
        <v>64.03</v>
      </c>
      <c r="BC238" s="145">
        <f t="shared" si="19"/>
        <v>74.78703999999999</v>
      </c>
      <c r="BD238" s="113"/>
      <c r="BE238" s="158">
        <v>0.39</v>
      </c>
      <c r="BF238" s="146">
        <f t="shared" si="20"/>
        <v>0.45551999999999998</v>
      </c>
      <c r="BG238" s="147" t="s">
        <v>84</v>
      </c>
      <c r="BH238" s="148"/>
      <c r="BI238" s="156"/>
      <c r="BJ238" s="150">
        <f>'Degrémont sortie'!BI238</f>
        <v>0</v>
      </c>
      <c r="BK238" s="151">
        <f>'Degrémont sortie'!BJ238</f>
        <v>0</v>
      </c>
    </row>
    <row r="239" spans="1:63" ht="15.75" customHeight="1" outlineLevel="1">
      <c r="A239" s="121">
        <f t="shared" si="13"/>
        <v>43691</v>
      </c>
      <c r="B239" s="207"/>
      <c r="C239" s="208"/>
      <c r="D239" s="210"/>
      <c r="E239" s="211"/>
      <c r="F239" s="80"/>
      <c r="G239" s="127">
        <f t="shared" si="0"/>
        <v>0</v>
      </c>
      <c r="H239" s="128">
        <f t="shared" si="1"/>
        <v>0</v>
      </c>
      <c r="I239" s="129">
        <v>1</v>
      </c>
      <c r="J239" s="80"/>
      <c r="K239" s="79">
        <f t="shared" si="2"/>
        <v>0</v>
      </c>
      <c r="L239" s="128">
        <f t="shared" si="3"/>
        <v>0</v>
      </c>
      <c r="M239" s="130">
        <v>1</v>
      </c>
      <c r="N239" s="80"/>
      <c r="O239" s="80" t="str">
        <f t="shared" si="4"/>
        <v/>
      </c>
      <c r="P239" s="81">
        <f t="shared" si="5"/>
        <v>0</v>
      </c>
      <c r="Q239" s="213"/>
      <c r="R239" s="113"/>
      <c r="S239" s="127" t="str">
        <f t="shared" si="6"/>
        <v/>
      </c>
      <c r="T239" s="128">
        <f t="shared" si="7"/>
        <v>0</v>
      </c>
      <c r="U239" s="113"/>
      <c r="V239" s="81">
        <f t="shared" si="14"/>
        <v>0</v>
      </c>
      <c r="W239" s="132"/>
      <c r="X239" s="153"/>
      <c r="Y239" s="94"/>
      <c r="Z239" s="132"/>
      <c r="AA239" s="153"/>
      <c r="AB239" s="94"/>
      <c r="AC239" s="133"/>
      <c r="AD239" s="93" t="str">
        <f t="shared" si="8"/>
        <v/>
      </c>
      <c r="AE239" s="94" t="str">
        <f t="shared" si="9"/>
        <v/>
      </c>
      <c r="AF239" s="139"/>
      <c r="AG239" s="215"/>
      <c r="AH239" s="136" t="str">
        <f t="shared" si="10"/>
        <v/>
      </c>
      <c r="AI239" s="80"/>
      <c r="AJ239" s="154"/>
      <c r="AK239" s="100" t="str">
        <f t="shared" si="21"/>
        <v/>
      </c>
      <c r="AL239" s="138"/>
      <c r="AM239" s="113"/>
      <c r="AN239" s="103" t="str">
        <f t="shared" si="12"/>
        <v/>
      </c>
      <c r="AO239" s="139"/>
      <c r="AP239" s="140"/>
      <c r="AQ239" s="141" t="str">
        <f t="shared" si="15"/>
        <v/>
      </c>
      <c r="AR239" s="142"/>
      <c r="AS239" s="140"/>
      <c r="AT239" s="143" t="str">
        <f t="shared" si="16"/>
        <v/>
      </c>
      <c r="AU239" s="139"/>
      <c r="AV239" s="113"/>
      <c r="AW239" s="107" t="str">
        <f t="shared" si="17"/>
        <v/>
      </c>
      <c r="AX239" s="113"/>
      <c r="AY239" s="113"/>
      <c r="AZ239" s="144" t="str">
        <f t="shared" si="18"/>
        <v/>
      </c>
      <c r="BA239" s="80"/>
      <c r="BB239" s="140"/>
      <c r="BC239" s="145" t="str">
        <f t="shared" si="19"/>
        <v/>
      </c>
      <c r="BD239" s="113"/>
      <c r="BE239" s="114"/>
      <c r="BF239" s="146" t="str">
        <f t="shared" si="20"/>
        <v/>
      </c>
      <c r="BG239" s="147" t="s">
        <v>84</v>
      </c>
      <c r="BH239" s="148"/>
      <c r="BI239" s="156"/>
      <c r="BJ239" s="150">
        <f>'Degrémont sortie'!BI239</f>
        <v>0</v>
      </c>
      <c r="BK239" s="151">
        <f>'Degrémont sortie'!BJ239</f>
        <v>0</v>
      </c>
    </row>
    <row r="240" spans="1:63" ht="15.75" customHeight="1" outlineLevel="1">
      <c r="A240" s="152">
        <f t="shared" si="13"/>
        <v>43692</v>
      </c>
      <c r="B240" s="207"/>
      <c r="C240" s="208"/>
      <c r="D240" s="210"/>
      <c r="E240" s="211"/>
      <c r="F240" s="80"/>
      <c r="G240" s="127">
        <f t="shared" si="0"/>
        <v>0</v>
      </c>
      <c r="H240" s="128">
        <f t="shared" si="1"/>
        <v>0</v>
      </c>
      <c r="I240" s="129">
        <v>1</v>
      </c>
      <c r="J240" s="80"/>
      <c r="K240" s="79">
        <f t="shared" si="2"/>
        <v>0</v>
      </c>
      <c r="L240" s="128">
        <f t="shared" si="3"/>
        <v>0</v>
      </c>
      <c r="M240" s="130">
        <v>1</v>
      </c>
      <c r="N240" s="80"/>
      <c r="O240" s="80" t="str">
        <f t="shared" si="4"/>
        <v/>
      </c>
      <c r="P240" s="81">
        <f t="shared" si="5"/>
        <v>0</v>
      </c>
      <c r="Q240" s="213"/>
      <c r="R240" s="113"/>
      <c r="S240" s="127" t="str">
        <f t="shared" si="6"/>
        <v/>
      </c>
      <c r="T240" s="128">
        <f t="shared" si="7"/>
        <v>0</v>
      </c>
      <c r="U240" s="113"/>
      <c r="V240" s="81">
        <f t="shared" si="14"/>
        <v>0</v>
      </c>
      <c r="W240" s="132"/>
      <c r="X240" s="153"/>
      <c r="Y240" s="94"/>
      <c r="Z240" s="132"/>
      <c r="AA240" s="153"/>
      <c r="AB240" s="94"/>
      <c r="AC240" s="133"/>
      <c r="AD240" s="93" t="str">
        <f t="shared" si="8"/>
        <v/>
      </c>
      <c r="AE240" s="94" t="str">
        <f t="shared" si="9"/>
        <v/>
      </c>
      <c r="AF240" s="139"/>
      <c r="AG240" s="215"/>
      <c r="AH240" s="136" t="str">
        <f t="shared" si="10"/>
        <v/>
      </c>
      <c r="AI240" s="80"/>
      <c r="AJ240" s="154"/>
      <c r="AK240" s="100" t="str">
        <f t="shared" si="21"/>
        <v/>
      </c>
      <c r="AL240" s="138"/>
      <c r="AM240" s="113"/>
      <c r="AN240" s="103" t="str">
        <f t="shared" si="12"/>
        <v/>
      </c>
      <c r="AO240" s="139"/>
      <c r="AP240" s="140"/>
      <c r="AQ240" s="141" t="str">
        <f t="shared" si="15"/>
        <v/>
      </c>
      <c r="AR240" s="142"/>
      <c r="AS240" s="140"/>
      <c r="AT240" s="143" t="str">
        <f t="shared" si="16"/>
        <v/>
      </c>
      <c r="AU240" s="139"/>
      <c r="AV240" s="113"/>
      <c r="AW240" s="107" t="str">
        <f t="shared" si="17"/>
        <v/>
      </c>
      <c r="AX240" s="113"/>
      <c r="AY240" s="113"/>
      <c r="AZ240" s="144" t="str">
        <f t="shared" si="18"/>
        <v/>
      </c>
      <c r="BA240" s="80"/>
      <c r="BB240" s="140"/>
      <c r="BC240" s="145" t="str">
        <f t="shared" si="19"/>
        <v/>
      </c>
      <c r="BD240" s="113"/>
      <c r="BE240" s="114"/>
      <c r="BF240" s="146" t="str">
        <f t="shared" si="20"/>
        <v/>
      </c>
      <c r="BG240" s="147" t="s">
        <v>84</v>
      </c>
      <c r="BH240" s="148"/>
      <c r="BI240" s="156"/>
      <c r="BJ240" s="150">
        <f>'Degrémont sortie'!BI240</f>
        <v>0</v>
      </c>
      <c r="BK240" s="151">
        <f>'Degrémont sortie'!BJ240</f>
        <v>0</v>
      </c>
    </row>
    <row r="241" spans="1:63" ht="15.75" customHeight="1" outlineLevel="1">
      <c r="A241" s="121">
        <f t="shared" si="13"/>
        <v>43693</v>
      </c>
      <c r="B241" s="122">
        <v>98</v>
      </c>
      <c r="C241" s="123">
        <v>10.1</v>
      </c>
      <c r="D241" s="124">
        <v>94.9</v>
      </c>
      <c r="E241" s="125">
        <v>163.69999999999999</v>
      </c>
      <c r="F241" s="126">
        <v>8</v>
      </c>
      <c r="G241" s="127">
        <f t="shared" si="0"/>
        <v>8599.9999999999982</v>
      </c>
      <c r="H241" s="128">
        <f t="shared" si="1"/>
        <v>842.79999999999973</v>
      </c>
      <c r="I241" s="129">
        <v>20</v>
      </c>
      <c r="J241" s="126">
        <v>1307</v>
      </c>
      <c r="K241" s="79">
        <f t="shared" si="2"/>
        <v>26140</v>
      </c>
      <c r="L241" s="128">
        <f t="shared" si="3"/>
        <v>2561.7199999999998</v>
      </c>
      <c r="M241" s="130">
        <v>1</v>
      </c>
      <c r="N241" s="126">
        <v>2002</v>
      </c>
      <c r="O241" s="80">
        <f t="shared" si="4"/>
        <v>2002</v>
      </c>
      <c r="P241" s="81">
        <f t="shared" si="5"/>
        <v>196.196</v>
      </c>
      <c r="Q241" s="129">
        <v>20</v>
      </c>
      <c r="R241" s="131">
        <v>36.799999999999997</v>
      </c>
      <c r="S241" s="127">
        <f t="shared" si="6"/>
        <v>736</v>
      </c>
      <c r="T241" s="128">
        <f t="shared" si="7"/>
        <v>72.128</v>
      </c>
      <c r="U241" s="113"/>
      <c r="V241" s="81">
        <f t="shared" si="14"/>
        <v>0</v>
      </c>
      <c r="W241" s="132"/>
      <c r="X241" s="153"/>
      <c r="Y241" s="94"/>
      <c r="Z241" s="132"/>
      <c r="AA241" s="153"/>
      <c r="AB241" s="94"/>
      <c r="AC241" s="133"/>
      <c r="AD241" s="93" t="str">
        <f t="shared" si="8"/>
        <v/>
      </c>
      <c r="AE241" s="94" t="e">
        <f t="shared" si="9"/>
        <v>#VALUE!</v>
      </c>
      <c r="AF241" s="139"/>
      <c r="AG241" s="215"/>
      <c r="AH241" s="136">
        <f t="shared" si="10"/>
        <v>0</v>
      </c>
      <c r="AI241" s="80"/>
      <c r="AJ241" s="154"/>
      <c r="AK241" s="100" t="str">
        <f t="shared" si="21"/>
        <v/>
      </c>
      <c r="AL241" s="138"/>
      <c r="AM241" s="113"/>
      <c r="AN241" s="103" t="str">
        <f t="shared" si="12"/>
        <v/>
      </c>
      <c r="AO241" s="139"/>
      <c r="AP241" s="140"/>
      <c r="AQ241" s="141" t="str">
        <f t="shared" si="15"/>
        <v/>
      </c>
      <c r="AR241" s="142"/>
      <c r="AS241" s="140"/>
      <c r="AT241" s="143" t="str">
        <f t="shared" si="16"/>
        <v/>
      </c>
      <c r="AU241" s="139"/>
      <c r="AV241" s="113"/>
      <c r="AW241" s="107" t="str">
        <f t="shared" si="17"/>
        <v/>
      </c>
      <c r="AX241" s="113"/>
      <c r="AY241" s="113"/>
      <c r="AZ241" s="144" t="str">
        <f t="shared" si="18"/>
        <v/>
      </c>
      <c r="BA241" s="80"/>
      <c r="BB241" s="140"/>
      <c r="BC241" s="145" t="str">
        <f t="shared" si="19"/>
        <v/>
      </c>
      <c r="BD241" s="113"/>
      <c r="BE241" s="114"/>
      <c r="BF241" s="146" t="str">
        <f t="shared" si="20"/>
        <v/>
      </c>
      <c r="BG241" s="147" t="s">
        <v>84</v>
      </c>
      <c r="BH241" s="148"/>
      <c r="BI241" s="156"/>
      <c r="BJ241" s="150">
        <f>'Degrémont sortie'!BI241</f>
        <v>0</v>
      </c>
      <c r="BK241" s="151">
        <f>'Degrémont sortie'!BJ241</f>
        <v>0</v>
      </c>
    </row>
    <row r="242" spans="1:63" ht="14.25" outlineLevel="1">
      <c r="A242" s="152">
        <f t="shared" si="13"/>
        <v>43694</v>
      </c>
      <c r="B242" s="183">
        <v>852</v>
      </c>
      <c r="C242" s="374"/>
      <c r="D242" s="375"/>
      <c r="E242" s="376"/>
      <c r="F242" s="198"/>
      <c r="G242" s="127">
        <f t="shared" si="0"/>
        <v>0</v>
      </c>
      <c r="H242" s="128">
        <f t="shared" si="1"/>
        <v>0</v>
      </c>
      <c r="I242" s="188">
        <v>1</v>
      </c>
      <c r="J242" s="198"/>
      <c r="K242" s="79">
        <f t="shared" si="2"/>
        <v>0</v>
      </c>
      <c r="L242" s="128">
        <f t="shared" si="3"/>
        <v>0</v>
      </c>
      <c r="M242" s="189">
        <v>1</v>
      </c>
      <c r="N242" s="198"/>
      <c r="O242" s="80" t="str">
        <f t="shared" si="4"/>
        <v/>
      </c>
      <c r="P242" s="81" t="e">
        <f t="shared" si="5"/>
        <v>#VALUE!</v>
      </c>
      <c r="Q242" s="379"/>
      <c r="R242" s="191"/>
      <c r="S242" s="127" t="str">
        <f t="shared" si="6"/>
        <v/>
      </c>
      <c r="T242" s="128" t="e">
        <f t="shared" si="7"/>
        <v>#VALUE!</v>
      </c>
      <c r="U242" s="191"/>
      <c r="V242" s="81">
        <f t="shared" si="14"/>
        <v>0</v>
      </c>
      <c r="W242" s="132"/>
      <c r="X242" s="153"/>
      <c r="Y242" s="94"/>
      <c r="Z242" s="132"/>
      <c r="AA242" s="153"/>
      <c r="AB242" s="94"/>
      <c r="AC242" s="133"/>
      <c r="AD242" s="93" t="str">
        <f t="shared" si="8"/>
        <v/>
      </c>
      <c r="AE242" s="94" t="e">
        <f t="shared" si="9"/>
        <v>#VALUE!</v>
      </c>
      <c r="AF242" s="195"/>
      <c r="AG242" s="382"/>
      <c r="AH242" s="136">
        <f t="shared" si="10"/>
        <v>0</v>
      </c>
      <c r="AI242" s="80"/>
      <c r="AJ242" s="154"/>
      <c r="AK242" s="100" t="str">
        <f t="shared" si="21"/>
        <v/>
      </c>
      <c r="AL242" s="194"/>
      <c r="AM242" s="191"/>
      <c r="AN242" s="103" t="str">
        <f t="shared" si="12"/>
        <v/>
      </c>
      <c r="AO242" s="195"/>
      <c r="AP242" s="196"/>
      <c r="AQ242" s="141" t="str">
        <f t="shared" si="15"/>
        <v/>
      </c>
      <c r="AR242" s="197"/>
      <c r="AS242" s="196"/>
      <c r="AT242" s="143" t="str">
        <f t="shared" si="16"/>
        <v/>
      </c>
      <c r="AU242" s="195"/>
      <c r="AV242" s="191"/>
      <c r="AW242" s="107" t="str">
        <f t="shared" si="17"/>
        <v/>
      </c>
      <c r="AX242" s="191"/>
      <c r="AY242" s="191"/>
      <c r="AZ242" s="144" t="str">
        <f t="shared" si="18"/>
        <v/>
      </c>
      <c r="BA242" s="198"/>
      <c r="BB242" s="196"/>
      <c r="BC242" s="145" t="str">
        <f t="shared" si="19"/>
        <v/>
      </c>
      <c r="BD242" s="191"/>
      <c r="BE242" s="199"/>
      <c r="BF242" s="146" t="str">
        <f t="shared" si="20"/>
        <v/>
      </c>
      <c r="BG242" s="147" t="s">
        <v>84</v>
      </c>
      <c r="BH242" s="200"/>
      <c r="BI242" s="391"/>
      <c r="BJ242" s="150">
        <f>'Degrémont sortie'!BI242</f>
        <v>0</v>
      </c>
      <c r="BK242" s="151">
        <f>'Degrémont sortie'!BJ242</f>
        <v>0</v>
      </c>
    </row>
    <row r="243" spans="1:63" ht="14.25" outlineLevel="1">
      <c r="A243" s="121">
        <f t="shared" si="13"/>
        <v>43695</v>
      </c>
      <c r="B243" s="207"/>
      <c r="C243" s="208"/>
      <c r="D243" s="210"/>
      <c r="E243" s="211"/>
      <c r="F243" s="80"/>
      <c r="G243" s="127">
        <f t="shared" si="0"/>
        <v>0</v>
      </c>
      <c r="H243" s="128">
        <f t="shared" si="1"/>
        <v>0</v>
      </c>
      <c r="I243" s="129">
        <v>1</v>
      </c>
      <c r="J243" s="80"/>
      <c r="K243" s="79">
        <f t="shared" si="2"/>
        <v>0</v>
      </c>
      <c r="L243" s="128">
        <f t="shared" si="3"/>
        <v>0</v>
      </c>
      <c r="M243" s="130">
        <v>1</v>
      </c>
      <c r="N243" s="80"/>
      <c r="O243" s="80" t="str">
        <f t="shared" si="4"/>
        <v/>
      </c>
      <c r="P243" s="81">
        <f t="shared" si="5"/>
        <v>0</v>
      </c>
      <c r="Q243" s="213"/>
      <c r="R243" s="113"/>
      <c r="S243" s="127" t="str">
        <f t="shared" si="6"/>
        <v/>
      </c>
      <c r="T243" s="128">
        <f t="shared" si="7"/>
        <v>0</v>
      </c>
      <c r="U243" s="113"/>
      <c r="V243" s="81">
        <f t="shared" si="14"/>
        <v>0</v>
      </c>
      <c r="W243" s="132"/>
      <c r="X243" s="153"/>
      <c r="Y243" s="94"/>
      <c r="Z243" s="132"/>
      <c r="AA243" s="153"/>
      <c r="AB243" s="94"/>
      <c r="AC243" s="133"/>
      <c r="AD243" s="93" t="str">
        <f t="shared" si="8"/>
        <v/>
      </c>
      <c r="AE243" s="94" t="str">
        <f t="shared" si="9"/>
        <v/>
      </c>
      <c r="AF243" s="139"/>
      <c r="AG243" s="215"/>
      <c r="AH243" s="136" t="str">
        <f t="shared" si="10"/>
        <v/>
      </c>
      <c r="AI243" s="80"/>
      <c r="AJ243" s="154"/>
      <c r="AK243" s="100" t="str">
        <f t="shared" si="21"/>
        <v/>
      </c>
      <c r="AL243" s="138"/>
      <c r="AM243" s="113"/>
      <c r="AN243" s="103" t="str">
        <f t="shared" si="12"/>
        <v/>
      </c>
      <c r="AO243" s="139"/>
      <c r="AP243" s="140"/>
      <c r="AQ243" s="141" t="str">
        <f t="shared" si="15"/>
        <v/>
      </c>
      <c r="AR243" s="142"/>
      <c r="AS243" s="140"/>
      <c r="AT243" s="143" t="str">
        <f t="shared" si="16"/>
        <v/>
      </c>
      <c r="AU243" s="139"/>
      <c r="AV243" s="113"/>
      <c r="AW243" s="107" t="str">
        <f t="shared" si="17"/>
        <v/>
      </c>
      <c r="AX243" s="113"/>
      <c r="AY243" s="113"/>
      <c r="AZ243" s="144" t="str">
        <f t="shared" si="18"/>
        <v/>
      </c>
      <c r="BA243" s="80"/>
      <c r="BB243" s="140"/>
      <c r="BC243" s="145" t="str">
        <f t="shared" si="19"/>
        <v/>
      </c>
      <c r="BD243" s="113"/>
      <c r="BE243" s="114"/>
      <c r="BF243" s="146" t="str">
        <f t="shared" si="20"/>
        <v/>
      </c>
      <c r="BG243" s="147" t="s">
        <v>84</v>
      </c>
      <c r="BH243" s="148"/>
      <c r="BI243" s="156"/>
      <c r="BJ243" s="150">
        <f>'Degrémont sortie'!BI243</f>
        <v>0</v>
      </c>
      <c r="BK243" s="151">
        <f>'Degrémont sortie'!BJ243</f>
        <v>0</v>
      </c>
    </row>
    <row r="244" spans="1:63" ht="14.25" outlineLevel="1">
      <c r="A244" s="152">
        <f t="shared" si="13"/>
        <v>43696</v>
      </c>
      <c r="B244" s="207"/>
      <c r="C244" s="123">
        <v>10.1</v>
      </c>
      <c r="D244" s="124">
        <v>89.6</v>
      </c>
      <c r="E244" s="125">
        <v>164.7</v>
      </c>
      <c r="F244" s="126">
        <v>13</v>
      </c>
      <c r="G244" s="127">
        <f t="shared" si="0"/>
        <v>5776.9230769230771</v>
      </c>
      <c r="H244" s="128">
        <f t="shared" si="1"/>
        <v>0</v>
      </c>
      <c r="I244" s="129">
        <v>1</v>
      </c>
      <c r="J244" s="126">
        <v>5425</v>
      </c>
      <c r="K244" s="79">
        <f t="shared" si="2"/>
        <v>5425</v>
      </c>
      <c r="L244" s="128">
        <f t="shared" si="3"/>
        <v>0</v>
      </c>
      <c r="M244" s="130">
        <v>1</v>
      </c>
      <c r="N244" s="126">
        <v>604</v>
      </c>
      <c r="O244" s="80">
        <f t="shared" si="4"/>
        <v>604</v>
      </c>
      <c r="P244" s="81">
        <f t="shared" si="5"/>
        <v>0</v>
      </c>
      <c r="Q244" s="129">
        <v>20</v>
      </c>
      <c r="R244" s="131">
        <v>13.7</v>
      </c>
      <c r="S244" s="127">
        <f t="shared" si="6"/>
        <v>274</v>
      </c>
      <c r="T244" s="128">
        <f t="shared" si="7"/>
        <v>0</v>
      </c>
      <c r="U244" s="113"/>
      <c r="V244" s="81">
        <f t="shared" si="14"/>
        <v>0</v>
      </c>
      <c r="W244" s="132"/>
      <c r="X244" s="153"/>
      <c r="Y244" s="94"/>
      <c r="Z244" s="132"/>
      <c r="AA244" s="153"/>
      <c r="AB244" s="94"/>
      <c r="AC244" s="133"/>
      <c r="AD244" s="93" t="str">
        <f t="shared" si="8"/>
        <v/>
      </c>
      <c r="AE244" s="94" t="str">
        <f t="shared" si="9"/>
        <v/>
      </c>
      <c r="AF244" s="134" t="s">
        <v>85</v>
      </c>
      <c r="AG244" s="135">
        <v>0.02</v>
      </c>
      <c r="AH244" s="136" t="str">
        <f t="shared" si="10"/>
        <v/>
      </c>
      <c r="AI244" s="80"/>
      <c r="AJ244" s="154"/>
      <c r="AK244" s="100" t="str">
        <f t="shared" si="21"/>
        <v/>
      </c>
      <c r="AL244" s="138"/>
      <c r="AM244" s="113"/>
      <c r="AN244" s="103" t="str">
        <f t="shared" si="12"/>
        <v/>
      </c>
      <c r="AO244" s="139"/>
      <c r="AP244" s="140"/>
      <c r="AQ244" s="141" t="str">
        <f t="shared" si="15"/>
        <v/>
      </c>
      <c r="AR244" s="142"/>
      <c r="AS244" s="140"/>
      <c r="AT244" s="143" t="str">
        <f t="shared" si="16"/>
        <v/>
      </c>
      <c r="AU244" s="139"/>
      <c r="AV244" s="113"/>
      <c r="AW244" s="107" t="str">
        <f t="shared" si="17"/>
        <v/>
      </c>
      <c r="AX244" s="113"/>
      <c r="AY244" s="113"/>
      <c r="AZ244" s="144" t="str">
        <f t="shared" si="18"/>
        <v/>
      </c>
      <c r="BA244" s="80"/>
      <c r="BB244" s="140"/>
      <c r="BC244" s="145" t="str">
        <f t="shared" si="19"/>
        <v/>
      </c>
      <c r="BD244" s="113"/>
      <c r="BE244" s="114"/>
      <c r="BF244" s="146" t="str">
        <f t="shared" si="20"/>
        <v/>
      </c>
      <c r="BG244" s="147" t="s">
        <v>84</v>
      </c>
      <c r="BH244" s="148"/>
      <c r="BI244" s="156"/>
      <c r="BJ244" s="150">
        <f>'Degrémont sortie'!BI244</f>
        <v>0</v>
      </c>
      <c r="BK244" s="151">
        <f>'Degrémont sortie'!BJ244</f>
        <v>0</v>
      </c>
    </row>
    <row r="245" spans="1:63" ht="14.25" outlineLevel="1">
      <c r="A245" s="121">
        <f t="shared" si="13"/>
        <v>43697</v>
      </c>
      <c r="B245" s="207"/>
      <c r="C245" s="123">
        <v>10.11</v>
      </c>
      <c r="D245" s="124">
        <v>93</v>
      </c>
      <c r="E245" s="125">
        <v>189.9</v>
      </c>
      <c r="F245" s="126">
        <v>19</v>
      </c>
      <c r="G245" s="127">
        <f t="shared" si="0"/>
        <v>5100</v>
      </c>
      <c r="H245" s="128">
        <f t="shared" si="1"/>
        <v>0</v>
      </c>
      <c r="I245" s="129">
        <v>1</v>
      </c>
      <c r="J245" s="126">
        <v>4801</v>
      </c>
      <c r="K245" s="79">
        <f t="shared" si="2"/>
        <v>4801</v>
      </c>
      <c r="L245" s="128">
        <f t="shared" si="3"/>
        <v>0</v>
      </c>
      <c r="M245" s="130">
        <v>1</v>
      </c>
      <c r="N245" s="126">
        <v>563</v>
      </c>
      <c r="O245" s="80">
        <f t="shared" si="4"/>
        <v>563</v>
      </c>
      <c r="P245" s="81">
        <f t="shared" si="5"/>
        <v>0</v>
      </c>
      <c r="Q245" s="129">
        <v>20</v>
      </c>
      <c r="R245" s="131">
        <v>12.5</v>
      </c>
      <c r="S245" s="127">
        <f t="shared" si="6"/>
        <v>250</v>
      </c>
      <c r="T245" s="128">
        <f t="shared" si="7"/>
        <v>0</v>
      </c>
      <c r="U245" s="131">
        <v>110</v>
      </c>
      <c r="V245" s="81">
        <f t="shared" si="14"/>
        <v>0</v>
      </c>
      <c r="W245" s="132"/>
      <c r="X245" s="153"/>
      <c r="Y245" s="94"/>
      <c r="Z245" s="132"/>
      <c r="AA245" s="153"/>
      <c r="AB245" s="94"/>
      <c r="AC245" s="133"/>
      <c r="AD245" s="93" t="str">
        <f t="shared" si="8"/>
        <v/>
      </c>
      <c r="AE245" s="94" t="str">
        <f t="shared" si="9"/>
        <v/>
      </c>
      <c r="AF245" s="139"/>
      <c r="AG245" s="135">
        <v>0.01</v>
      </c>
      <c r="AH245" s="136" t="str">
        <f t="shared" si="10"/>
        <v/>
      </c>
      <c r="AI245" s="80"/>
      <c r="AJ245" s="154"/>
      <c r="AK245" s="100" t="str">
        <f t="shared" si="21"/>
        <v/>
      </c>
      <c r="AL245" s="138"/>
      <c r="AM245" s="131">
        <v>75</v>
      </c>
      <c r="AN245" s="103">
        <f t="shared" si="12"/>
        <v>165.52499999999998</v>
      </c>
      <c r="AO245" s="139"/>
      <c r="AP245" s="155">
        <v>376.2</v>
      </c>
      <c r="AQ245" s="141">
        <f t="shared" si="15"/>
        <v>830.27339999999992</v>
      </c>
      <c r="AR245" s="142"/>
      <c r="AS245" s="155">
        <v>0.89</v>
      </c>
      <c r="AT245" s="143">
        <f t="shared" si="16"/>
        <v>1.9642299999999999</v>
      </c>
      <c r="AU245" s="139"/>
      <c r="AV245" s="131">
        <v>20.21</v>
      </c>
      <c r="AW245" s="107">
        <f t="shared" si="17"/>
        <v>44.603470000000002</v>
      </c>
      <c r="AX245" s="113"/>
      <c r="AY245" s="131">
        <v>292.07</v>
      </c>
      <c r="AZ245" s="144">
        <f t="shared" si="18"/>
        <v>644.59848999999997</v>
      </c>
      <c r="BA245" s="80"/>
      <c r="BB245" s="155">
        <v>8.92</v>
      </c>
      <c r="BC245" s="145">
        <f t="shared" si="19"/>
        <v>19.686439999999997</v>
      </c>
      <c r="BD245" s="113"/>
      <c r="BE245" s="158">
        <v>48.6</v>
      </c>
      <c r="BF245" s="146">
        <f t="shared" si="20"/>
        <v>107.2602</v>
      </c>
      <c r="BG245" s="147" t="s">
        <v>84</v>
      </c>
      <c r="BH245" s="148"/>
      <c r="BI245" s="156"/>
      <c r="BJ245" s="150">
        <f>'Degrémont sortie'!BI245</f>
        <v>0</v>
      </c>
      <c r="BK245" s="151">
        <f>'Degrémont sortie'!BJ245</f>
        <v>0</v>
      </c>
    </row>
    <row r="246" spans="1:63" ht="14.25" outlineLevel="1">
      <c r="A246" s="152">
        <f t="shared" si="13"/>
        <v>43698</v>
      </c>
      <c r="B246" s="122">
        <v>1236</v>
      </c>
      <c r="C246" s="123">
        <v>8.89</v>
      </c>
      <c r="D246" s="124">
        <v>88.8</v>
      </c>
      <c r="E246" s="125">
        <v>166.2</v>
      </c>
      <c r="F246" s="126">
        <v>9</v>
      </c>
      <c r="G246" s="127">
        <f t="shared" si="0"/>
        <v>8599.9999999999982</v>
      </c>
      <c r="H246" s="128">
        <f t="shared" si="1"/>
        <v>10629.599999999999</v>
      </c>
      <c r="I246" s="129">
        <v>1</v>
      </c>
      <c r="J246" s="126">
        <v>7261</v>
      </c>
      <c r="K246" s="79">
        <f t="shared" si="2"/>
        <v>7261</v>
      </c>
      <c r="L246" s="128">
        <f t="shared" si="3"/>
        <v>8974.5959999999995</v>
      </c>
      <c r="M246" s="130">
        <v>1</v>
      </c>
      <c r="N246" s="126">
        <v>1094</v>
      </c>
      <c r="O246" s="80">
        <f t="shared" si="4"/>
        <v>1094</v>
      </c>
      <c r="P246" s="81">
        <f t="shared" si="5"/>
        <v>1352.184</v>
      </c>
      <c r="Q246" s="129">
        <v>20</v>
      </c>
      <c r="R246" s="131">
        <v>20.2</v>
      </c>
      <c r="S246" s="127">
        <f t="shared" si="6"/>
        <v>404</v>
      </c>
      <c r="T246" s="128">
        <f t="shared" si="7"/>
        <v>499.34399999999999</v>
      </c>
      <c r="U246" s="113"/>
      <c r="V246" s="81">
        <f t="shared" si="14"/>
        <v>0</v>
      </c>
      <c r="W246" s="132"/>
      <c r="X246" s="153"/>
      <c r="Y246" s="94"/>
      <c r="Z246" s="132"/>
      <c r="AA246" s="153"/>
      <c r="AB246" s="94"/>
      <c r="AC246" s="133"/>
      <c r="AD246" s="93" t="str">
        <f t="shared" si="8"/>
        <v/>
      </c>
      <c r="AE246" s="94" t="e">
        <f t="shared" si="9"/>
        <v>#VALUE!</v>
      </c>
      <c r="AF246" s="139"/>
      <c r="AG246" s="215"/>
      <c r="AH246" s="136">
        <f t="shared" si="10"/>
        <v>0</v>
      </c>
      <c r="AI246" s="80"/>
      <c r="AJ246" s="154"/>
      <c r="AK246" s="100" t="str">
        <f t="shared" si="21"/>
        <v/>
      </c>
      <c r="AL246" s="138"/>
      <c r="AM246" s="113"/>
      <c r="AN246" s="103" t="str">
        <f t="shared" si="12"/>
        <v/>
      </c>
      <c r="AO246" s="139"/>
      <c r="AP246" s="140"/>
      <c r="AQ246" s="141" t="str">
        <f t="shared" si="15"/>
        <v/>
      </c>
      <c r="AR246" s="142"/>
      <c r="AS246" s="140"/>
      <c r="AT246" s="143" t="str">
        <f t="shared" si="16"/>
        <v/>
      </c>
      <c r="AU246" s="139"/>
      <c r="AV246" s="113"/>
      <c r="AW246" s="107" t="str">
        <f t="shared" si="17"/>
        <v/>
      </c>
      <c r="AX246" s="113"/>
      <c r="AY246" s="113"/>
      <c r="AZ246" s="144" t="str">
        <f t="shared" si="18"/>
        <v/>
      </c>
      <c r="BA246" s="80"/>
      <c r="BB246" s="140"/>
      <c r="BC246" s="145" t="str">
        <f t="shared" si="19"/>
        <v/>
      </c>
      <c r="BD246" s="113"/>
      <c r="BE246" s="114"/>
      <c r="BF246" s="146" t="str">
        <f t="shared" si="20"/>
        <v/>
      </c>
      <c r="BG246" s="147" t="s">
        <v>84</v>
      </c>
      <c r="BH246" s="148"/>
      <c r="BI246" s="156"/>
      <c r="BJ246" s="150">
        <f>'Degrémont sortie'!BI246</f>
        <v>0</v>
      </c>
      <c r="BK246" s="151">
        <f>'Degrémont sortie'!BJ246</f>
        <v>0</v>
      </c>
    </row>
    <row r="247" spans="1:63" ht="14.25" outlineLevel="1">
      <c r="A247" s="121">
        <f t="shared" si="13"/>
        <v>43699</v>
      </c>
      <c r="B247" s="122">
        <v>1226</v>
      </c>
      <c r="C247" s="123">
        <v>8.16</v>
      </c>
      <c r="D247" s="124">
        <v>90.5</v>
      </c>
      <c r="E247" s="125">
        <v>362.7</v>
      </c>
      <c r="F247" s="126">
        <v>19</v>
      </c>
      <c r="G247" s="127">
        <f t="shared" si="0"/>
        <v>14326.315789473685</v>
      </c>
      <c r="H247" s="128">
        <f t="shared" si="1"/>
        <v>17564.06315789474</v>
      </c>
      <c r="I247" s="129">
        <v>1</v>
      </c>
      <c r="J247" s="126">
        <v>11605</v>
      </c>
      <c r="K247" s="79">
        <f t="shared" si="2"/>
        <v>11605</v>
      </c>
      <c r="L247" s="128">
        <f t="shared" si="3"/>
        <v>14227.73</v>
      </c>
      <c r="M247" s="130">
        <v>1</v>
      </c>
      <c r="N247" s="126">
        <v>1075</v>
      </c>
      <c r="O247" s="80">
        <f t="shared" si="4"/>
        <v>1075</v>
      </c>
      <c r="P247" s="81">
        <f t="shared" si="5"/>
        <v>1317.95</v>
      </c>
      <c r="Q247" s="129">
        <v>20</v>
      </c>
      <c r="R247" s="131">
        <v>23.9</v>
      </c>
      <c r="S247" s="127">
        <f t="shared" si="6"/>
        <v>478</v>
      </c>
      <c r="T247" s="128">
        <f t="shared" si="7"/>
        <v>586.02800000000002</v>
      </c>
      <c r="U247" s="113"/>
      <c r="V247" s="81">
        <f t="shared" si="14"/>
        <v>0</v>
      </c>
      <c r="W247" s="132"/>
      <c r="X247" s="153"/>
      <c r="Y247" s="94"/>
      <c r="Z247" s="132"/>
      <c r="AA247" s="153"/>
      <c r="AB247" s="94"/>
      <c r="AC247" s="133"/>
      <c r="AD247" s="93" t="str">
        <f t="shared" si="8"/>
        <v/>
      </c>
      <c r="AE247" s="94" t="e">
        <f t="shared" si="9"/>
        <v>#VALUE!</v>
      </c>
      <c r="AF247" s="134" t="s">
        <v>85</v>
      </c>
      <c r="AG247" s="135">
        <v>0.01</v>
      </c>
      <c r="AH247" s="136">
        <f t="shared" si="10"/>
        <v>6.13E-3</v>
      </c>
      <c r="AI247" s="80"/>
      <c r="AJ247" s="154"/>
      <c r="AK247" s="100" t="str">
        <f t="shared" si="21"/>
        <v/>
      </c>
      <c r="AL247" s="138"/>
      <c r="AM247" s="113"/>
      <c r="AN247" s="103" t="str">
        <f t="shared" si="12"/>
        <v/>
      </c>
      <c r="AO247" s="139"/>
      <c r="AP247" s="140"/>
      <c r="AQ247" s="141" t="str">
        <f t="shared" si="15"/>
        <v/>
      </c>
      <c r="AR247" s="142"/>
      <c r="AS247" s="140"/>
      <c r="AT247" s="143" t="str">
        <f t="shared" si="16"/>
        <v/>
      </c>
      <c r="AU247" s="139"/>
      <c r="AV247" s="113"/>
      <c r="AW247" s="107" t="str">
        <f t="shared" si="17"/>
        <v/>
      </c>
      <c r="AX247" s="113"/>
      <c r="AY247" s="113"/>
      <c r="AZ247" s="144" t="str">
        <f t="shared" si="18"/>
        <v/>
      </c>
      <c r="BA247" s="80"/>
      <c r="BB247" s="140"/>
      <c r="BC247" s="145" t="str">
        <f t="shared" si="19"/>
        <v/>
      </c>
      <c r="BD247" s="113"/>
      <c r="BE247" s="114"/>
      <c r="BF247" s="146" t="str">
        <f t="shared" si="20"/>
        <v/>
      </c>
      <c r="BG247" s="147" t="s">
        <v>84</v>
      </c>
      <c r="BH247" s="148"/>
      <c r="BI247" s="156"/>
      <c r="BJ247" s="150">
        <f>'Degrémont sortie'!BI247</f>
        <v>0</v>
      </c>
      <c r="BK247" s="151">
        <f>'Degrémont sortie'!BJ247</f>
        <v>0</v>
      </c>
    </row>
    <row r="248" spans="1:63" ht="14.25" outlineLevel="1">
      <c r="A248" s="152">
        <f t="shared" si="13"/>
        <v>43700</v>
      </c>
      <c r="B248" s="122">
        <v>942</v>
      </c>
      <c r="C248" s="123">
        <v>8.36</v>
      </c>
      <c r="D248" s="124">
        <v>89.3</v>
      </c>
      <c r="E248" s="125">
        <v>300.10000000000002</v>
      </c>
      <c r="F248" s="126">
        <v>15</v>
      </c>
      <c r="G248" s="127">
        <f t="shared" si="0"/>
        <v>14053.333333333334</v>
      </c>
      <c r="H248" s="128">
        <f t="shared" si="1"/>
        <v>13238.24</v>
      </c>
      <c r="I248" s="129">
        <v>2</v>
      </c>
      <c r="J248" s="126">
        <v>7083</v>
      </c>
      <c r="K248" s="79">
        <f t="shared" si="2"/>
        <v>14166</v>
      </c>
      <c r="L248" s="128">
        <f t="shared" si="3"/>
        <v>13344.371999999999</v>
      </c>
      <c r="M248" s="130">
        <v>1</v>
      </c>
      <c r="N248" s="126">
        <v>1504</v>
      </c>
      <c r="O248" s="80">
        <f t="shared" si="4"/>
        <v>1504</v>
      </c>
      <c r="P248" s="81">
        <f t="shared" si="5"/>
        <v>1416.768</v>
      </c>
      <c r="Q248" s="129">
        <v>20</v>
      </c>
      <c r="R248" s="131">
        <v>26.6</v>
      </c>
      <c r="S248" s="127">
        <f t="shared" si="6"/>
        <v>532</v>
      </c>
      <c r="T248" s="128">
        <f t="shared" si="7"/>
        <v>501.14400000000001</v>
      </c>
      <c r="U248" s="113"/>
      <c r="V248" s="81">
        <f t="shared" si="14"/>
        <v>0</v>
      </c>
      <c r="W248" s="132"/>
      <c r="X248" s="153"/>
      <c r="Y248" s="94"/>
      <c r="Z248" s="132"/>
      <c r="AA248" s="153"/>
      <c r="AB248" s="94"/>
      <c r="AC248" s="133"/>
      <c r="AD248" s="93" t="str">
        <f t="shared" si="8"/>
        <v/>
      </c>
      <c r="AE248" s="94" t="e">
        <f t="shared" si="9"/>
        <v>#VALUE!</v>
      </c>
      <c r="AF248" s="134" t="s">
        <v>85</v>
      </c>
      <c r="AG248" s="135">
        <v>0.01</v>
      </c>
      <c r="AH248" s="136">
        <f t="shared" si="10"/>
        <v>4.7099999999999998E-3</v>
      </c>
      <c r="AI248" s="80"/>
      <c r="AJ248" s="154"/>
      <c r="AK248" s="100" t="str">
        <f t="shared" si="21"/>
        <v/>
      </c>
      <c r="AL248" s="138"/>
      <c r="AM248" s="113"/>
      <c r="AN248" s="103" t="str">
        <f t="shared" si="12"/>
        <v/>
      </c>
      <c r="AO248" s="139"/>
      <c r="AP248" s="140"/>
      <c r="AQ248" s="141" t="str">
        <f t="shared" si="15"/>
        <v/>
      </c>
      <c r="AR248" s="142"/>
      <c r="AS248" s="140"/>
      <c r="AT248" s="143" t="str">
        <f t="shared" si="16"/>
        <v/>
      </c>
      <c r="AU248" s="139"/>
      <c r="AV248" s="113"/>
      <c r="AW248" s="107" t="str">
        <f t="shared" si="17"/>
        <v/>
      </c>
      <c r="AX248" s="113"/>
      <c r="AY248" s="113"/>
      <c r="AZ248" s="144" t="str">
        <f t="shared" si="18"/>
        <v/>
      </c>
      <c r="BA248" s="80"/>
      <c r="BB248" s="140"/>
      <c r="BC248" s="145" t="str">
        <f t="shared" si="19"/>
        <v/>
      </c>
      <c r="BD248" s="113"/>
      <c r="BE248" s="114"/>
      <c r="BF248" s="146" t="str">
        <f t="shared" si="20"/>
        <v/>
      </c>
      <c r="BG248" s="147" t="s">
        <v>84</v>
      </c>
      <c r="BH248" s="148"/>
      <c r="BI248" s="156"/>
      <c r="BJ248" s="150">
        <f>'Degrémont sortie'!BI248</f>
        <v>0</v>
      </c>
      <c r="BK248" s="151">
        <f>'Degrémont sortie'!BJ248</f>
        <v>0</v>
      </c>
    </row>
    <row r="249" spans="1:63" ht="15.75" customHeight="1" outlineLevel="1">
      <c r="A249" s="121">
        <f t="shared" si="13"/>
        <v>43701</v>
      </c>
      <c r="B249" s="122">
        <v>1115</v>
      </c>
      <c r="C249" s="123">
        <v>8.16</v>
      </c>
      <c r="D249" s="124">
        <v>88.7</v>
      </c>
      <c r="E249" s="125">
        <v>554.4</v>
      </c>
      <c r="F249" s="126">
        <v>25</v>
      </c>
      <c r="G249" s="127">
        <f t="shared" si="0"/>
        <v>18628</v>
      </c>
      <c r="H249" s="128">
        <f t="shared" si="1"/>
        <v>20770.22</v>
      </c>
      <c r="I249" s="129">
        <v>2</v>
      </c>
      <c r="J249" s="126">
        <v>4363</v>
      </c>
      <c r="K249" s="79">
        <f t="shared" si="2"/>
        <v>8726</v>
      </c>
      <c r="L249" s="128">
        <f t="shared" si="3"/>
        <v>9729.49</v>
      </c>
      <c r="M249" s="130">
        <v>1</v>
      </c>
      <c r="N249" s="126">
        <v>1081</v>
      </c>
      <c r="O249" s="80">
        <f t="shared" si="4"/>
        <v>1081</v>
      </c>
      <c r="P249" s="81">
        <f t="shared" si="5"/>
        <v>1205.3150000000001</v>
      </c>
      <c r="Q249" s="129">
        <v>20</v>
      </c>
      <c r="R249" s="131">
        <v>17.8</v>
      </c>
      <c r="S249" s="127">
        <f t="shared" si="6"/>
        <v>356</v>
      </c>
      <c r="T249" s="128">
        <f t="shared" si="7"/>
        <v>396.94</v>
      </c>
      <c r="U249" s="113"/>
      <c r="V249" s="81">
        <f t="shared" si="14"/>
        <v>0</v>
      </c>
      <c r="W249" s="132"/>
      <c r="X249" s="153"/>
      <c r="Y249" s="94"/>
      <c r="Z249" s="132"/>
      <c r="AA249" s="153"/>
      <c r="AB249" s="94"/>
      <c r="AC249" s="133"/>
      <c r="AD249" s="93" t="str">
        <f t="shared" si="8"/>
        <v/>
      </c>
      <c r="AE249" s="94" t="e">
        <f t="shared" si="9"/>
        <v>#VALUE!</v>
      </c>
      <c r="AF249" s="134" t="s">
        <v>85</v>
      </c>
      <c r="AG249" s="135">
        <v>0.01</v>
      </c>
      <c r="AH249" s="136">
        <f t="shared" si="10"/>
        <v>5.5750000000000001E-3</v>
      </c>
      <c r="AI249" s="80"/>
      <c r="AJ249" s="154"/>
      <c r="AK249" s="100" t="str">
        <f t="shared" si="21"/>
        <v/>
      </c>
      <c r="AL249" s="138"/>
      <c r="AM249" s="113"/>
      <c r="AN249" s="103" t="str">
        <f t="shared" si="12"/>
        <v/>
      </c>
      <c r="AO249" s="139"/>
      <c r="AP249" s="140"/>
      <c r="AQ249" s="141" t="str">
        <f t="shared" si="15"/>
        <v/>
      </c>
      <c r="AR249" s="142"/>
      <c r="AS249" s="140"/>
      <c r="AT249" s="143" t="str">
        <f t="shared" si="16"/>
        <v/>
      </c>
      <c r="AU249" s="139"/>
      <c r="AV249" s="113"/>
      <c r="AW249" s="107" t="str">
        <f t="shared" si="17"/>
        <v/>
      </c>
      <c r="AX249" s="113"/>
      <c r="AY249" s="113"/>
      <c r="AZ249" s="144" t="str">
        <f t="shared" si="18"/>
        <v/>
      </c>
      <c r="BA249" s="80"/>
      <c r="BB249" s="140"/>
      <c r="BC249" s="145" t="str">
        <f t="shared" si="19"/>
        <v/>
      </c>
      <c r="BD249" s="113"/>
      <c r="BE249" s="114"/>
      <c r="BF249" s="146" t="str">
        <f t="shared" si="20"/>
        <v/>
      </c>
      <c r="BG249" s="147" t="s">
        <v>84</v>
      </c>
      <c r="BH249" s="148"/>
      <c r="BI249" s="156"/>
      <c r="BJ249" s="150">
        <f>'Degrémont sortie'!BI249</f>
        <v>0</v>
      </c>
      <c r="BK249" s="151">
        <f>'Degrémont sortie'!BJ249</f>
        <v>0</v>
      </c>
    </row>
    <row r="250" spans="1:63" ht="15.75" customHeight="1" outlineLevel="1">
      <c r="A250" s="152">
        <f t="shared" si="13"/>
        <v>43702</v>
      </c>
      <c r="B250" s="207"/>
      <c r="C250" s="123">
        <v>7.18</v>
      </c>
      <c r="D250" s="124">
        <v>88.2</v>
      </c>
      <c r="E250" s="125">
        <v>283.10000000000002</v>
      </c>
      <c r="F250" s="126">
        <v>25</v>
      </c>
      <c r="G250" s="127">
        <f t="shared" si="0"/>
        <v>7796.0000000000009</v>
      </c>
      <c r="H250" s="128">
        <f t="shared" si="1"/>
        <v>0</v>
      </c>
      <c r="I250" s="129">
        <v>2</v>
      </c>
      <c r="J250" s="126">
        <v>7739</v>
      </c>
      <c r="K250" s="79">
        <f t="shared" si="2"/>
        <v>15478</v>
      </c>
      <c r="L250" s="128">
        <f t="shared" si="3"/>
        <v>0</v>
      </c>
      <c r="M250" s="130">
        <v>1</v>
      </c>
      <c r="N250" s="126">
        <v>1487</v>
      </c>
      <c r="O250" s="80">
        <f t="shared" si="4"/>
        <v>1487</v>
      </c>
      <c r="P250" s="81">
        <f t="shared" si="5"/>
        <v>0</v>
      </c>
      <c r="Q250" s="129">
        <v>20</v>
      </c>
      <c r="R250" s="131">
        <v>31.1</v>
      </c>
      <c r="S250" s="127">
        <f t="shared" si="6"/>
        <v>622</v>
      </c>
      <c r="T250" s="128">
        <f t="shared" si="7"/>
        <v>0</v>
      </c>
      <c r="U250" s="113"/>
      <c r="V250" s="81">
        <f t="shared" si="14"/>
        <v>0</v>
      </c>
      <c r="W250" s="132"/>
      <c r="X250" s="153"/>
      <c r="Y250" s="94"/>
      <c r="Z250" s="132"/>
      <c r="AA250" s="153"/>
      <c r="AB250" s="94"/>
      <c r="AC250" s="133"/>
      <c r="AD250" s="93" t="str">
        <f t="shared" si="8"/>
        <v/>
      </c>
      <c r="AE250" s="94" t="str">
        <f t="shared" si="9"/>
        <v/>
      </c>
      <c r="AF250" s="134" t="s">
        <v>85</v>
      </c>
      <c r="AG250" s="135">
        <v>0.01</v>
      </c>
      <c r="AH250" s="136" t="str">
        <f t="shared" si="10"/>
        <v/>
      </c>
      <c r="AI250" s="80"/>
      <c r="AJ250" s="154"/>
      <c r="AK250" s="100" t="str">
        <f t="shared" si="21"/>
        <v/>
      </c>
      <c r="AL250" s="138"/>
      <c r="AM250" s="113"/>
      <c r="AN250" s="103" t="str">
        <f t="shared" si="12"/>
        <v/>
      </c>
      <c r="AO250" s="139"/>
      <c r="AP250" s="140"/>
      <c r="AQ250" s="141" t="str">
        <f t="shared" si="15"/>
        <v/>
      </c>
      <c r="AR250" s="142"/>
      <c r="AS250" s="140"/>
      <c r="AT250" s="143" t="str">
        <f t="shared" si="16"/>
        <v/>
      </c>
      <c r="AU250" s="139"/>
      <c r="AV250" s="113"/>
      <c r="AW250" s="107" t="str">
        <f t="shared" si="17"/>
        <v/>
      </c>
      <c r="AX250" s="113"/>
      <c r="AY250" s="113"/>
      <c r="AZ250" s="144" t="str">
        <f t="shared" si="18"/>
        <v/>
      </c>
      <c r="BA250" s="80"/>
      <c r="BB250" s="140"/>
      <c r="BC250" s="145" t="str">
        <f t="shared" si="19"/>
        <v/>
      </c>
      <c r="BD250" s="113"/>
      <c r="BE250" s="114"/>
      <c r="BF250" s="146" t="str">
        <f t="shared" si="20"/>
        <v/>
      </c>
      <c r="BG250" s="147" t="s">
        <v>84</v>
      </c>
      <c r="BH250" s="148"/>
      <c r="BI250" s="156"/>
      <c r="BJ250" s="150">
        <f>'Degrémont sortie'!BI250</f>
        <v>0</v>
      </c>
      <c r="BK250" s="151">
        <f>'Degrémont sortie'!BJ250</f>
        <v>0</v>
      </c>
    </row>
    <row r="251" spans="1:63" ht="15.75" customHeight="1" outlineLevel="1">
      <c r="A251" s="121">
        <f t="shared" si="13"/>
        <v>43703</v>
      </c>
      <c r="B251" s="122">
        <v>881</v>
      </c>
      <c r="C251" s="123">
        <v>7.68</v>
      </c>
      <c r="D251" s="124">
        <v>93.3</v>
      </c>
      <c r="E251" s="125">
        <v>258.89999999999998</v>
      </c>
      <c r="F251" s="126">
        <v>25</v>
      </c>
      <c r="G251" s="127">
        <f t="shared" si="0"/>
        <v>6623.9999999999991</v>
      </c>
      <c r="H251" s="128">
        <f t="shared" si="1"/>
        <v>5835.7439999999988</v>
      </c>
      <c r="I251" s="129">
        <v>1</v>
      </c>
      <c r="J251" s="126">
        <v>6486</v>
      </c>
      <c r="K251" s="79">
        <f t="shared" si="2"/>
        <v>6486</v>
      </c>
      <c r="L251" s="128">
        <f t="shared" si="3"/>
        <v>5714.1660000000002</v>
      </c>
      <c r="M251" s="130">
        <v>1</v>
      </c>
      <c r="N251" s="126">
        <v>387</v>
      </c>
      <c r="O251" s="80">
        <f t="shared" si="4"/>
        <v>387</v>
      </c>
      <c r="P251" s="81">
        <f t="shared" si="5"/>
        <v>340.947</v>
      </c>
      <c r="Q251" s="129">
        <v>20</v>
      </c>
      <c r="R251" s="131">
        <v>19.7</v>
      </c>
      <c r="S251" s="127">
        <f t="shared" si="6"/>
        <v>394</v>
      </c>
      <c r="T251" s="128">
        <f t="shared" si="7"/>
        <v>347.11399999999998</v>
      </c>
      <c r="U251" s="113"/>
      <c r="V251" s="81">
        <f t="shared" si="14"/>
        <v>0</v>
      </c>
      <c r="W251" s="132"/>
      <c r="X251" s="153"/>
      <c r="Y251" s="94"/>
      <c r="Z251" s="132"/>
      <c r="AA251" s="153"/>
      <c r="AB251" s="94"/>
      <c r="AC251" s="133"/>
      <c r="AD251" s="93" t="str">
        <f t="shared" si="8"/>
        <v/>
      </c>
      <c r="AE251" s="94" t="e">
        <f t="shared" si="9"/>
        <v>#VALUE!</v>
      </c>
      <c r="AF251" s="134" t="s">
        <v>85</v>
      </c>
      <c r="AG251" s="135">
        <v>0.01</v>
      </c>
      <c r="AH251" s="136">
        <f t="shared" si="10"/>
        <v>4.4050000000000001E-3</v>
      </c>
      <c r="AI251" s="80"/>
      <c r="AJ251" s="154"/>
      <c r="AK251" s="100" t="str">
        <f t="shared" si="21"/>
        <v/>
      </c>
      <c r="AL251" s="138"/>
      <c r="AM251" s="113"/>
      <c r="AN251" s="103" t="str">
        <f t="shared" si="12"/>
        <v/>
      </c>
      <c r="AO251" s="139"/>
      <c r="AP251" s="140"/>
      <c r="AQ251" s="141" t="str">
        <f t="shared" si="15"/>
        <v/>
      </c>
      <c r="AR251" s="142"/>
      <c r="AS251" s="140"/>
      <c r="AT251" s="143" t="str">
        <f t="shared" si="16"/>
        <v/>
      </c>
      <c r="AU251" s="139"/>
      <c r="AV251" s="113"/>
      <c r="AW251" s="107" t="str">
        <f t="shared" si="17"/>
        <v/>
      </c>
      <c r="AX251" s="113"/>
      <c r="AY251" s="113"/>
      <c r="AZ251" s="144" t="str">
        <f t="shared" si="18"/>
        <v/>
      </c>
      <c r="BA251" s="80"/>
      <c r="BB251" s="140"/>
      <c r="BC251" s="145" t="str">
        <f t="shared" si="19"/>
        <v/>
      </c>
      <c r="BD251" s="113"/>
      <c r="BE251" s="114"/>
      <c r="BF251" s="146" t="str">
        <f t="shared" si="20"/>
        <v/>
      </c>
      <c r="BG251" s="147" t="s">
        <v>84</v>
      </c>
      <c r="BH251" s="148"/>
      <c r="BI251" s="156"/>
      <c r="BJ251" s="150">
        <f>'Degrémont sortie'!BI251</f>
        <v>0</v>
      </c>
      <c r="BK251" s="151">
        <f>'Degrémont sortie'!BJ251</f>
        <v>0</v>
      </c>
    </row>
    <row r="252" spans="1:63" ht="15.75" customHeight="1" outlineLevel="1">
      <c r="A252" s="152">
        <f t="shared" si="13"/>
        <v>43704</v>
      </c>
      <c r="B252" s="122">
        <v>1213</v>
      </c>
      <c r="C252" s="123">
        <v>8.06</v>
      </c>
      <c r="D252" s="124">
        <v>93.8</v>
      </c>
      <c r="E252" s="125">
        <v>257</v>
      </c>
      <c r="F252" s="126">
        <v>26</v>
      </c>
      <c r="G252" s="127">
        <f t="shared" si="0"/>
        <v>6276.9230769230771</v>
      </c>
      <c r="H252" s="128">
        <f t="shared" si="1"/>
        <v>7613.9076923076927</v>
      </c>
      <c r="I252" s="129">
        <v>1</v>
      </c>
      <c r="J252" s="126">
        <v>5494</v>
      </c>
      <c r="K252" s="79">
        <f t="shared" si="2"/>
        <v>5494</v>
      </c>
      <c r="L252" s="128">
        <f t="shared" si="3"/>
        <v>6664.2219999999998</v>
      </c>
      <c r="M252" s="130">
        <v>1</v>
      </c>
      <c r="N252" s="126">
        <v>375</v>
      </c>
      <c r="O252" s="80">
        <f t="shared" si="4"/>
        <v>375</v>
      </c>
      <c r="P252" s="81">
        <f t="shared" si="5"/>
        <v>454.875</v>
      </c>
      <c r="Q252" s="129">
        <v>20</v>
      </c>
      <c r="R252" s="131">
        <v>18.3</v>
      </c>
      <c r="S252" s="127">
        <f t="shared" si="6"/>
        <v>366</v>
      </c>
      <c r="T252" s="128">
        <f t="shared" si="7"/>
        <v>443.95800000000003</v>
      </c>
      <c r="U252" s="131">
        <v>110</v>
      </c>
      <c r="V252" s="81">
        <f t="shared" si="14"/>
        <v>133.43</v>
      </c>
      <c r="W252" s="132"/>
      <c r="X252" s="153"/>
      <c r="Y252" s="94"/>
      <c r="Z252" s="132"/>
      <c r="AA252" s="153"/>
      <c r="AB252" s="94"/>
      <c r="AC252" s="133"/>
      <c r="AD252" s="93" t="str">
        <f t="shared" si="8"/>
        <v/>
      </c>
      <c r="AE252" s="94" t="e">
        <f t="shared" si="9"/>
        <v>#VALUE!</v>
      </c>
      <c r="AF252" s="134" t="s">
        <v>85</v>
      </c>
      <c r="AG252" s="135">
        <v>0.01</v>
      </c>
      <c r="AH252" s="136">
        <f t="shared" si="10"/>
        <v>6.0650000000000001E-3</v>
      </c>
      <c r="AI252" s="80"/>
      <c r="AJ252" s="154"/>
      <c r="AK252" s="100" t="str">
        <f t="shared" si="21"/>
        <v/>
      </c>
      <c r="AL252" s="138"/>
      <c r="AM252" s="131">
        <v>120</v>
      </c>
      <c r="AN252" s="103">
        <f t="shared" si="12"/>
        <v>912.36</v>
      </c>
      <c r="AO252" s="139"/>
      <c r="AP252" s="155">
        <v>183.83</v>
      </c>
      <c r="AQ252" s="141">
        <f t="shared" si="15"/>
        <v>1397.65949</v>
      </c>
      <c r="AR252" s="142"/>
      <c r="AS252" s="155">
        <v>0.9</v>
      </c>
      <c r="AT252" s="143">
        <f t="shared" si="16"/>
        <v>6.8426999999999998</v>
      </c>
      <c r="AU252" s="139"/>
      <c r="AV252" s="131">
        <v>13.6</v>
      </c>
      <c r="AW252" s="107">
        <f t="shared" si="17"/>
        <v>103.40079999999999</v>
      </c>
      <c r="AX252" s="113"/>
      <c r="AY252" s="131">
        <v>236.68</v>
      </c>
      <c r="AZ252" s="144">
        <f t="shared" si="18"/>
        <v>1799.47804</v>
      </c>
      <c r="BA252" s="126" t="s">
        <v>85</v>
      </c>
      <c r="BB252" s="155">
        <v>0.15</v>
      </c>
      <c r="BC252" s="145">
        <f t="shared" si="19"/>
        <v>0.57022499999999998</v>
      </c>
      <c r="BD252" s="113"/>
      <c r="BE252" s="158">
        <v>0.16</v>
      </c>
      <c r="BF252" s="146">
        <f t="shared" si="20"/>
        <v>1.21648</v>
      </c>
      <c r="BG252" s="147" t="s">
        <v>84</v>
      </c>
      <c r="BH252" s="148"/>
      <c r="BI252" s="156"/>
      <c r="BJ252" s="150">
        <f>'Degrémont sortie'!BI252</f>
        <v>0</v>
      </c>
      <c r="BK252" s="151">
        <f>'Degrémont sortie'!BJ252</f>
        <v>0</v>
      </c>
    </row>
    <row r="253" spans="1:63" ht="15.75" customHeight="1" outlineLevel="1">
      <c r="A253" s="121">
        <f t="shared" si="13"/>
        <v>43705</v>
      </c>
      <c r="B253" s="122">
        <v>990</v>
      </c>
      <c r="C253" s="123">
        <v>7.95</v>
      </c>
      <c r="D253" s="124">
        <v>88</v>
      </c>
      <c r="E253" s="125">
        <v>261.60000000000002</v>
      </c>
      <c r="F253" s="126">
        <v>26</v>
      </c>
      <c r="G253" s="127">
        <f t="shared" si="0"/>
        <v>6676.923076923078</v>
      </c>
      <c r="H253" s="128">
        <f t="shared" si="1"/>
        <v>6610.1538461538466</v>
      </c>
      <c r="I253" s="129">
        <v>1</v>
      </c>
      <c r="J253" s="126">
        <v>5551</v>
      </c>
      <c r="K253" s="79">
        <f t="shared" si="2"/>
        <v>5551</v>
      </c>
      <c r="L253" s="128">
        <f t="shared" si="3"/>
        <v>5495.49</v>
      </c>
      <c r="M253" s="130">
        <v>1</v>
      </c>
      <c r="N253" s="126">
        <v>338</v>
      </c>
      <c r="O253" s="80">
        <f t="shared" si="4"/>
        <v>338</v>
      </c>
      <c r="P253" s="81">
        <f t="shared" si="5"/>
        <v>334.62</v>
      </c>
      <c r="Q253" s="129">
        <v>20</v>
      </c>
      <c r="R253" s="131">
        <v>10.3</v>
      </c>
      <c r="S253" s="127">
        <f t="shared" si="6"/>
        <v>206</v>
      </c>
      <c r="T253" s="128">
        <f t="shared" si="7"/>
        <v>203.94</v>
      </c>
      <c r="U253" s="113"/>
      <c r="V253" s="81">
        <f t="shared" si="14"/>
        <v>0</v>
      </c>
      <c r="W253" s="132"/>
      <c r="X253" s="153"/>
      <c r="Y253" s="94"/>
      <c r="Z253" s="132"/>
      <c r="AA253" s="153"/>
      <c r="AB253" s="94"/>
      <c r="AC253" s="133"/>
      <c r="AD253" s="93" t="str">
        <f t="shared" si="8"/>
        <v/>
      </c>
      <c r="AE253" s="94" t="e">
        <f t="shared" si="9"/>
        <v>#VALUE!</v>
      </c>
      <c r="AF253" s="134" t="s">
        <v>85</v>
      </c>
      <c r="AG253" s="135">
        <v>0.01</v>
      </c>
      <c r="AH253" s="136">
        <f t="shared" si="10"/>
        <v>4.9500000000000004E-3</v>
      </c>
      <c r="AI253" s="80"/>
      <c r="AJ253" s="154"/>
      <c r="AK253" s="100" t="str">
        <f t="shared" si="21"/>
        <v/>
      </c>
      <c r="AL253" s="138"/>
      <c r="AM253" s="113"/>
      <c r="AN253" s="103" t="str">
        <f t="shared" si="12"/>
        <v/>
      </c>
      <c r="AO253" s="139"/>
      <c r="AP253" s="140"/>
      <c r="AQ253" s="141" t="str">
        <f t="shared" si="15"/>
        <v/>
      </c>
      <c r="AR253" s="142"/>
      <c r="AS253" s="140"/>
      <c r="AT253" s="143" t="str">
        <f t="shared" si="16"/>
        <v/>
      </c>
      <c r="AU253" s="139"/>
      <c r="AV253" s="113"/>
      <c r="AW253" s="107" t="str">
        <f t="shared" si="17"/>
        <v/>
      </c>
      <c r="AX253" s="113"/>
      <c r="AY253" s="113"/>
      <c r="AZ253" s="144" t="str">
        <f t="shared" si="18"/>
        <v/>
      </c>
      <c r="BA253" s="80"/>
      <c r="BB253" s="140"/>
      <c r="BC253" s="145" t="str">
        <f t="shared" si="19"/>
        <v/>
      </c>
      <c r="BD253" s="113"/>
      <c r="BE253" s="114"/>
      <c r="BF253" s="146" t="str">
        <f t="shared" si="20"/>
        <v/>
      </c>
      <c r="BG253" s="147" t="s">
        <v>84</v>
      </c>
      <c r="BH253" s="148"/>
      <c r="BI253" s="156"/>
      <c r="BJ253" s="150">
        <f>'Degrémont sortie'!BI253</f>
        <v>0</v>
      </c>
      <c r="BK253" s="151">
        <f>'Degrémont sortie'!BJ253</f>
        <v>0</v>
      </c>
    </row>
    <row r="254" spans="1:63" ht="14.25" outlineLevel="1">
      <c r="A254" s="152">
        <f t="shared" si="13"/>
        <v>43706</v>
      </c>
      <c r="B254" s="122">
        <v>952</v>
      </c>
      <c r="C254" s="123">
        <v>7.6</v>
      </c>
      <c r="D254" s="124">
        <v>88</v>
      </c>
      <c r="E254" s="125">
        <v>273.89999999999998</v>
      </c>
      <c r="F254" s="126">
        <v>30</v>
      </c>
      <c r="G254" s="127">
        <f t="shared" si="0"/>
        <v>6196.6666666666661</v>
      </c>
      <c r="H254" s="128">
        <f t="shared" si="1"/>
        <v>5899.2266666666665</v>
      </c>
      <c r="I254" s="129">
        <v>1</v>
      </c>
      <c r="J254" s="126">
        <v>5393</v>
      </c>
      <c r="K254" s="79">
        <f t="shared" si="2"/>
        <v>5393</v>
      </c>
      <c r="L254" s="128">
        <f t="shared" si="3"/>
        <v>5134.1360000000004</v>
      </c>
      <c r="M254" s="130">
        <v>1</v>
      </c>
      <c r="N254" s="126">
        <v>291</v>
      </c>
      <c r="O254" s="80">
        <f t="shared" si="4"/>
        <v>291</v>
      </c>
      <c r="P254" s="81">
        <f t="shared" si="5"/>
        <v>277.03199999999998</v>
      </c>
      <c r="Q254" s="129">
        <v>20</v>
      </c>
      <c r="R254" s="131">
        <v>17.2</v>
      </c>
      <c r="S254" s="127">
        <f t="shared" si="6"/>
        <v>344</v>
      </c>
      <c r="T254" s="128">
        <f t="shared" si="7"/>
        <v>327.488</v>
      </c>
      <c r="U254" s="113"/>
      <c r="V254" s="81">
        <f t="shared" si="14"/>
        <v>0</v>
      </c>
      <c r="W254" s="132"/>
      <c r="X254" s="153"/>
      <c r="Y254" s="94"/>
      <c r="Z254" s="132"/>
      <c r="AA254" s="153"/>
      <c r="AB254" s="94"/>
      <c r="AC254" s="133"/>
      <c r="AD254" s="93" t="str">
        <f t="shared" si="8"/>
        <v/>
      </c>
      <c r="AE254" s="94" t="e">
        <f t="shared" si="9"/>
        <v>#VALUE!</v>
      </c>
      <c r="AF254" s="134" t="s">
        <v>85</v>
      </c>
      <c r="AG254" s="135">
        <v>0.01</v>
      </c>
      <c r="AH254" s="136">
        <f t="shared" si="10"/>
        <v>4.7599999999999995E-3</v>
      </c>
      <c r="AI254" s="80"/>
      <c r="AJ254" s="154"/>
      <c r="AK254" s="100" t="str">
        <f t="shared" si="21"/>
        <v/>
      </c>
      <c r="AL254" s="138"/>
      <c r="AM254" s="113"/>
      <c r="AN254" s="103" t="str">
        <f t="shared" si="12"/>
        <v/>
      </c>
      <c r="AO254" s="139"/>
      <c r="AP254" s="140"/>
      <c r="AQ254" s="141" t="str">
        <f t="shared" si="15"/>
        <v/>
      </c>
      <c r="AR254" s="142"/>
      <c r="AS254" s="140"/>
      <c r="AT254" s="143" t="str">
        <f t="shared" si="16"/>
        <v/>
      </c>
      <c r="AU254" s="139"/>
      <c r="AV254" s="113"/>
      <c r="AW254" s="107" t="str">
        <f t="shared" si="17"/>
        <v/>
      </c>
      <c r="AX254" s="113"/>
      <c r="AY254" s="113"/>
      <c r="AZ254" s="144" t="str">
        <f t="shared" si="18"/>
        <v/>
      </c>
      <c r="BA254" s="80"/>
      <c r="BB254" s="140"/>
      <c r="BC254" s="145" t="str">
        <f t="shared" si="19"/>
        <v/>
      </c>
      <c r="BD254" s="113"/>
      <c r="BE254" s="114"/>
      <c r="BF254" s="146" t="str">
        <f t="shared" si="20"/>
        <v/>
      </c>
      <c r="BG254" s="147" t="s">
        <v>84</v>
      </c>
      <c r="BH254" s="148"/>
      <c r="BI254" s="156"/>
      <c r="BJ254" s="150">
        <f>'Degrémont sortie'!BI254</f>
        <v>0</v>
      </c>
      <c r="BK254" s="151">
        <f>'Degrémont sortie'!BJ254</f>
        <v>0</v>
      </c>
    </row>
    <row r="255" spans="1:63" ht="14.25" outlineLevel="1">
      <c r="A255" s="121">
        <f t="shared" si="13"/>
        <v>43707</v>
      </c>
      <c r="B255" s="122">
        <v>1082</v>
      </c>
      <c r="C255" s="123">
        <v>7.44</v>
      </c>
      <c r="D255" s="124">
        <v>88.3</v>
      </c>
      <c r="E255" s="125">
        <v>208.4</v>
      </c>
      <c r="F255" s="126">
        <v>25</v>
      </c>
      <c r="G255" s="127">
        <f t="shared" si="0"/>
        <v>4804.0000000000009</v>
      </c>
      <c r="H255" s="128">
        <f t="shared" si="1"/>
        <v>5197.9280000000008</v>
      </c>
      <c r="I255" s="129">
        <v>1</v>
      </c>
      <c r="J255" s="126">
        <v>3600</v>
      </c>
      <c r="K255" s="79">
        <f t="shared" si="2"/>
        <v>3600</v>
      </c>
      <c r="L255" s="128">
        <f t="shared" si="3"/>
        <v>3895.2</v>
      </c>
      <c r="M255" s="130">
        <v>1</v>
      </c>
      <c r="N255" s="126">
        <v>282</v>
      </c>
      <c r="O255" s="80">
        <f t="shared" si="4"/>
        <v>282</v>
      </c>
      <c r="P255" s="81">
        <f t="shared" si="5"/>
        <v>305.12400000000002</v>
      </c>
      <c r="Q255" s="129">
        <v>20</v>
      </c>
      <c r="R255" s="131">
        <v>14.5</v>
      </c>
      <c r="S255" s="127">
        <f t="shared" si="6"/>
        <v>290</v>
      </c>
      <c r="T255" s="128">
        <f t="shared" si="7"/>
        <v>313.77999999999997</v>
      </c>
      <c r="U255" s="113"/>
      <c r="V255" s="81">
        <f t="shared" si="14"/>
        <v>0</v>
      </c>
      <c r="W255" s="132"/>
      <c r="X255" s="153"/>
      <c r="Y255" s="94"/>
      <c r="Z255" s="132"/>
      <c r="AA255" s="153"/>
      <c r="AB255" s="94"/>
      <c r="AC255" s="133"/>
      <c r="AD255" s="93" t="str">
        <f t="shared" si="8"/>
        <v/>
      </c>
      <c r="AE255" s="94" t="e">
        <f t="shared" si="9"/>
        <v>#VALUE!</v>
      </c>
      <c r="AF255" s="134" t="s">
        <v>85</v>
      </c>
      <c r="AG255" s="135">
        <v>0.01</v>
      </c>
      <c r="AH255" s="136">
        <f t="shared" si="10"/>
        <v>5.4099999999999999E-3</v>
      </c>
      <c r="AI255" s="80"/>
      <c r="AJ255" s="154"/>
      <c r="AK255" s="100" t="str">
        <f t="shared" si="21"/>
        <v/>
      </c>
      <c r="AL255" s="138"/>
      <c r="AM255" s="113"/>
      <c r="AN255" s="103" t="str">
        <f t="shared" si="12"/>
        <v/>
      </c>
      <c r="AO255" s="139"/>
      <c r="AP255" s="140"/>
      <c r="AQ255" s="141" t="str">
        <f t="shared" si="15"/>
        <v/>
      </c>
      <c r="AR255" s="142"/>
      <c r="AS255" s="140"/>
      <c r="AT255" s="143" t="str">
        <f t="shared" si="16"/>
        <v/>
      </c>
      <c r="AU255" s="139"/>
      <c r="AV255" s="113"/>
      <c r="AW255" s="107" t="str">
        <f t="shared" si="17"/>
        <v/>
      </c>
      <c r="AX255" s="113"/>
      <c r="AY255" s="113"/>
      <c r="AZ255" s="144" t="str">
        <f t="shared" si="18"/>
        <v/>
      </c>
      <c r="BA255" s="80"/>
      <c r="BB255" s="140"/>
      <c r="BC255" s="145" t="str">
        <f t="shared" si="19"/>
        <v/>
      </c>
      <c r="BD255" s="113"/>
      <c r="BE255" s="114"/>
      <c r="BF255" s="146" t="str">
        <f t="shared" si="20"/>
        <v/>
      </c>
      <c r="BG255" s="147" t="s">
        <v>84</v>
      </c>
      <c r="BH255" s="148"/>
      <c r="BI255" s="156"/>
      <c r="BJ255" s="150">
        <f>'Degrémont sortie'!BI255</f>
        <v>0</v>
      </c>
      <c r="BK255" s="151">
        <f>'Degrémont sortie'!BJ255</f>
        <v>0</v>
      </c>
    </row>
    <row r="256" spans="1:63" ht="14.25" outlineLevel="1">
      <c r="A256" s="152">
        <f t="shared" si="13"/>
        <v>43708</v>
      </c>
      <c r="B256" s="122">
        <v>672</v>
      </c>
      <c r="C256" s="123">
        <v>7.84</v>
      </c>
      <c r="D256" s="124">
        <v>88.9</v>
      </c>
      <c r="E256" s="125">
        <v>243.8</v>
      </c>
      <c r="F256" s="126">
        <v>25</v>
      </c>
      <c r="G256" s="127">
        <f t="shared" si="0"/>
        <v>6196</v>
      </c>
      <c r="H256" s="128">
        <f t="shared" si="1"/>
        <v>4163.7120000000004</v>
      </c>
      <c r="I256" s="129">
        <v>1</v>
      </c>
      <c r="J256" s="126">
        <v>4312</v>
      </c>
      <c r="K256" s="79">
        <f t="shared" si="2"/>
        <v>4312</v>
      </c>
      <c r="L256" s="128">
        <f t="shared" si="3"/>
        <v>2897.6640000000002</v>
      </c>
      <c r="M256" s="130">
        <v>1</v>
      </c>
      <c r="N256" s="126">
        <v>263</v>
      </c>
      <c r="O256" s="80">
        <f t="shared" si="4"/>
        <v>263</v>
      </c>
      <c r="P256" s="81">
        <f t="shared" si="5"/>
        <v>176.73599999999999</v>
      </c>
      <c r="Q256" s="129">
        <v>20</v>
      </c>
      <c r="R256" s="131">
        <v>18.100000000000001</v>
      </c>
      <c r="S256" s="127">
        <f t="shared" si="6"/>
        <v>362</v>
      </c>
      <c r="T256" s="128">
        <f t="shared" si="7"/>
        <v>243.26400000000001</v>
      </c>
      <c r="U256" s="113"/>
      <c r="V256" s="81">
        <f t="shared" si="14"/>
        <v>0</v>
      </c>
      <c r="W256" s="132"/>
      <c r="X256" s="153"/>
      <c r="Y256" s="94"/>
      <c r="Z256" s="132"/>
      <c r="AA256" s="153"/>
      <c r="AB256" s="94"/>
      <c r="AC256" s="133"/>
      <c r="AD256" s="93" t="str">
        <f t="shared" si="8"/>
        <v/>
      </c>
      <c r="AE256" s="94" t="e">
        <f t="shared" si="9"/>
        <v>#VALUE!</v>
      </c>
      <c r="AF256" s="134" t="s">
        <v>85</v>
      </c>
      <c r="AG256" s="135">
        <v>0.01</v>
      </c>
      <c r="AH256" s="136">
        <f t="shared" si="10"/>
        <v>3.3599999999999997E-3</v>
      </c>
      <c r="AI256" s="80"/>
      <c r="AJ256" s="154"/>
      <c r="AK256" s="100" t="str">
        <f t="shared" si="21"/>
        <v/>
      </c>
      <c r="AL256" s="138"/>
      <c r="AM256" s="113"/>
      <c r="AN256" s="103" t="str">
        <f t="shared" si="12"/>
        <v/>
      </c>
      <c r="AO256" s="139"/>
      <c r="AP256" s="140"/>
      <c r="AQ256" s="141" t="str">
        <f t="shared" si="15"/>
        <v/>
      </c>
      <c r="AR256" s="142"/>
      <c r="AS256" s="140"/>
      <c r="AT256" s="143" t="str">
        <f t="shared" si="16"/>
        <v/>
      </c>
      <c r="AU256" s="139"/>
      <c r="AV256" s="113"/>
      <c r="AW256" s="107" t="str">
        <f t="shared" si="17"/>
        <v/>
      </c>
      <c r="AX256" s="113"/>
      <c r="AY256" s="113"/>
      <c r="AZ256" s="144" t="str">
        <f t="shared" si="18"/>
        <v/>
      </c>
      <c r="BA256" s="80"/>
      <c r="BB256" s="140"/>
      <c r="BC256" s="145" t="str">
        <f t="shared" si="19"/>
        <v/>
      </c>
      <c r="BD256" s="113"/>
      <c r="BE256" s="114"/>
      <c r="BF256" s="146" t="str">
        <f t="shared" si="20"/>
        <v/>
      </c>
      <c r="BG256" s="147" t="s">
        <v>84</v>
      </c>
      <c r="BH256" s="148"/>
      <c r="BI256" s="156"/>
      <c r="BJ256" s="150">
        <f>'Degrémont sortie'!BI256</f>
        <v>0</v>
      </c>
      <c r="BK256" s="151">
        <f>'Degrémont sortie'!BJ256</f>
        <v>0</v>
      </c>
    </row>
    <row r="257" spans="1:63" ht="14.25" outlineLevel="1">
      <c r="A257" s="121">
        <f t="shared" si="13"/>
        <v>43709</v>
      </c>
      <c r="B257" s="207"/>
      <c r="C257" s="208"/>
      <c r="D257" s="210"/>
      <c r="E257" s="211"/>
      <c r="F257" s="80"/>
      <c r="G257" s="127">
        <f t="shared" si="0"/>
        <v>0</v>
      </c>
      <c r="H257" s="128">
        <f t="shared" si="1"/>
        <v>0</v>
      </c>
      <c r="I257" s="213"/>
      <c r="J257" s="80"/>
      <c r="K257" s="79">
        <f t="shared" si="2"/>
        <v>0</v>
      </c>
      <c r="L257" s="128">
        <f t="shared" si="3"/>
        <v>0</v>
      </c>
      <c r="M257" s="79"/>
      <c r="N257" s="80"/>
      <c r="O257" s="80" t="str">
        <f t="shared" si="4"/>
        <v/>
      </c>
      <c r="P257" s="81">
        <f t="shared" si="5"/>
        <v>0</v>
      </c>
      <c r="Q257" s="213"/>
      <c r="R257" s="113"/>
      <c r="S257" s="127" t="str">
        <f t="shared" si="6"/>
        <v/>
      </c>
      <c r="T257" s="128">
        <f t="shared" si="7"/>
        <v>0</v>
      </c>
      <c r="U257" s="113"/>
      <c r="V257" s="81">
        <f t="shared" si="14"/>
        <v>0</v>
      </c>
      <c r="W257" s="132"/>
      <c r="X257" s="153"/>
      <c r="Y257" s="94"/>
      <c r="Z257" s="132"/>
      <c r="AA257" s="153"/>
      <c r="AB257" s="94"/>
      <c r="AC257" s="133"/>
      <c r="AD257" s="93" t="str">
        <f t="shared" si="8"/>
        <v/>
      </c>
      <c r="AE257" s="94" t="str">
        <f t="shared" si="9"/>
        <v/>
      </c>
      <c r="AF257" s="139"/>
      <c r="AG257" s="215"/>
      <c r="AH257" s="136" t="str">
        <f t="shared" si="10"/>
        <v/>
      </c>
      <c r="AI257" s="80"/>
      <c r="AJ257" s="154"/>
      <c r="AK257" s="100" t="str">
        <f t="shared" si="21"/>
        <v/>
      </c>
      <c r="AL257" s="138"/>
      <c r="AM257" s="113"/>
      <c r="AN257" s="103" t="str">
        <f t="shared" si="12"/>
        <v/>
      </c>
      <c r="AO257" s="139"/>
      <c r="AP257" s="140"/>
      <c r="AQ257" s="141" t="str">
        <f t="shared" si="15"/>
        <v/>
      </c>
      <c r="AR257" s="142"/>
      <c r="AS257" s="140"/>
      <c r="AT257" s="143" t="str">
        <f t="shared" si="16"/>
        <v/>
      </c>
      <c r="AU257" s="139"/>
      <c r="AV257" s="113"/>
      <c r="AW257" s="107" t="str">
        <f t="shared" si="17"/>
        <v/>
      </c>
      <c r="AX257" s="113"/>
      <c r="AY257" s="113"/>
      <c r="AZ257" s="144" t="str">
        <f t="shared" si="18"/>
        <v/>
      </c>
      <c r="BA257" s="80"/>
      <c r="BB257" s="140"/>
      <c r="BC257" s="145" t="str">
        <f t="shared" si="19"/>
        <v/>
      </c>
      <c r="BD257" s="113"/>
      <c r="BE257" s="114"/>
      <c r="BF257" s="146" t="str">
        <f t="shared" si="20"/>
        <v/>
      </c>
      <c r="BG257" s="147" t="s">
        <v>84</v>
      </c>
      <c r="BH257" s="148"/>
      <c r="BI257" s="156"/>
      <c r="BJ257" s="150">
        <f>'Degrémont sortie'!BI257</f>
        <v>0</v>
      </c>
      <c r="BK257" s="151">
        <f>'Degrémont sortie'!BJ257</f>
        <v>0</v>
      </c>
    </row>
    <row r="258" spans="1:63" ht="14.25" outlineLevel="1">
      <c r="A258" s="152">
        <f t="shared" si="13"/>
        <v>43710</v>
      </c>
      <c r="B258" s="122">
        <v>871</v>
      </c>
      <c r="C258" s="123">
        <v>7.91</v>
      </c>
      <c r="D258" s="124">
        <v>87.4</v>
      </c>
      <c r="E258" s="125">
        <v>212.9</v>
      </c>
      <c r="F258" s="126">
        <v>32</v>
      </c>
      <c r="G258" s="127">
        <f t="shared" si="0"/>
        <v>3921.875</v>
      </c>
      <c r="H258" s="128">
        <f t="shared" si="1"/>
        <v>3415.953125</v>
      </c>
      <c r="I258" s="129">
        <v>1</v>
      </c>
      <c r="J258" s="126">
        <v>4000</v>
      </c>
      <c r="K258" s="79">
        <f t="shared" si="2"/>
        <v>4000</v>
      </c>
      <c r="L258" s="128">
        <f t="shared" si="3"/>
        <v>3484</v>
      </c>
      <c r="M258" s="130">
        <v>1</v>
      </c>
      <c r="N258" s="126">
        <v>567</v>
      </c>
      <c r="O258" s="80">
        <f t="shared" si="4"/>
        <v>567</v>
      </c>
      <c r="P258" s="81">
        <f t="shared" si="5"/>
        <v>493.85700000000003</v>
      </c>
      <c r="Q258" s="129">
        <v>20</v>
      </c>
      <c r="R258" s="131">
        <v>13.1</v>
      </c>
      <c r="S258" s="127">
        <f t="shared" si="6"/>
        <v>262</v>
      </c>
      <c r="T258" s="128">
        <f t="shared" si="7"/>
        <v>228.202</v>
      </c>
      <c r="U258" s="113"/>
      <c r="V258" s="81">
        <f t="shared" si="14"/>
        <v>0</v>
      </c>
      <c r="W258" s="132"/>
      <c r="X258" s="153"/>
      <c r="Y258" s="94"/>
      <c r="Z258" s="132"/>
      <c r="AA258" s="153"/>
      <c r="AB258" s="94"/>
      <c r="AC258" s="133"/>
      <c r="AD258" s="93" t="str">
        <f t="shared" si="8"/>
        <v/>
      </c>
      <c r="AE258" s="94" t="e">
        <f t="shared" si="9"/>
        <v>#VALUE!</v>
      </c>
      <c r="AF258" s="134" t="s">
        <v>85</v>
      </c>
      <c r="AG258" s="135">
        <v>0.01</v>
      </c>
      <c r="AH258" s="136">
        <f t="shared" si="10"/>
        <v>4.3550000000000004E-3</v>
      </c>
      <c r="AI258" s="80"/>
      <c r="AJ258" s="154"/>
      <c r="AK258" s="100" t="str">
        <f t="shared" si="21"/>
        <v/>
      </c>
      <c r="AL258" s="138"/>
      <c r="AM258" s="113"/>
      <c r="AN258" s="103" t="str">
        <f t="shared" si="12"/>
        <v/>
      </c>
      <c r="AO258" s="139"/>
      <c r="AP258" s="140"/>
      <c r="AQ258" s="141" t="str">
        <f t="shared" si="15"/>
        <v/>
      </c>
      <c r="AR258" s="142"/>
      <c r="AS258" s="140"/>
      <c r="AT258" s="143" t="str">
        <f t="shared" si="16"/>
        <v/>
      </c>
      <c r="AU258" s="139"/>
      <c r="AV258" s="113"/>
      <c r="AW258" s="107" t="str">
        <f t="shared" si="17"/>
        <v/>
      </c>
      <c r="AX258" s="113"/>
      <c r="AY258" s="113"/>
      <c r="AZ258" s="144" t="str">
        <f t="shared" si="18"/>
        <v/>
      </c>
      <c r="BA258" s="80"/>
      <c r="BB258" s="140"/>
      <c r="BC258" s="145" t="str">
        <f t="shared" si="19"/>
        <v/>
      </c>
      <c r="BD258" s="113"/>
      <c r="BE258" s="114"/>
      <c r="BF258" s="146" t="str">
        <f t="shared" si="20"/>
        <v/>
      </c>
      <c r="BG258" s="147" t="s">
        <v>84</v>
      </c>
      <c r="BH258" s="148"/>
      <c r="BI258" s="156"/>
      <c r="BJ258" s="150">
        <f>'Degrémont sortie'!BI258</f>
        <v>0</v>
      </c>
      <c r="BK258" s="151">
        <f>'Degrémont sortie'!BJ258</f>
        <v>0</v>
      </c>
    </row>
    <row r="259" spans="1:63" ht="14.25" outlineLevel="1">
      <c r="A259" s="121">
        <f t="shared" si="13"/>
        <v>43711</v>
      </c>
      <c r="B259" s="122">
        <v>835</v>
      </c>
      <c r="C259" s="123">
        <v>7.48</v>
      </c>
      <c r="D259" s="124">
        <v>88.5</v>
      </c>
      <c r="E259" s="125">
        <v>182.6</v>
      </c>
      <c r="F259" s="126">
        <v>36</v>
      </c>
      <c r="G259" s="127">
        <f t="shared" si="0"/>
        <v>2613.8888888888887</v>
      </c>
      <c r="H259" s="128">
        <f t="shared" si="1"/>
        <v>2182.5972222222222</v>
      </c>
      <c r="I259" s="129">
        <v>1</v>
      </c>
      <c r="J259" s="126">
        <v>2525</v>
      </c>
      <c r="K259" s="79">
        <f t="shared" si="2"/>
        <v>2525</v>
      </c>
      <c r="L259" s="128">
        <f t="shared" si="3"/>
        <v>2108.375</v>
      </c>
      <c r="M259" s="130">
        <v>1</v>
      </c>
      <c r="N259" s="126">
        <v>409</v>
      </c>
      <c r="O259" s="80">
        <f t="shared" si="4"/>
        <v>409</v>
      </c>
      <c r="P259" s="81">
        <f t="shared" si="5"/>
        <v>341.51499999999999</v>
      </c>
      <c r="Q259" s="129">
        <v>20</v>
      </c>
      <c r="R259" s="131">
        <v>8.76</v>
      </c>
      <c r="S259" s="127">
        <f t="shared" si="6"/>
        <v>175.2</v>
      </c>
      <c r="T259" s="128">
        <f t="shared" si="7"/>
        <v>146.292</v>
      </c>
      <c r="U259" s="131">
        <v>55.5</v>
      </c>
      <c r="V259" s="81">
        <f t="shared" si="14"/>
        <v>46.342500000000001</v>
      </c>
      <c r="W259" s="132"/>
      <c r="X259" s="153"/>
      <c r="Y259" s="94"/>
      <c r="Z259" s="132"/>
      <c r="AA259" s="153"/>
      <c r="AB259" s="94"/>
      <c r="AC259" s="133"/>
      <c r="AD259" s="93" t="str">
        <f t="shared" si="8"/>
        <v/>
      </c>
      <c r="AE259" s="94" t="e">
        <f t="shared" si="9"/>
        <v>#VALUE!</v>
      </c>
      <c r="AF259" s="134" t="s">
        <v>85</v>
      </c>
      <c r="AG259" s="135">
        <v>0.01</v>
      </c>
      <c r="AH259" s="136">
        <f t="shared" si="10"/>
        <v>4.1749999999999999E-3</v>
      </c>
      <c r="AI259" s="80"/>
      <c r="AJ259" s="154"/>
      <c r="AK259" s="100" t="str">
        <f t="shared" si="21"/>
        <v/>
      </c>
      <c r="AL259" s="138"/>
      <c r="AM259" s="113"/>
      <c r="AN259" s="103" t="str">
        <f t="shared" si="12"/>
        <v/>
      </c>
      <c r="AO259" s="139"/>
      <c r="AP259" s="155">
        <v>110.58</v>
      </c>
      <c r="AQ259" s="141">
        <f t="shared" si="15"/>
        <v>842.50901999999996</v>
      </c>
      <c r="AR259" s="393" t="s">
        <v>85</v>
      </c>
      <c r="AS259" s="155">
        <v>0.03</v>
      </c>
      <c r="AT259" s="143">
        <f t="shared" si="16"/>
        <v>0.114285</v>
      </c>
      <c r="AU259" s="139"/>
      <c r="AV259" s="131">
        <v>15.54</v>
      </c>
      <c r="AW259" s="107">
        <f t="shared" si="17"/>
        <v>118.39925999999998</v>
      </c>
      <c r="AX259" s="113"/>
      <c r="AY259" s="131">
        <v>156.1</v>
      </c>
      <c r="AZ259" s="144">
        <f t="shared" si="18"/>
        <v>1189.3258999999998</v>
      </c>
      <c r="BA259" s="80"/>
      <c r="BB259" s="155">
        <v>0.26</v>
      </c>
      <c r="BC259" s="145">
        <f t="shared" si="19"/>
        <v>1.9809399999999999</v>
      </c>
      <c r="BD259" s="131" t="s">
        <v>85</v>
      </c>
      <c r="BE259" s="158">
        <v>0.13</v>
      </c>
      <c r="BF259" s="146">
        <f t="shared" si="20"/>
        <v>0.49523499999999998</v>
      </c>
      <c r="BG259" s="147" t="s">
        <v>84</v>
      </c>
      <c r="BH259" s="148"/>
      <c r="BI259" s="156"/>
      <c r="BJ259" s="150">
        <f>'Degrémont sortie'!BI259</f>
        <v>0</v>
      </c>
      <c r="BK259" s="151">
        <f>'Degrémont sortie'!BJ259</f>
        <v>0</v>
      </c>
    </row>
    <row r="260" spans="1:63" ht="14.25" outlineLevel="1">
      <c r="A260" s="152">
        <f t="shared" si="13"/>
        <v>43712</v>
      </c>
      <c r="B260" s="122">
        <v>1004</v>
      </c>
      <c r="C260" s="123">
        <v>7.63</v>
      </c>
      <c r="D260" s="124">
        <v>90.3</v>
      </c>
      <c r="E260" s="125">
        <v>238.9</v>
      </c>
      <c r="F260" s="126">
        <v>32</v>
      </c>
      <c r="G260" s="127">
        <f t="shared" si="0"/>
        <v>4643.7500000000009</v>
      </c>
      <c r="H260" s="128">
        <f t="shared" si="1"/>
        <v>4662.3250000000007</v>
      </c>
      <c r="I260" s="129">
        <v>1</v>
      </c>
      <c r="J260" s="126">
        <v>4307</v>
      </c>
      <c r="K260" s="79">
        <f t="shared" si="2"/>
        <v>4307</v>
      </c>
      <c r="L260" s="128">
        <f t="shared" si="3"/>
        <v>4324.2280000000001</v>
      </c>
      <c r="M260" s="130">
        <v>1</v>
      </c>
      <c r="N260" s="126">
        <v>320</v>
      </c>
      <c r="O260" s="80">
        <f t="shared" si="4"/>
        <v>320</v>
      </c>
      <c r="P260" s="81">
        <f t="shared" si="5"/>
        <v>321.27999999999997</v>
      </c>
      <c r="Q260" s="129">
        <v>20</v>
      </c>
      <c r="R260" s="131">
        <v>15.1</v>
      </c>
      <c r="S260" s="127">
        <f t="shared" si="6"/>
        <v>302</v>
      </c>
      <c r="T260" s="128">
        <f t="shared" si="7"/>
        <v>303.20800000000003</v>
      </c>
      <c r="U260" s="113"/>
      <c r="V260" s="81">
        <f t="shared" si="14"/>
        <v>0</v>
      </c>
      <c r="W260" s="132"/>
      <c r="X260" s="153"/>
      <c r="Y260" s="94"/>
      <c r="Z260" s="132"/>
      <c r="AA260" s="153"/>
      <c r="AB260" s="94"/>
      <c r="AC260" s="133"/>
      <c r="AD260" s="93" t="str">
        <f t="shared" si="8"/>
        <v/>
      </c>
      <c r="AE260" s="94" t="e">
        <f t="shared" si="9"/>
        <v>#VALUE!</v>
      </c>
      <c r="AF260" s="134" t="s">
        <v>85</v>
      </c>
      <c r="AG260" s="135">
        <v>0.01</v>
      </c>
      <c r="AH260" s="136">
        <f t="shared" si="10"/>
        <v>5.0200000000000002E-3</v>
      </c>
      <c r="AI260" s="80"/>
      <c r="AJ260" s="154"/>
      <c r="AK260" s="100" t="str">
        <f t="shared" si="21"/>
        <v/>
      </c>
      <c r="AL260" s="138"/>
      <c r="AM260" s="113"/>
      <c r="AN260" s="103" t="str">
        <f t="shared" si="12"/>
        <v/>
      </c>
      <c r="AO260" s="139"/>
      <c r="AP260" s="140"/>
      <c r="AQ260" s="141" t="str">
        <f t="shared" si="15"/>
        <v/>
      </c>
      <c r="AR260" s="142"/>
      <c r="AS260" s="140"/>
      <c r="AT260" s="143" t="str">
        <f t="shared" si="16"/>
        <v/>
      </c>
      <c r="AU260" s="139"/>
      <c r="AV260" s="113"/>
      <c r="AW260" s="107" t="str">
        <f t="shared" si="17"/>
        <v/>
      </c>
      <c r="AX260" s="113"/>
      <c r="AY260" s="113"/>
      <c r="AZ260" s="144" t="str">
        <f t="shared" si="18"/>
        <v/>
      </c>
      <c r="BA260" s="80"/>
      <c r="BB260" s="140"/>
      <c r="BC260" s="145" t="str">
        <f t="shared" si="19"/>
        <v/>
      </c>
      <c r="BD260" s="113"/>
      <c r="BE260" s="114"/>
      <c r="BF260" s="146" t="str">
        <f t="shared" si="20"/>
        <v/>
      </c>
      <c r="BG260" s="147" t="s">
        <v>84</v>
      </c>
      <c r="BH260" s="148"/>
      <c r="BI260" s="156"/>
      <c r="BJ260" s="150">
        <f>'Degrémont sortie'!BI260</f>
        <v>0</v>
      </c>
      <c r="BK260" s="151">
        <f>'Degrémont sortie'!BJ260</f>
        <v>0</v>
      </c>
    </row>
    <row r="261" spans="1:63" ht="15.75" customHeight="1" outlineLevel="1">
      <c r="A261" s="121">
        <f t="shared" si="13"/>
        <v>43713</v>
      </c>
      <c r="B261" s="122">
        <v>771</v>
      </c>
      <c r="C261" s="123">
        <v>8.1300000000000008</v>
      </c>
      <c r="D261" s="124">
        <v>88.9</v>
      </c>
      <c r="E261" s="125">
        <v>410</v>
      </c>
      <c r="F261" s="126">
        <v>26</v>
      </c>
      <c r="G261" s="127">
        <f t="shared" si="0"/>
        <v>12350</v>
      </c>
      <c r="H261" s="128">
        <f t="shared" si="1"/>
        <v>9521.85</v>
      </c>
      <c r="I261" s="129">
        <v>1</v>
      </c>
      <c r="J261" s="126">
        <v>8456</v>
      </c>
      <c r="K261" s="79">
        <f t="shared" si="2"/>
        <v>8456</v>
      </c>
      <c r="L261" s="128">
        <f t="shared" si="3"/>
        <v>6519.576</v>
      </c>
      <c r="M261" s="130">
        <v>1</v>
      </c>
      <c r="N261" s="126">
        <v>281</v>
      </c>
      <c r="O261" s="80">
        <f t="shared" si="4"/>
        <v>281</v>
      </c>
      <c r="P261" s="81">
        <f t="shared" si="5"/>
        <v>216.65100000000001</v>
      </c>
      <c r="Q261" s="129">
        <v>20</v>
      </c>
      <c r="R261" s="131">
        <v>19.899999999999999</v>
      </c>
      <c r="S261" s="127">
        <f t="shared" si="6"/>
        <v>398</v>
      </c>
      <c r="T261" s="128">
        <f t="shared" si="7"/>
        <v>306.858</v>
      </c>
      <c r="U261" s="113"/>
      <c r="V261" s="81">
        <f t="shared" si="14"/>
        <v>0</v>
      </c>
      <c r="W261" s="132"/>
      <c r="X261" s="153"/>
      <c r="Y261" s="94"/>
      <c r="Z261" s="132"/>
      <c r="AA261" s="153"/>
      <c r="AB261" s="94"/>
      <c r="AC261" s="133"/>
      <c r="AD261" s="93" t="str">
        <f t="shared" si="8"/>
        <v/>
      </c>
      <c r="AE261" s="94" t="e">
        <f t="shared" si="9"/>
        <v>#VALUE!</v>
      </c>
      <c r="AF261" s="134" t="s">
        <v>85</v>
      </c>
      <c r="AG261" s="135">
        <v>0.01</v>
      </c>
      <c r="AH261" s="136">
        <f t="shared" si="10"/>
        <v>3.8549999999999999E-3</v>
      </c>
      <c r="AI261" s="80"/>
      <c r="AJ261" s="154"/>
      <c r="AK261" s="100" t="str">
        <f t="shared" si="21"/>
        <v/>
      </c>
      <c r="AL261" s="138"/>
      <c r="AM261" s="113"/>
      <c r="AN261" s="103" t="str">
        <f t="shared" si="12"/>
        <v/>
      </c>
      <c r="AO261" s="139"/>
      <c r="AP261" s="140"/>
      <c r="AQ261" s="141" t="str">
        <f t="shared" si="15"/>
        <v/>
      </c>
      <c r="AR261" s="142"/>
      <c r="AS261" s="140"/>
      <c r="AT261" s="143" t="str">
        <f t="shared" si="16"/>
        <v/>
      </c>
      <c r="AU261" s="139"/>
      <c r="AV261" s="113"/>
      <c r="AW261" s="107" t="str">
        <f t="shared" si="17"/>
        <v/>
      </c>
      <c r="AX261" s="113"/>
      <c r="AY261" s="113"/>
      <c r="AZ261" s="144" t="str">
        <f t="shared" si="18"/>
        <v/>
      </c>
      <c r="BA261" s="80"/>
      <c r="BB261" s="140"/>
      <c r="BC261" s="145" t="str">
        <f t="shared" si="19"/>
        <v/>
      </c>
      <c r="BD261" s="113"/>
      <c r="BE261" s="114"/>
      <c r="BF261" s="146" t="str">
        <f t="shared" si="20"/>
        <v/>
      </c>
      <c r="BG261" s="147" t="s">
        <v>84</v>
      </c>
      <c r="BH261" s="148"/>
      <c r="BI261" s="156"/>
      <c r="BJ261" s="150">
        <f>'Degrémont sortie'!BI261</f>
        <v>0</v>
      </c>
      <c r="BK261" s="151">
        <f>'Degrémont sortie'!BJ261</f>
        <v>0</v>
      </c>
    </row>
    <row r="262" spans="1:63" ht="15.75" customHeight="1" outlineLevel="1">
      <c r="A262" s="152">
        <f t="shared" si="13"/>
        <v>43714</v>
      </c>
      <c r="B262" s="122">
        <v>1596</v>
      </c>
      <c r="C262" s="123">
        <v>7.79</v>
      </c>
      <c r="D262" s="124">
        <v>88.9</v>
      </c>
      <c r="E262" s="125">
        <v>506.3</v>
      </c>
      <c r="F262" s="126">
        <v>29</v>
      </c>
      <c r="G262" s="127">
        <f t="shared" si="0"/>
        <v>14393.103448275862</v>
      </c>
      <c r="H262" s="128">
        <f t="shared" si="1"/>
        <v>22971.393103448274</v>
      </c>
      <c r="I262" s="129">
        <v>1</v>
      </c>
      <c r="J262" s="126">
        <v>4865</v>
      </c>
      <c r="K262" s="79">
        <f t="shared" si="2"/>
        <v>4865</v>
      </c>
      <c r="L262" s="128">
        <f t="shared" si="3"/>
        <v>7764.54</v>
      </c>
      <c r="M262" s="130">
        <v>1</v>
      </c>
      <c r="N262" s="126">
        <v>462</v>
      </c>
      <c r="O262" s="80">
        <f t="shared" si="4"/>
        <v>462</v>
      </c>
      <c r="P262" s="81">
        <f t="shared" si="5"/>
        <v>737.35199999999998</v>
      </c>
      <c r="Q262" s="129">
        <v>20</v>
      </c>
      <c r="R262" s="131">
        <v>28.3</v>
      </c>
      <c r="S262" s="127">
        <f t="shared" si="6"/>
        <v>566</v>
      </c>
      <c r="T262" s="128">
        <f t="shared" si="7"/>
        <v>903.33600000000001</v>
      </c>
      <c r="U262" s="113"/>
      <c r="V262" s="81">
        <f t="shared" si="14"/>
        <v>0</v>
      </c>
      <c r="W262" s="132"/>
      <c r="X262" s="153"/>
      <c r="Y262" s="94"/>
      <c r="Z262" s="132"/>
      <c r="AA262" s="153"/>
      <c r="AB262" s="94"/>
      <c r="AC262" s="133"/>
      <c r="AD262" s="93" t="str">
        <f t="shared" si="8"/>
        <v/>
      </c>
      <c r="AE262" s="94" t="e">
        <f t="shared" si="9"/>
        <v>#VALUE!</v>
      </c>
      <c r="AF262" s="134" t="s">
        <v>85</v>
      </c>
      <c r="AG262" s="135">
        <v>0.01</v>
      </c>
      <c r="AH262" s="136">
        <f t="shared" si="10"/>
        <v>7.980000000000001E-3</v>
      </c>
      <c r="AI262" s="80"/>
      <c r="AJ262" s="154"/>
      <c r="AK262" s="100" t="str">
        <f t="shared" si="21"/>
        <v/>
      </c>
      <c r="AL262" s="138"/>
      <c r="AM262" s="113"/>
      <c r="AN262" s="103" t="str">
        <f t="shared" si="12"/>
        <v/>
      </c>
      <c r="AO262" s="139"/>
      <c r="AP262" s="140"/>
      <c r="AQ262" s="141" t="str">
        <f t="shared" si="15"/>
        <v/>
      </c>
      <c r="AR262" s="142"/>
      <c r="AS262" s="140"/>
      <c r="AT262" s="143" t="str">
        <f t="shared" si="16"/>
        <v/>
      </c>
      <c r="AU262" s="139"/>
      <c r="AV262" s="113"/>
      <c r="AW262" s="107" t="str">
        <f t="shared" si="17"/>
        <v/>
      </c>
      <c r="AX262" s="113"/>
      <c r="AY262" s="113"/>
      <c r="AZ262" s="144" t="str">
        <f t="shared" si="18"/>
        <v/>
      </c>
      <c r="BA262" s="80"/>
      <c r="BB262" s="140"/>
      <c r="BC262" s="145" t="str">
        <f t="shared" si="19"/>
        <v/>
      </c>
      <c r="BD262" s="113"/>
      <c r="BE262" s="114"/>
      <c r="BF262" s="146" t="str">
        <f t="shared" si="20"/>
        <v/>
      </c>
      <c r="BG262" s="147" t="s">
        <v>84</v>
      </c>
      <c r="BH262" s="148"/>
      <c r="BI262" s="156"/>
      <c r="BJ262" s="150">
        <f>'Degrémont sortie'!BI262</f>
        <v>0</v>
      </c>
      <c r="BK262" s="151">
        <f>'Degrémont sortie'!BJ262</f>
        <v>0</v>
      </c>
    </row>
    <row r="263" spans="1:63" ht="15.75" customHeight="1" outlineLevel="1">
      <c r="A263" s="121">
        <f t="shared" si="13"/>
        <v>43715</v>
      </c>
      <c r="B263" s="207"/>
      <c r="C263" s="208"/>
      <c r="D263" s="210"/>
      <c r="E263" s="211"/>
      <c r="F263" s="80"/>
      <c r="G263" s="127">
        <f t="shared" si="0"/>
        <v>0</v>
      </c>
      <c r="H263" s="128">
        <f t="shared" si="1"/>
        <v>0</v>
      </c>
      <c r="I263" s="129">
        <v>1</v>
      </c>
      <c r="J263" s="80"/>
      <c r="K263" s="79">
        <f t="shared" si="2"/>
        <v>0</v>
      </c>
      <c r="L263" s="128">
        <f t="shared" si="3"/>
        <v>0</v>
      </c>
      <c r="M263" s="130">
        <v>1</v>
      </c>
      <c r="N263" s="80"/>
      <c r="O263" s="80" t="str">
        <f t="shared" si="4"/>
        <v/>
      </c>
      <c r="P263" s="81">
        <f t="shared" si="5"/>
        <v>0</v>
      </c>
      <c r="Q263" s="213"/>
      <c r="R263" s="113"/>
      <c r="S263" s="127" t="str">
        <f t="shared" si="6"/>
        <v/>
      </c>
      <c r="T263" s="128">
        <f t="shared" si="7"/>
        <v>0</v>
      </c>
      <c r="U263" s="113"/>
      <c r="V263" s="81">
        <f t="shared" si="14"/>
        <v>0</v>
      </c>
      <c r="W263" s="132"/>
      <c r="X263" s="153"/>
      <c r="Y263" s="94"/>
      <c r="Z263" s="132"/>
      <c r="AA263" s="153"/>
      <c r="AB263" s="94"/>
      <c r="AC263" s="133"/>
      <c r="AD263" s="93" t="str">
        <f t="shared" si="8"/>
        <v/>
      </c>
      <c r="AE263" s="94" t="str">
        <f t="shared" si="9"/>
        <v/>
      </c>
      <c r="AF263" s="139"/>
      <c r="AG263" s="215"/>
      <c r="AH263" s="136" t="str">
        <f t="shared" si="10"/>
        <v/>
      </c>
      <c r="AI263" s="80"/>
      <c r="AJ263" s="154"/>
      <c r="AK263" s="100" t="str">
        <f t="shared" si="21"/>
        <v/>
      </c>
      <c r="AL263" s="138"/>
      <c r="AM263" s="113"/>
      <c r="AN263" s="103" t="str">
        <f t="shared" si="12"/>
        <v/>
      </c>
      <c r="AO263" s="139"/>
      <c r="AP263" s="140"/>
      <c r="AQ263" s="141" t="str">
        <f t="shared" si="15"/>
        <v/>
      </c>
      <c r="AR263" s="142"/>
      <c r="AS263" s="140"/>
      <c r="AT263" s="143" t="str">
        <f t="shared" si="16"/>
        <v/>
      </c>
      <c r="AU263" s="139"/>
      <c r="AV263" s="113"/>
      <c r="AW263" s="107" t="str">
        <f t="shared" si="17"/>
        <v/>
      </c>
      <c r="AX263" s="113"/>
      <c r="AY263" s="113"/>
      <c r="AZ263" s="144" t="str">
        <f t="shared" si="18"/>
        <v/>
      </c>
      <c r="BA263" s="80"/>
      <c r="BB263" s="140"/>
      <c r="BC263" s="145" t="str">
        <f t="shared" si="19"/>
        <v/>
      </c>
      <c r="BD263" s="113"/>
      <c r="BE263" s="114"/>
      <c r="BF263" s="146" t="str">
        <f t="shared" si="20"/>
        <v/>
      </c>
      <c r="BG263" s="147" t="s">
        <v>84</v>
      </c>
      <c r="BH263" s="148"/>
      <c r="BI263" s="156"/>
      <c r="BJ263" s="150">
        <f>'Degrémont sortie'!BI263</f>
        <v>0</v>
      </c>
      <c r="BK263" s="151">
        <f>'Degrémont sortie'!BJ263</f>
        <v>0</v>
      </c>
    </row>
    <row r="264" spans="1:63" ht="15.75" customHeight="1" outlineLevel="1">
      <c r="A264" s="152">
        <f t="shared" si="13"/>
        <v>43716</v>
      </c>
      <c r="B264" s="207"/>
      <c r="C264" s="208"/>
      <c r="D264" s="210"/>
      <c r="E264" s="211"/>
      <c r="F264" s="80"/>
      <c r="G264" s="127">
        <f t="shared" si="0"/>
        <v>0</v>
      </c>
      <c r="H264" s="128">
        <f t="shared" si="1"/>
        <v>0</v>
      </c>
      <c r="I264" s="129">
        <v>1</v>
      </c>
      <c r="J264" s="80"/>
      <c r="K264" s="79">
        <f t="shared" si="2"/>
        <v>0</v>
      </c>
      <c r="L264" s="128">
        <f t="shared" si="3"/>
        <v>0</v>
      </c>
      <c r="M264" s="130">
        <v>1</v>
      </c>
      <c r="N264" s="80"/>
      <c r="O264" s="80" t="str">
        <f t="shared" si="4"/>
        <v/>
      </c>
      <c r="P264" s="81">
        <f t="shared" si="5"/>
        <v>0</v>
      </c>
      <c r="Q264" s="213"/>
      <c r="R264" s="113"/>
      <c r="S264" s="127" t="str">
        <f t="shared" si="6"/>
        <v/>
      </c>
      <c r="T264" s="128">
        <f t="shared" si="7"/>
        <v>0</v>
      </c>
      <c r="U264" s="113"/>
      <c r="V264" s="81">
        <f t="shared" si="14"/>
        <v>0</v>
      </c>
      <c r="W264" s="132"/>
      <c r="X264" s="153"/>
      <c r="Y264" s="94"/>
      <c r="Z264" s="132"/>
      <c r="AA264" s="153"/>
      <c r="AB264" s="94"/>
      <c r="AC264" s="133"/>
      <c r="AD264" s="93" t="str">
        <f t="shared" si="8"/>
        <v/>
      </c>
      <c r="AE264" s="94" t="str">
        <f t="shared" si="9"/>
        <v/>
      </c>
      <c r="AF264" s="139"/>
      <c r="AG264" s="215"/>
      <c r="AH264" s="136" t="str">
        <f t="shared" si="10"/>
        <v/>
      </c>
      <c r="AI264" s="80"/>
      <c r="AJ264" s="154"/>
      <c r="AK264" s="100" t="str">
        <f t="shared" si="21"/>
        <v/>
      </c>
      <c r="AL264" s="138"/>
      <c r="AM264" s="113"/>
      <c r="AN264" s="103" t="str">
        <f t="shared" si="12"/>
        <v/>
      </c>
      <c r="AO264" s="139"/>
      <c r="AP264" s="140"/>
      <c r="AQ264" s="141" t="str">
        <f t="shared" si="15"/>
        <v/>
      </c>
      <c r="AR264" s="142"/>
      <c r="AS264" s="140"/>
      <c r="AT264" s="143" t="str">
        <f t="shared" si="16"/>
        <v/>
      </c>
      <c r="AU264" s="139"/>
      <c r="AV264" s="113"/>
      <c r="AW264" s="107" t="str">
        <f t="shared" si="17"/>
        <v/>
      </c>
      <c r="AX264" s="113"/>
      <c r="AY264" s="113"/>
      <c r="AZ264" s="144" t="str">
        <f t="shared" si="18"/>
        <v/>
      </c>
      <c r="BA264" s="80"/>
      <c r="BB264" s="140"/>
      <c r="BC264" s="145" t="str">
        <f t="shared" si="19"/>
        <v/>
      </c>
      <c r="BD264" s="113"/>
      <c r="BE264" s="114"/>
      <c r="BF264" s="146" t="str">
        <f t="shared" si="20"/>
        <v/>
      </c>
      <c r="BG264" s="147" t="s">
        <v>84</v>
      </c>
      <c r="BH264" s="148"/>
      <c r="BI264" s="156"/>
      <c r="BJ264" s="150">
        <f>'Degrémont sortie'!BI264</f>
        <v>0</v>
      </c>
      <c r="BK264" s="151">
        <f>'Degrémont sortie'!BJ264</f>
        <v>0</v>
      </c>
    </row>
    <row r="265" spans="1:63" ht="15.75" customHeight="1" outlineLevel="1">
      <c r="A265" s="121">
        <f t="shared" si="13"/>
        <v>43717</v>
      </c>
      <c r="B265" s="122">
        <v>808</v>
      </c>
      <c r="C265" s="123">
        <v>7.89</v>
      </c>
      <c r="D265" s="124">
        <v>89</v>
      </c>
      <c r="E265" s="125">
        <v>379.3</v>
      </c>
      <c r="F265" s="126">
        <v>29</v>
      </c>
      <c r="G265" s="127">
        <f t="shared" si="0"/>
        <v>10010.344827586207</v>
      </c>
      <c r="H265" s="128">
        <f t="shared" si="1"/>
        <v>8088.3586206896543</v>
      </c>
      <c r="I265" s="129">
        <v>1</v>
      </c>
      <c r="J265" s="126">
        <v>7958</v>
      </c>
      <c r="K265" s="79">
        <f t="shared" si="2"/>
        <v>7958</v>
      </c>
      <c r="L265" s="128">
        <f t="shared" si="3"/>
        <v>6430.0640000000003</v>
      </c>
      <c r="M265" s="130">
        <v>1</v>
      </c>
      <c r="N265" s="126">
        <v>932</v>
      </c>
      <c r="O265" s="80">
        <f t="shared" si="4"/>
        <v>932</v>
      </c>
      <c r="P265" s="81">
        <f t="shared" si="5"/>
        <v>753.05600000000004</v>
      </c>
      <c r="Q265" s="129">
        <v>20</v>
      </c>
      <c r="R265" s="131">
        <v>25.6</v>
      </c>
      <c r="S265" s="127">
        <f t="shared" si="6"/>
        <v>512</v>
      </c>
      <c r="T265" s="128">
        <f t="shared" si="7"/>
        <v>413.69600000000003</v>
      </c>
      <c r="U265" s="113"/>
      <c r="V265" s="81">
        <f t="shared" si="14"/>
        <v>0</v>
      </c>
      <c r="W265" s="132"/>
      <c r="X265" s="153"/>
      <c r="Y265" s="94"/>
      <c r="Z265" s="132"/>
      <c r="AA265" s="153"/>
      <c r="AB265" s="94"/>
      <c r="AC265" s="133"/>
      <c r="AD265" s="93" t="str">
        <f t="shared" si="8"/>
        <v/>
      </c>
      <c r="AE265" s="94" t="e">
        <f t="shared" si="9"/>
        <v>#VALUE!</v>
      </c>
      <c r="AF265" s="134" t="s">
        <v>85</v>
      </c>
      <c r="AG265" s="135">
        <v>0.01</v>
      </c>
      <c r="AH265" s="136">
        <f t="shared" si="10"/>
        <v>4.0400000000000002E-3</v>
      </c>
      <c r="AI265" s="80"/>
      <c r="AJ265" s="154"/>
      <c r="AK265" s="100" t="str">
        <f t="shared" si="21"/>
        <v/>
      </c>
      <c r="AL265" s="138"/>
      <c r="AM265" s="113"/>
      <c r="AN265" s="103" t="str">
        <f t="shared" si="12"/>
        <v/>
      </c>
      <c r="AO265" s="139"/>
      <c r="AP265" s="140"/>
      <c r="AQ265" s="141" t="str">
        <f t="shared" si="15"/>
        <v/>
      </c>
      <c r="AR265" s="142"/>
      <c r="AS265" s="140"/>
      <c r="AT265" s="143" t="str">
        <f t="shared" si="16"/>
        <v/>
      </c>
      <c r="AU265" s="139"/>
      <c r="AV265" s="113"/>
      <c r="AW265" s="107" t="str">
        <f t="shared" si="17"/>
        <v/>
      </c>
      <c r="AX265" s="113"/>
      <c r="AY265" s="113"/>
      <c r="AZ265" s="144" t="str">
        <f t="shared" si="18"/>
        <v/>
      </c>
      <c r="BA265" s="80"/>
      <c r="BB265" s="140"/>
      <c r="BC265" s="145" t="str">
        <f t="shared" si="19"/>
        <v/>
      </c>
      <c r="BD265" s="113"/>
      <c r="BE265" s="114"/>
      <c r="BF265" s="146" t="str">
        <f t="shared" si="20"/>
        <v/>
      </c>
      <c r="BG265" s="147" t="s">
        <v>84</v>
      </c>
      <c r="BH265" s="148"/>
      <c r="BI265" s="156"/>
      <c r="BJ265" s="150">
        <f>'Degrémont sortie'!BI265</f>
        <v>0</v>
      </c>
      <c r="BK265" s="151">
        <f>'Degrémont sortie'!BJ265</f>
        <v>0</v>
      </c>
    </row>
    <row r="266" spans="1:63" ht="14.25" outlineLevel="1">
      <c r="A266" s="152">
        <f t="shared" si="13"/>
        <v>43718</v>
      </c>
      <c r="B266" s="183">
        <v>1192</v>
      </c>
      <c r="C266" s="184">
        <v>7.96</v>
      </c>
      <c r="D266" s="185">
        <v>88</v>
      </c>
      <c r="E266" s="186">
        <v>423.9</v>
      </c>
      <c r="F266" s="187">
        <v>30</v>
      </c>
      <c r="G266" s="127">
        <f t="shared" si="0"/>
        <v>11196.666666666666</v>
      </c>
      <c r="H266" s="128">
        <f t="shared" si="1"/>
        <v>13346.426666666666</v>
      </c>
      <c r="I266" s="188">
        <v>1</v>
      </c>
      <c r="J266" s="187">
        <v>8334</v>
      </c>
      <c r="K266" s="79">
        <f t="shared" si="2"/>
        <v>8334</v>
      </c>
      <c r="L266" s="128">
        <f t="shared" si="3"/>
        <v>9934.1280000000006</v>
      </c>
      <c r="M266" s="189">
        <v>1</v>
      </c>
      <c r="N266" s="187">
        <v>618</v>
      </c>
      <c r="O266" s="80">
        <f t="shared" si="4"/>
        <v>618</v>
      </c>
      <c r="P266" s="81">
        <f t="shared" si="5"/>
        <v>736.65599999999995</v>
      </c>
      <c r="Q266" s="188">
        <v>20</v>
      </c>
      <c r="R266" s="190">
        <v>24</v>
      </c>
      <c r="S266" s="127">
        <f t="shared" si="6"/>
        <v>480</v>
      </c>
      <c r="T266" s="128">
        <f t="shared" si="7"/>
        <v>572.16</v>
      </c>
      <c r="U266" s="190">
        <v>58.5</v>
      </c>
      <c r="V266" s="81">
        <f t="shared" si="14"/>
        <v>69.731999999999999</v>
      </c>
      <c r="W266" s="132"/>
      <c r="X266" s="153"/>
      <c r="Y266" s="94"/>
      <c r="Z266" s="132"/>
      <c r="AA266" s="153"/>
      <c r="AB266" s="94"/>
      <c r="AC266" s="133"/>
      <c r="AD266" s="93" t="str">
        <f t="shared" si="8"/>
        <v/>
      </c>
      <c r="AE266" s="94" t="e">
        <f t="shared" si="9"/>
        <v>#VALUE!</v>
      </c>
      <c r="AF266" s="192" t="s">
        <v>85</v>
      </c>
      <c r="AG266" s="193">
        <v>0.01</v>
      </c>
      <c r="AH266" s="136">
        <f t="shared" si="10"/>
        <v>5.96E-3</v>
      </c>
      <c r="AI266" s="80"/>
      <c r="AJ266" s="154"/>
      <c r="AK266" s="100" t="str">
        <f t="shared" si="21"/>
        <v/>
      </c>
      <c r="AL266" s="194"/>
      <c r="AM266" s="190">
        <v>72</v>
      </c>
      <c r="AN266" s="103">
        <f t="shared" si="12"/>
        <v>513.072</v>
      </c>
      <c r="AO266" s="195"/>
      <c r="AP266" s="389">
        <v>171.02</v>
      </c>
      <c r="AQ266" s="141">
        <f t="shared" si="15"/>
        <v>1218.6885200000002</v>
      </c>
      <c r="AR266" s="197"/>
      <c r="AS266" s="389">
        <v>1.1100000000000001</v>
      </c>
      <c r="AT266" s="143">
        <f t="shared" si="16"/>
        <v>7.909860000000001</v>
      </c>
      <c r="AU266" s="195"/>
      <c r="AV266" s="190">
        <v>17.190000000000001</v>
      </c>
      <c r="AW266" s="107">
        <f t="shared" si="17"/>
        <v>122.49594000000002</v>
      </c>
      <c r="AX266" s="191"/>
      <c r="AY266" s="190">
        <v>224.9</v>
      </c>
      <c r="AZ266" s="144">
        <f t="shared" si="18"/>
        <v>1602.6374000000001</v>
      </c>
      <c r="BA266" s="198"/>
      <c r="BB266" s="389">
        <v>0.5</v>
      </c>
      <c r="BC266" s="145">
        <f t="shared" si="19"/>
        <v>3.5630000000000002</v>
      </c>
      <c r="BD266" s="191"/>
      <c r="BE266" s="390">
        <v>0.39</v>
      </c>
      <c r="BF266" s="146">
        <f t="shared" si="20"/>
        <v>2.7791400000000004</v>
      </c>
      <c r="BG266" s="147" t="s">
        <v>84</v>
      </c>
      <c r="BH266" s="200"/>
      <c r="BI266" s="391"/>
      <c r="BJ266" s="150">
        <f>'Degrémont sortie'!BI266</f>
        <v>0</v>
      </c>
      <c r="BK266" s="151">
        <f>'Degrémont sortie'!BJ266</f>
        <v>0</v>
      </c>
    </row>
    <row r="267" spans="1:63" ht="14.25" outlineLevel="1">
      <c r="A267" s="121">
        <f t="shared" si="13"/>
        <v>43719</v>
      </c>
      <c r="B267" s="122">
        <v>920</v>
      </c>
      <c r="C267" s="123">
        <v>7.8</v>
      </c>
      <c r="D267" s="124">
        <v>87.6</v>
      </c>
      <c r="E267" s="125">
        <v>346.6</v>
      </c>
      <c r="F267" s="126">
        <v>29</v>
      </c>
      <c r="G267" s="127">
        <f t="shared" si="0"/>
        <v>8931.0344827586214</v>
      </c>
      <c r="H267" s="128">
        <f t="shared" si="1"/>
        <v>8216.5517241379312</v>
      </c>
      <c r="I267" s="129">
        <v>1</v>
      </c>
      <c r="J267" s="126">
        <v>6782</v>
      </c>
      <c r="K267" s="79">
        <f t="shared" si="2"/>
        <v>6782</v>
      </c>
      <c r="L267" s="128">
        <f t="shared" si="3"/>
        <v>6239.44</v>
      </c>
      <c r="M267" s="130">
        <v>1</v>
      </c>
      <c r="N267" s="126">
        <v>315</v>
      </c>
      <c r="O267" s="80">
        <f t="shared" si="4"/>
        <v>315</v>
      </c>
      <c r="P267" s="81">
        <f t="shared" si="5"/>
        <v>289.8</v>
      </c>
      <c r="Q267" s="129">
        <v>20</v>
      </c>
      <c r="R267" s="131">
        <v>24.2</v>
      </c>
      <c r="S267" s="127">
        <f t="shared" si="6"/>
        <v>484</v>
      </c>
      <c r="T267" s="128">
        <f t="shared" si="7"/>
        <v>445.28</v>
      </c>
      <c r="U267" s="113"/>
      <c r="V267" s="81">
        <f t="shared" si="14"/>
        <v>0</v>
      </c>
      <c r="W267" s="132"/>
      <c r="X267" s="153"/>
      <c r="Y267" s="94"/>
      <c r="Z267" s="132"/>
      <c r="AA267" s="153"/>
      <c r="AB267" s="94"/>
      <c r="AC267" s="133"/>
      <c r="AD267" s="93" t="str">
        <f t="shared" si="8"/>
        <v/>
      </c>
      <c r="AE267" s="94" t="e">
        <f t="shared" si="9"/>
        <v>#VALUE!</v>
      </c>
      <c r="AF267" s="134" t="s">
        <v>85</v>
      </c>
      <c r="AG267" s="135">
        <v>0.01</v>
      </c>
      <c r="AH267" s="136">
        <f t="shared" si="10"/>
        <v>4.6000000000000008E-3</v>
      </c>
      <c r="AI267" s="80"/>
      <c r="AJ267" s="154"/>
      <c r="AK267" s="100" t="str">
        <f t="shared" si="21"/>
        <v/>
      </c>
      <c r="AL267" s="138"/>
      <c r="AM267" s="113"/>
      <c r="AN267" s="103" t="str">
        <f t="shared" si="12"/>
        <v/>
      </c>
      <c r="AO267" s="139"/>
      <c r="AP267" s="140"/>
      <c r="AQ267" s="141" t="str">
        <f t="shared" si="15"/>
        <v/>
      </c>
      <c r="AR267" s="142"/>
      <c r="AS267" s="140"/>
      <c r="AT267" s="143" t="str">
        <f t="shared" si="16"/>
        <v/>
      </c>
      <c r="AU267" s="139"/>
      <c r="AV267" s="113"/>
      <c r="AW267" s="107" t="str">
        <f t="shared" si="17"/>
        <v/>
      </c>
      <c r="AX267" s="113"/>
      <c r="AY267" s="113"/>
      <c r="AZ267" s="144" t="str">
        <f t="shared" si="18"/>
        <v/>
      </c>
      <c r="BA267" s="80"/>
      <c r="BB267" s="140"/>
      <c r="BC267" s="145" t="str">
        <f t="shared" si="19"/>
        <v/>
      </c>
      <c r="BD267" s="113"/>
      <c r="BE267" s="114"/>
      <c r="BF267" s="146" t="str">
        <f t="shared" si="20"/>
        <v/>
      </c>
      <c r="BG267" s="147" t="s">
        <v>84</v>
      </c>
      <c r="BH267" s="148"/>
      <c r="BI267" s="156"/>
      <c r="BJ267" s="150">
        <f>'Degrémont sortie'!BI267</f>
        <v>0</v>
      </c>
      <c r="BK267" s="151">
        <f>'Degrémont sortie'!BJ267</f>
        <v>0</v>
      </c>
    </row>
    <row r="268" spans="1:63" ht="14.25" outlineLevel="1">
      <c r="A268" s="152">
        <f t="shared" si="13"/>
        <v>43720</v>
      </c>
      <c r="B268" s="122">
        <v>1065</v>
      </c>
      <c r="C268" s="123">
        <v>7.86</v>
      </c>
      <c r="D268" s="124">
        <v>87</v>
      </c>
      <c r="E268" s="125">
        <v>381.6</v>
      </c>
      <c r="F268" s="126">
        <v>29</v>
      </c>
      <c r="G268" s="127">
        <f t="shared" si="0"/>
        <v>10158.620689655172</v>
      </c>
      <c r="H268" s="128">
        <f t="shared" si="1"/>
        <v>10818.931034482759</v>
      </c>
      <c r="I268" s="129">
        <v>1</v>
      </c>
      <c r="J268" s="126">
        <v>6176</v>
      </c>
      <c r="K268" s="79">
        <f t="shared" si="2"/>
        <v>6176</v>
      </c>
      <c r="L268" s="128">
        <f t="shared" si="3"/>
        <v>6577.44</v>
      </c>
      <c r="M268" s="130">
        <v>1</v>
      </c>
      <c r="N268" s="126">
        <v>205</v>
      </c>
      <c r="O268" s="80">
        <f t="shared" si="4"/>
        <v>205</v>
      </c>
      <c r="P268" s="81">
        <f t="shared" si="5"/>
        <v>218.32499999999999</v>
      </c>
      <c r="Q268" s="129">
        <v>20</v>
      </c>
      <c r="R268" s="131">
        <v>22.3</v>
      </c>
      <c r="S268" s="127">
        <f t="shared" si="6"/>
        <v>446</v>
      </c>
      <c r="T268" s="128">
        <f t="shared" si="7"/>
        <v>474.99</v>
      </c>
      <c r="U268" s="113"/>
      <c r="V268" s="81">
        <f t="shared" si="14"/>
        <v>0</v>
      </c>
      <c r="W268" s="132"/>
      <c r="X268" s="153"/>
      <c r="Y268" s="94"/>
      <c r="Z268" s="132"/>
      <c r="AA268" s="153"/>
      <c r="AB268" s="94"/>
      <c r="AC268" s="133"/>
      <c r="AD268" s="93" t="str">
        <f t="shared" si="8"/>
        <v/>
      </c>
      <c r="AE268" s="94" t="e">
        <f t="shared" si="9"/>
        <v>#VALUE!</v>
      </c>
      <c r="AF268" s="134" t="s">
        <v>85</v>
      </c>
      <c r="AG268" s="135">
        <v>0.01</v>
      </c>
      <c r="AH268" s="136">
        <f t="shared" si="10"/>
        <v>5.3249999999999999E-3</v>
      </c>
      <c r="AI268" s="80"/>
      <c r="AJ268" s="154"/>
      <c r="AK268" s="100" t="str">
        <f t="shared" si="21"/>
        <v/>
      </c>
      <c r="AL268" s="138"/>
      <c r="AM268" s="113"/>
      <c r="AN268" s="103" t="str">
        <f t="shared" si="12"/>
        <v/>
      </c>
      <c r="AO268" s="139"/>
      <c r="AP268" s="140"/>
      <c r="AQ268" s="141" t="str">
        <f t="shared" si="15"/>
        <v/>
      </c>
      <c r="AR268" s="142"/>
      <c r="AS268" s="140"/>
      <c r="AT268" s="143" t="str">
        <f t="shared" si="16"/>
        <v/>
      </c>
      <c r="AU268" s="139"/>
      <c r="AV268" s="113"/>
      <c r="AW268" s="107" t="str">
        <f t="shared" si="17"/>
        <v/>
      </c>
      <c r="AX268" s="113"/>
      <c r="AY268" s="113"/>
      <c r="AZ268" s="144" t="str">
        <f t="shared" si="18"/>
        <v/>
      </c>
      <c r="BA268" s="80"/>
      <c r="BB268" s="140"/>
      <c r="BC268" s="145" t="str">
        <f t="shared" si="19"/>
        <v/>
      </c>
      <c r="BD268" s="113"/>
      <c r="BE268" s="114"/>
      <c r="BF268" s="146" t="str">
        <f t="shared" si="20"/>
        <v/>
      </c>
      <c r="BG268" s="147" t="s">
        <v>84</v>
      </c>
      <c r="BH268" s="148"/>
      <c r="BI268" s="156"/>
      <c r="BJ268" s="150">
        <f>'Degrémont sortie'!BI268</f>
        <v>0</v>
      </c>
      <c r="BK268" s="151">
        <f>'Degrémont sortie'!BJ268</f>
        <v>0</v>
      </c>
    </row>
    <row r="269" spans="1:63" ht="14.25" outlineLevel="1">
      <c r="A269" s="121">
        <f t="shared" si="13"/>
        <v>43721</v>
      </c>
      <c r="B269" s="122">
        <v>995</v>
      </c>
      <c r="C269" s="123">
        <v>7.74</v>
      </c>
      <c r="D269" s="124">
        <v>87.8</v>
      </c>
      <c r="E269" s="125">
        <v>323.39999999999998</v>
      </c>
      <c r="F269" s="126">
        <v>29</v>
      </c>
      <c r="G269" s="127">
        <f t="shared" si="0"/>
        <v>8124.1379310344819</v>
      </c>
      <c r="H269" s="128">
        <f t="shared" si="1"/>
        <v>8083.5172413793098</v>
      </c>
      <c r="I269" s="129">
        <v>1</v>
      </c>
      <c r="J269" s="126">
        <v>6154</v>
      </c>
      <c r="K269" s="79">
        <f t="shared" si="2"/>
        <v>6154</v>
      </c>
      <c r="L269" s="128">
        <f t="shared" si="3"/>
        <v>6123.23</v>
      </c>
      <c r="M269" s="130">
        <v>1</v>
      </c>
      <c r="N269" s="126">
        <v>233</v>
      </c>
      <c r="O269" s="80">
        <f t="shared" si="4"/>
        <v>233</v>
      </c>
      <c r="P269" s="81">
        <f t="shared" si="5"/>
        <v>231.83500000000001</v>
      </c>
      <c r="Q269" s="129">
        <v>20</v>
      </c>
      <c r="R269" s="131">
        <v>21.4</v>
      </c>
      <c r="S269" s="127">
        <f t="shared" si="6"/>
        <v>428</v>
      </c>
      <c r="T269" s="128">
        <f t="shared" si="7"/>
        <v>425.86</v>
      </c>
      <c r="U269" s="113"/>
      <c r="V269" s="81">
        <f t="shared" si="14"/>
        <v>0</v>
      </c>
      <c r="W269" s="132"/>
      <c r="X269" s="153"/>
      <c r="Y269" s="94"/>
      <c r="Z269" s="132"/>
      <c r="AA269" s="153"/>
      <c r="AB269" s="94"/>
      <c r="AC269" s="133"/>
      <c r="AD269" s="93" t="str">
        <f t="shared" si="8"/>
        <v/>
      </c>
      <c r="AE269" s="94" t="e">
        <f t="shared" si="9"/>
        <v>#VALUE!</v>
      </c>
      <c r="AF269" s="134" t="s">
        <v>85</v>
      </c>
      <c r="AG269" s="135">
        <v>0.01</v>
      </c>
      <c r="AH269" s="136">
        <f t="shared" si="10"/>
        <v>4.9750000000000003E-3</v>
      </c>
      <c r="AI269" s="80"/>
      <c r="AJ269" s="154"/>
      <c r="AK269" s="100" t="str">
        <f t="shared" si="21"/>
        <v/>
      </c>
      <c r="AL269" s="138"/>
      <c r="AM269" s="113"/>
      <c r="AN269" s="103" t="str">
        <f t="shared" si="12"/>
        <v/>
      </c>
      <c r="AO269" s="139"/>
      <c r="AP269" s="140"/>
      <c r="AQ269" s="141" t="str">
        <f t="shared" si="15"/>
        <v/>
      </c>
      <c r="AR269" s="142"/>
      <c r="AS269" s="140"/>
      <c r="AT269" s="143" t="str">
        <f t="shared" si="16"/>
        <v/>
      </c>
      <c r="AU269" s="139"/>
      <c r="AV269" s="113"/>
      <c r="AW269" s="107" t="str">
        <f t="shared" si="17"/>
        <v/>
      </c>
      <c r="AX269" s="113"/>
      <c r="AY269" s="113"/>
      <c r="AZ269" s="144" t="str">
        <f t="shared" si="18"/>
        <v/>
      </c>
      <c r="BA269" s="80"/>
      <c r="BB269" s="140"/>
      <c r="BC269" s="145" t="str">
        <f t="shared" si="19"/>
        <v/>
      </c>
      <c r="BD269" s="113"/>
      <c r="BE269" s="114"/>
      <c r="BF269" s="146" t="str">
        <f t="shared" si="20"/>
        <v/>
      </c>
      <c r="BG269" s="147" t="s">
        <v>84</v>
      </c>
      <c r="BH269" s="148"/>
      <c r="BI269" s="156"/>
      <c r="BJ269" s="150">
        <f>'Degrémont sortie'!BI269</f>
        <v>0</v>
      </c>
      <c r="BK269" s="151">
        <f>'Degrémont sortie'!BJ269</f>
        <v>0</v>
      </c>
    </row>
    <row r="270" spans="1:63" ht="14.25" outlineLevel="1">
      <c r="A270" s="152">
        <f t="shared" si="13"/>
        <v>43722</v>
      </c>
      <c r="B270" s="122">
        <v>784</v>
      </c>
      <c r="C270" s="123">
        <v>8</v>
      </c>
      <c r="D270" s="124">
        <v>90.1</v>
      </c>
      <c r="E270" s="125">
        <v>376.5</v>
      </c>
      <c r="F270" s="126">
        <v>29</v>
      </c>
      <c r="G270" s="127">
        <f t="shared" si="0"/>
        <v>9875.8620689655181</v>
      </c>
      <c r="H270" s="128">
        <f t="shared" si="1"/>
        <v>7742.6758620689661</v>
      </c>
      <c r="I270" s="129">
        <v>1</v>
      </c>
      <c r="J270" s="126">
        <v>7526</v>
      </c>
      <c r="K270" s="79">
        <f t="shared" si="2"/>
        <v>7526</v>
      </c>
      <c r="L270" s="128">
        <f t="shared" si="3"/>
        <v>5900.384</v>
      </c>
      <c r="M270" s="130">
        <v>1</v>
      </c>
      <c r="N270" s="126">
        <v>946</v>
      </c>
      <c r="O270" s="80">
        <f t="shared" si="4"/>
        <v>946</v>
      </c>
      <c r="P270" s="81">
        <f t="shared" si="5"/>
        <v>741.66399999999999</v>
      </c>
      <c r="Q270" s="129">
        <v>20</v>
      </c>
      <c r="R270" s="131">
        <v>23.3</v>
      </c>
      <c r="S270" s="127">
        <f t="shared" si="6"/>
        <v>466</v>
      </c>
      <c r="T270" s="128">
        <f t="shared" si="7"/>
        <v>365.34399999999999</v>
      </c>
      <c r="U270" s="113"/>
      <c r="V270" s="81">
        <f t="shared" si="14"/>
        <v>0</v>
      </c>
      <c r="W270" s="132"/>
      <c r="X270" s="153"/>
      <c r="Y270" s="94"/>
      <c r="Z270" s="132"/>
      <c r="AA270" s="153"/>
      <c r="AB270" s="94"/>
      <c r="AC270" s="133"/>
      <c r="AD270" s="93" t="str">
        <f t="shared" si="8"/>
        <v/>
      </c>
      <c r="AE270" s="94" t="e">
        <f t="shared" si="9"/>
        <v>#VALUE!</v>
      </c>
      <c r="AF270" s="134" t="s">
        <v>85</v>
      </c>
      <c r="AG270" s="135">
        <v>0.01</v>
      </c>
      <c r="AH270" s="136">
        <f t="shared" si="10"/>
        <v>3.9199999999999999E-3</v>
      </c>
      <c r="AI270" s="80"/>
      <c r="AJ270" s="154"/>
      <c r="AK270" s="100" t="str">
        <f t="shared" si="21"/>
        <v/>
      </c>
      <c r="AL270" s="138"/>
      <c r="AM270" s="113"/>
      <c r="AN270" s="103" t="str">
        <f t="shared" si="12"/>
        <v/>
      </c>
      <c r="AO270" s="139"/>
      <c r="AP270" s="140"/>
      <c r="AQ270" s="141" t="str">
        <f t="shared" si="15"/>
        <v/>
      </c>
      <c r="AR270" s="142"/>
      <c r="AS270" s="140"/>
      <c r="AT270" s="143" t="str">
        <f t="shared" si="16"/>
        <v/>
      </c>
      <c r="AU270" s="139"/>
      <c r="AV270" s="113"/>
      <c r="AW270" s="107" t="str">
        <f t="shared" si="17"/>
        <v/>
      </c>
      <c r="AX270" s="113"/>
      <c r="AY270" s="113"/>
      <c r="AZ270" s="144" t="str">
        <f t="shared" si="18"/>
        <v/>
      </c>
      <c r="BA270" s="80"/>
      <c r="BB270" s="140"/>
      <c r="BC270" s="145" t="str">
        <f t="shared" si="19"/>
        <v/>
      </c>
      <c r="BD270" s="113"/>
      <c r="BE270" s="114"/>
      <c r="BF270" s="146" t="str">
        <f t="shared" si="20"/>
        <v/>
      </c>
      <c r="BG270" s="147" t="s">
        <v>84</v>
      </c>
      <c r="BH270" s="148"/>
      <c r="BI270" s="156"/>
      <c r="BJ270" s="150">
        <f>'Degrémont sortie'!BI270</f>
        <v>0</v>
      </c>
      <c r="BK270" s="151">
        <f>'Degrémont sortie'!BJ270</f>
        <v>0</v>
      </c>
    </row>
    <row r="271" spans="1:63" ht="14.25" outlineLevel="1">
      <c r="A271" s="121">
        <f t="shared" si="13"/>
        <v>43723</v>
      </c>
      <c r="B271" s="207"/>
      <c r="C271" s="208"/>
      <c r="D271" s="210"/>
      <c r="E271" s="211"/>
      <c r="F271" s="80"/>
      <c r="G271" s="127">
        <f t="shared" si="0"/>
        <v>0</v>
      </c>
      <c r="H271" s="128">
        <f t="shared" si="1"/>
        <v>0</v>
      </c>
      <c r="I271" s="129">
        <v>1</v>
      </c>
      <c r="J271" s="80"/>
      <c r="K271" s="79">
        <f t="shared" si="2"/>
        <v>0</v>
      </c>
      <c r="L271" s="128">
        <f t="shared" si="3"/>
        <v>0</v>
      </c>
      <c r="M271" s="130">
        <v>1</v>
      </c>
      <c r="N271" s="80"/>
      <c r="O271" s="80" t="str">
        <f t="shared" si="4"/>
        <v/>
      </c>
      <c r="P271" s="81">
        <f t="shared" si="5"/>
        <v>0</v>
      </c>
      <c r="Q271" s="213"/>
      <c r="R271" s="113"/>
      <c r="S271" s="127" t="str">
        <f t="shared" si="6"/>
        <v/>
      </c>
      <c r="T271" s="128">
        <f t="shared" si="7"/>
        <v>0</v>
      </c>
      <c r="U271" s="113"/>
      <c r="V271" s="81">
        <f t="shared" si="14"/>
        <v>0</v>
      </c>
      <c r="W271" s="132"/>
      <c r="X271" s="153"/>
      <c r="Y271" s="94"/>
      <c r="Z271" s="132"/>
      <c r="AA271" s="153"/>
      <c r="AB271" s="94"/>
      <c r="AC271" s="133"/>
      <c r="AD271" s="93" t="str">
        <f t="shared" si="8"/>
        <v/>
      </c>
      <c r="AE271" s="94" t="str">
        <f t="shared" si="9"/>
        <v/>
      </c>
      <c r="AF271" s="139"/>
      <c r="AG271" s="215"/>
      <c r="AH271" s="136" t="str">
        <f t="shared" si="10"/>
        <v/>
      </c>
      <c r="AI271" s="80"/>
      <c r="AJ271" s="154"/>
      <c r="AK271" s="100" t="str">
        <f t="shared" si="21"/>
        <v/>
      </c>
      <c r="AL271" s="138"/>
      <c r="AM271" s="113"/>
      <c r="AN271" s="103" t="str">
        <f t="shared" si="12"/>
        <v/>
      </c>
      <c r="AO271" s="139"/>
      <c r="AP271" s="140"/>
      <c r="AQ271" s="141" t="str">
        <f t="shared" si="15"/>
        <v/>
      </c>
      <c r="AR271" s="142"/>
      <c r="AS271" s="140"/>
      <c r="AT271" s="143" t="str">
        <f t="shared" si="16"/>
        <v/>
      </c>
      <c r="AU271" s="139"/>
      <c r="AV271" s="113"/>
      <c r="AW271" s="107" t="str">
        <f t="shared" si="17"/>
        <v/>
      </c>
      <c r="AX271" s="113"/>
      <c r="AY271" s="113"/>
      <c r="AZ271" s="144" t="str">
        <f t="shared" si="18"/>
        <v/>
      </c>
      <c r="BA271" s="80"/>
      <c r="BB271" s="140"/>
      <c r="BC271" s="145" t="str">
        <f t="shared" si="19"/>
        <v/>
      </c>
      <c r="BD271" s="113"/>
      <c r="BE271" s="114"/>
      <c r="BF271" s="146" t="str">
        <f t="shared" si="20"/>
        <v/>
      </c>
      <c r="BG271" s="147" t="s">
        <v>84</v>
      </c>
      <c r="BH271" s="148"/>
      <c r="BI271" s="156"/>
      <c r="BJ271" s="150">
        <f>'Degrémont sortie'!BI271</f>
        <v>0</v>
      </c>
      <c r="BK271" s="151">
        <f>'Degrémont sortie'!BJ271</f>
        <v>0</v>
      </c>
    </row>
    <row r="272" spans="1:63" ht="14.25" outlineLevel="1">
      <c r="A272" s="152">
        <f t="shared" si="13"/>
        <v>43724</v>
      </c>
      <c r="B272" s="122">
        <v>747</v>
      </c>
      <c r="C272" s="123">
        <v>7.72</v>
      </c>
      <c r="D272" s="124">
        <v>88</v>
      </c>
      <c r="E272" s="125">
        <v>268.60000000000002</v>
      </c>
      <c r="F272" s="126">
        <v>30</v>
      </c>
      <c r="G272" s="127">
        <f t="shared" si="0"/>
        <v>6020.0000000000009</v>
      </c>
      <c r="H272" s="128">
        <f t="shared" si="1"/>
        <v>4496.9400000000005</v>
      </c>
      <c r="I272" s="129">
        <v>1</v>
      </c>
      <c r="J272" s="126">
        <v>4490</v>
      </c>
      <c r="K272" s="79">
        <f t="shared" si="2"/>
        <v>4490</v>
      </c>
      <c r="L272" s="128">
        <f t="shared" si="3"/>
        <v>3354.03</v>
      </c>
      <c r="M272" s="130">
        <v>1</v>
      </c>
      <c r="N272" s="126">
        <v>333</v>
      </c>
      <c r="O272" s="80">
        <f t="shared" si="4"/>
        <v>333</v>
      </c>
      <c r="P272" s="81">
        <f t="shared" si="5"/>
        <v>248.751</v>
      </c>
      <c r="Q272" s="129">
        <v>20</v>
      </c>
      <c r="R272" s="131">
        <v>12.2</v>
      </c>
      <c r="S272" s="127">
        <f t="shared" si="6"/>
        <v>244</v>
      </c>
      <c r="T272" s="128">
        <f t="shared" si="7"/>
        <v>182.268</v>
      </c>
      <c r="U272" s="113"/>
      <c r="V272" s="81">
        <f t="shared" si="14"/>
        <v>0</v>
      </c>
      <c r="W272" s="132"/>
      <c r="X272" s="153"/>
      <c r="Y272" s="94"/>
      <c r="Z272" s="132"/>
      <c r="AA272" s="153"/>
      <c r="AB272" s="94"/>
      <c r="AC272" s="133"/>
      <c r="AD272" s="93" t="str">
        <f t="shared" si="8"/>
        <v/>
      </c>
      <c r="AE272" s="94" t="e">
        <f t="shared" si="9"/>
        <v>#VALUE!</v>
      </c>
      <c r="AF272" s="134" t="s">
        <v>85</v>
      </c>
      <c r="AG272" s="135">
        <v>0.01</v>
      </c>
      <c r="AH272" s="136">
        <f t="shared" si="10"/>
        <v>3.735E-3</v>
      </c>
      <c r="AI272" s="80"/>
      <c r="AJ272" s="154"/>
      <c r="AK272" s="100" t="str">
        <f t="shared" si="21"/>
        <v/>
      </c>
      <c r="AL272" s="138"/>
      <c r="AM272" s="113"/>
      <c r="AN272" s="103" t="str">
        <f t="shared" si="12"/>
        <v/>
      </c>
      <c r="AO272" s="139"/>
      <c r="AP272" s="140"/>
      <c r="AQ272" s="141" t="str">
        <f t="shared" si="15"/>
        <v/>
      </c>
      <c r="AR272" s="142"/>
      <c r="AS272" s="140"/>
      <c r="AT272" s="143" t="str">
        <f t="shared" si="16"/>
        <v/>
      </c>
      <c r="AU272" s="139"/>
      <c r="AV272" s="113"/>
      <c r="AW272" s="107" t="str">
        <f t="shared" si="17"/>
        <v/>
      </c>
      <c r="AX272" s="113"/>
      <c r="AY272" s="113"/>
      <c r="AZ272" s="144" t="str">
        <f t="shared" si="18"/>
        <v/>
      </c>
      <c r="BA272" s="80"/>
      <c r="BB272" s="140"/>
      <c r="BC272" s="145" t="str">
        <f t="shared" si="19"/>
        <v/>
      </c>
      <c r="BD272" s="113"/>
      <c r="BE272" s="114"/>
      <c r="BF272" s="146" t="str">
        <f t="shared" si="20"/>
        <v/>
      </c>
      <c r="BG272" s="147" t="s">
        <v>84</v>
      </c>
      <c r="BH272" s="148"/>
      <c r="BI272" s="156"/>
      <c r="BJ272" s="150">
        <f>'Degrémont sortie'!BI272</f>
        <v>0</v>
      </c>
      <c r="BK272" s="151">
        <f>'Degrémont sortie'!BJ272</f>
        <v>0</v>
      </c>
    </row>
    <row r="273" spans="1:63" ht="15.75" customHeight="1" outlineLevel="1">
      <c r="A273" s="121">
        <f t="shared" si="13"/>
        <v>43725</v>
      </c>
      <c r="B273" s="122">
        <v>1027</v>
      </c>
      <c r="C273" s="123">
        <v>8.09</v>
      </c>
      <c r="D273" s="124">
        <v>88.5</v>
      </c>
      <c r="E273" s="125">
        <v>290.10000000000002</v>
      </c>
      <c r="F273" s="126">
        <v>30</v>
      </c>
      <c r="G273" s="127">
        <f t="shared" si="0"/>
        <v>6720.0000000000009</v>
      </c>
      <c r="H273" s="128">
        <f t="shared" si="1"/>
        <v>6901.4400000000005</v>
      </c>
      <c r="I273" s="129">
        <v>1</v>
      </c>
      <c r="J273" s="126">
        <v>5391</v>
      </c>
      <c r="K273" s="79">
        <f t="shared" si="2"/>
        <v>5391</v>
      </c>
      <c r="L273" s="128">
        <f t="shared" si="3"/>
        <v>5536.5569999999998</v>
      </c>
      <c r="M273" s="130">
        <v>1</v>
      </c>
      <c r="N273" s="126">
        <v>215</v>
      </c>
      <c r="O273" s="80">
        <f t="shared" si="4"/>
        <v>215</v>
      </c>
      <c r="P273" s="81">
        <f t="shared" si="5"/>
        <v>220.80500000000001</v>
      </c>
      <c r="Q273" s="129">
        <v>20</v>
      </c>
      <c r="R273" s="131">
        <v>20.2</v>
      </c>
      <c r="S273" s="127">
        <f t="shared" si="6"/>
        <v>404</v>
      </c>
      <c r="T273" s="128">
        <f t="shared" si="7"/>
        <v>414.90800000000002</v>
      </c>
      <c r="U273" s="131">
        <v>72</v>
      </c>
      <c r="V273" s="81">
        <f t="shared" si="14"/>
        <v>73.944000000000003</v>
      </c>
      <c r="W273" s="132"/>
      <c r="X273" s="153"/>
      <c r="Y273" s="94"/>
      <c r="Z273" s="132"/>
      <c r="AA273" s="153"/>
      <c r="AB273" s="94"/>
      <c r="AC273" s="133"/>
      <c r="AD273" s="93" t="str">
        <f t="shared" si="8"/>
        <v/>
      </c>
      <c r="AE273" s="94" t="e">
        <f t="shared" si="9"/>
        <v>#VALUE!</v>
      </c>
      <c r="AF273" s="134" t="s">
        <v>85</v>
      </c>
      <c r="AG273" s="135">
        <v>0.01</v>
      </c>
      <c r="AH273" s="136">
        <f t="shared" si="10"/>
        <v>5.1349999999999998E-3</v>
      </c>
      <c r="AI273" s="80"/>
      <c r="AJ273" s="154"/>
      <c r="AK273" s="100" t="str">
        <f t="shared" si="21"/>
        <v/>
      </c>
      <c r="AL273" s="138"/>
      <c r="AM273" s="131">
        <v>62</v>
      </c>
      <c r="AN273" s="103">
        <f t="shared" si="12"/>
        <v>485.15000000000003</v>
      </c>
      <c r="AO273" s="139"/>
      <c r="AP273" s="155">
        <v>139.53</v>
      </c>
      <c r="AQ273" s="141">
        <f t="shared" si="15"/>
        <v>1091.8222499999999</v>
      </c>
      <c r="AR273" s="142"/>
      <c r="AS273" s="155">
        <v>0.97</v>
      </c>
      <c r="AT273" s="143">
        <f t="shared" si="16"/>
        <v>7.5902500000000002</v>
      </c>
      <c r="AU273" s="139"/>
      <c r="AV273" s="131">
        <v>20.72</v>
      </c>
      <c r="AW273" s="107">
        <f t="shared" si="17"/>
        <v>162.13399999999999</v>
      </c>
      <c r="AX273" s="113"/>
      <c r="AY273" s="131">
        <v>220.38</v>
      </c>
      <c r="AZ273" s="144">
        <f t="shared" si="18"/>
        <v>1724.4735000000001</v>
      </c>
      <c r="BA273" s="80"/>
      <c r="BB273" s="155">
        <v>0.17</v>
      </c>
      <c r="BC273" s="145">
        <f t="shared" si="19"/>
        <v>1.3302500000000002</v>
      </c>
      <c r="BD273" s="113"/>
      <c r="BE273" s="158">
        <v>0.14000000000000001</v>
      </c>
      <c r="BF273" s="146">
        <f t="shared" si="20"/>
        <v>1.0955000000000001</v>
      </c>
      <c r="BG273" s="147" t="s">
        <v>84</v>
      </c>
      <c r="BH273" s="148"/>
      <c r="BI273" s="156"/>
      <c r="BJ273" s="150">
        <f>'Degrémont sortie'!BI273</f>
        <v>0</v>
      </c>
      <c r="BK273" s="151">
        <f>'Degrémont sortie'!BJ273</f>
        <v>0</v>
      </c>
    </row>
    <row r="274" spans="1:63" ht="15.75" customHeight="1" outlineLevel="1">
      <c r="A274" s="152">
        <f t="shared" si="13"/>
        <v>43726</v>
      </c>
      <c r="B274" s="122">
        <v>1095</v>
      </c>
      <c r="C274" s="123">
        <v>7.74</v>
      </c>
      <c r="D274" s="124">
        <v>87.5</v>
      </c>
      <c r="E274" s="125">
        <v>246</v>
      </c>
      <c r="F274" s="126">
        <v>30</v>
      </c>
      <c r="G274" s="127">
        <f t="shared" si="0"/>
        <v>5283.333333333333</v>
      </c>
      <c r="H274" s="128">
        <f t="shared" si="1"/>
        <v>5785.25</v>
      </c>
      <c r="I274" s="129">
        <v>1</v>
      </c>
      <c r="J274" s="126">
        <v>4745</v>
      </c>
      <c r="K274" s="79">
        <f t="shared" si="2"/>
        <v>4745</v>
      </c>
      <c r="L274" s="128">
        <f t="shared" si="3"/>
        <v>5195.7749999999996</v>
      </c>
      <c r="M274" s="130">
        <v>1</v>
      </c>
      <c r="N274" s="126">
        <v>685</v>
      </c>
      <c r="O274" s="80">
        <f t="shared" si="4"/>
        <v>685</v>
      </c>
      <c r="P274" s="81">
        <f t="shared" si="5"/>
        <v>750.07500000000005</v>
      </c>
      <c r="Q274" s="129">
        <v>20</v>
      </c>
      <c r="R274" s="131">
        <v>11.3</v>
      </c>
      <c r="S274" s="127">
        <f t="shared" si="6"/>
        <v>226</v>
      </c>
      <c r="T274" s="128">
        <f t="shared" si="7"/>
        <v>247.47</v>
      </c>
      <c r="U274" s="113"/>
      <c r="V274" s="81">
        <f t="shared" si="14"/>
        <v>0</v>
      </c>
      <c r="W274" s="132"/>
      <c r="X274" s="153"/>
      <c r="Y274" s="94"/>
      <c r="Z274" s="132"/>
      <c r="AA274" s="153"/>
      <c r="AB274" s="94"/>
      <c r="AC274" s="133"/>
      <c r="AD274" s="93" t="str">
        <f t="shared" si="8"/>
        <v/>
      </c>
      <c r="AE274" s="94" t="e">
        <f t="shared" si="9"/>
        <v>#VALUE!</v>
      </c>
      <c r="AF274" s="134" t="s">
        <v>85</v>
      </c>
      <c r="AG274" s="135">
        <v>0.01</v>
      </c>
      <c r="AH274" s="136">
        <f t="shared" si="10"/>
        <v>5.4750000000000007E-3</v>
      </c>
      <c r="AI274" s="80"/>
      <c r="AJ274" s="154"/>
      <c r="AK274" s="100" t="str">
        <f t="shared" si="21"/>
        <v/>
      </c>
      <c r="AL274" s="138"/>
      <c r="AM274" s="113"/>
      <c r="AN274" s="103" t="str">
        <f t="shared" si="12"/>
        <v/>
      </c>
      <c r="AO274" s="139"/>
      <c r="AP274" s="140"/>
      <c r="AQ274" s="141" t="str">
        <f t="shared" si="15"/>
        <v/>
      </c>
      <c r="AR274" s="142"/>
      <c r="AS274" s="140"/>
      <c r="AT274" s="143" t="str">
        <f t="shared" si="16"/>
        <v/>
      </c>
      <c r="AU274" s="139"/>
      <c r="AV274" s="113"/>
      <c r="AW274" s="107" t="str">
        <f t="shared" si="17"/>
        <v/>
      </c>
      <c r="AX274" s="113"/>
      <c r="AY274" s="113"/>
      <c r="AZ274" s="144" t="str">
        <f t="shared" si="18"/>
        <v/>
      </c>
      <c r="BA274" s="80"/>
      <c r="BB274" s="140"/>
      <c r="BC274" s="145" t="str">
        <f t="shared" si="19"/>
        <v/>
      </c>
      <c r="BD274" s="113"/>
      <c r="BE274" s="114"/>
      <c r="BF274" s="146" t="str">
        <f t="shared" si="20"/>
        <v/>
      </c>
      <c r="BG274" s="147" t="s">
        <v>84</v>
      </c>
      <c r="BH274" s="148"/>
      <c r="BI274" s="156"/>
      <c r="BJ274" s="150">
        <f>'Degrémont sortie'!BI274</f>
        <v>0</v>
      </c>
      <c r="BK274" s="151">
        <f>'Degrémont sortie'!BJ274</f>
        <v>0</v>
      </c>
    </row>
    <row r="275" spans="1:63" ht="15.75" customHeight="1" outlineLevel="1">
      <c r="A275" s="121">
        <f t="shared" si="13"/>
        <v>43727</v>
      </c>
      <c r="B275" s="122">
        <v>969</v>
      </c>
      <c r="C275" s="123">
        <v>7.96</v>
      </c>
      <c r="D275" s="124">
        <v>88.5</v>
      </c>
      <c r="E275" s="125">
        <v>346.8</v>
      </c>
      <c r="F275" s="126">
        <v>30</v>
      </c>
      <c r="G275" s="127">
        <f t="shared" si="0"/>
        <v>8610</v>
      </c>
      <c r="H275" s="128">
        <f t="shared" si="1"/>
        <v>8343.09</v>
      </c>
      <c r="I275" s="129">
        <v>1</v>
      </c>
      <c r="J275" s="126">
        <v>6370</v>
      </c>
      <c r="K275" s="79">
        <f t="shared" si="2"/>
        <v>6370</v>
      </c>
      <c r="L275" s="128">
        <f t="shared" si="3"/>
        <v>6172.53</v>
      </c>
      <c r="M275" s="130">
        <v>1</v>
      </c>
      <c r="N275" s="126">
        <v>435</v>
      </c>
      <c r="O275" s="80">
        <f t="shared" si="4"/>
        <v>435</v>
      </c>
      <c r="P275" s="81">
        <f t="shared" si="5"/>
        <v>421.51499999999999</v>
      </c>
      <c r="Q275" s="129">
        <v>20</v>
      </c>
      <c r="R275" s="131">
        <v>21</v>
      </c>
      <c r="S275" s="127">
        <f t="shared" si="6"/>
        <v>420</v>
      </c>
      <c r="T275" s="128">
        <f t="shared" si="7"/>
        <v>406.98</v>
      </c>
      <c r="U275" s="113"/>
      <c r="V275" s="81">
        <f t="shared" si="14"/>
        <v>0</v>
      </c>
      <c r="W275" s="132"/>
      <c r="X275" s="153"/>
      <c r="Y275" s="94"/>
      <c r="Z275" s="132"/>
      <c r="AA275" s="153"/>
      <c r="AB275" s="94"/>
      <c r="AC275" s="133"/>
      <c r="AD275" s="93" t="str">
        <f t="shared" si="8"/>
        <v/>
      </c>
      <c r="AE275" s="94" t="e">
        <f t="shared" si="9"/>
        <v>#VALUE!</v>
      </c>
      <c r="AF275" s="134" t="s">
        <v>85</v>
      </c>
      <c r="AG275" s="135">
        <v>0.02</v>
      </c>
      <c r="AH275" s="136">
        <f t="shared" si="10"/>
        <v>9.689999999999999E-3</v>
      </c>
      <c r="AI275" s="80"/>
      <c r="AJ275" s="154"/>
      <c r="AK275" s="100" t="str">
        <f t="shared" si="21"/>
        <v/>
      </c>
      <c r="AL275" s="138"/>
      <c r="AM275" s="113"/>
      <c r="AN275" s="103" t="str">
        <f t="shared" si="12"/>
        <v/>
      </c>
      <c r="AO275" s="139"/>
      <c r="AP275" s="140"/>
      <c r="AQ275" s="141" t="str">
        <f t="shared" si="15"/>
        <v/>
      </c>
      <c r="AR275" s="142"/>
      <c r="AS275" s="140"/>
      <c r="AT275" s="143" t="str">
        <f t="shared" si="16"/>
        <v/>
      </c>
      <c r="AU275" s="139"/>
      <c r="AV275" s="113"/>
      <c r="AW275" s="107" t="str">
        <f t="shared" si="17"/>
        <v/>
      </c>
      <c r="AX275" s="113"/>
      <c r="AY275" s="113"/>
      <c r="AZ275" s="144" t="str">
        <f t="shared" si="18"/>
        <v/>
      </c>
      <c r="BA275" s="80"/>
      <c r="BB275" s="140"/>
      <c r="BC275" s="145" t="str">
        <f t="shared" si="19"/>
        <v/>
      </c>
      <c r="BD275" s="113"/>
      <c r="BE275" s="114"/>
      <c r="BF275" s="146" t="str">
        <f t="shared" si="20"/>
        <v/>
      </c>
      <c r="BG275" s="147" t="s">
        <v>84</v>
      </c>
      <c r="BH275" s="148"/>
      <c r="BI275" s="156"/>
      <c r="BJ275" s="150">
        <f>'Degrémont sortie'!BI275</f>
        <v>0</v>
      </c>
      <c r="BK275" s="151">
        <f>'Degrémont sortie'!BJ275</f>
        <v>0</v>
      </c>
    </row>
    <row r="276" spans="1:63" ht="15.75" customHeight="1" outlineLevel="1">
      <c r="A276" s="152">
        <f t="shared" si="13"/>
        <v>43728</v>
      </c>
      <c r="B276" s="122">
        <v>965</v>
      </c>
      <c r="C276" s="123">
        <v>7.99</v>
      </c>
      <c r="D276" s="124">
        <v>89.4</v>
      </c>
      <c r="E276" s="125">
        <v>265.89999999999998</v>
      </c>
      <c r="F276" s="126">
        <v>25</v>
      </c>
      <c r="G276" s="127">
        <f t="shared" si="0"/>
        <v>7059.9999999999991</v>
      </c>
      <c r="H276" s="128">
        <f t="shared" si="1"/>
        <v>6812.8999999999987</v>
      </c>
      <c r="I276" s="129">
        <v>1</v>
      </c>
      <c r="J276" s="126">
        <v>5414</v>
      </c>
      <c r="K276" s="79">
        <f t="shared" si="2"/>
        <v>5414</v>
      </c>
      <c r="L276" s="128">
        <f t="shared" si="3"/>
        <v>5224.51</v>
      </c>
      <c r="M276" s="130">
        <v>1</v>
      </c>
      <c r="N276" s="126">
        <v>203</v>
      </c>
      <c r="O276" s="80">
        <f t="shared" si="4"/>
        <v>203</v>
      </c>
      <c r="P276" s="81">
        <f t="shared" si="5"/>
        <v>195.89500000000001</v>
      </c>
      <c r="Q276" s="129">
        <v>20</v>
      </c>
      <c r="R276" s="131">
        <v>20</v>
      </c>
      <c r="S276" s="127">
        <f t="shared" si="6"/>
        <v>400</v>
      </c>
      <c r="T276" s="128">
        <f t="shared" si="7"/>
        <v>386</v>
      </c>
      <c r="U276" s="113"/>
      <c r="V276" s="81">
        <f t="shared" si="14"/>
        <v>0</v>
      </c>
      <c r="W276" s="132"/>
      <c r="X276" s="153"/>
      <c r="Y276" s="94"/>
      <c r="Z276" s="132"/>
      <c r="AA276" s="153"/>
      <c r="AB276" s="94"/>
      <c r="AC276" s="133"/>
      <c r="AD276" s="93" t="str">
        <f t="shared" si="8"/>
        <v/>
      </c>
      <c r="AE276" s="94" t="e">
        <f t="shared" si="9"/>
        <v>#VALUE!</v>
      </c>
      <c r="AF276" s="134" t="s">
        <v>85</v>
      </c>
      <c r="AG276" s="135">
        <v>0.01</v>
      </c>
      <c r="AH276" s="136">
        <f t="shared" si="10"/>
        <v>4.8250000000000003E-3</v>
      </c>
      <c r="AI276" s="80"/>
      <c r="AJ276" s="154"/>
      <c r="AK276" s="100" t="str">
        <f t="shared" si="21"/>
        <v/>
      </c>
      <c r="AL276" s="138"/>
      <c r="AM276" s="113"/>
      <c r="AN276" s="103" t="str">
        <f t="shared" si="12"/>
        <v/>
      </c>
      <c r="AO276" s="139"/>
      <c r="AP276" s="140"/>
      <c r="AQ276" s="141" t="str">
        <f t="shared" si="15"/>
        <v/>
      </c>
      <c r="AR276" s="142"/>
      <c r="AS276" s="140"/>
      <c r="AT276" s="143" t="str">
        <f t="shared" si="16"/>
        <v/>
      </c>
      <c r="AU276" s="139"/>
      <c r="AV276" s="113"/>
      <c r="AW276" s="107" t="str">
        <f t="shared" si="17"/>
        <v/>
      </c>
      <c r="AX276" s="113"/>
      <c r="AY276" s="113"/>
      <c r="AZ276" s="144" t="str">
        <f t="shared" si="18"/>
        <v/>
      </c>
      <c r="BA276" s="80"/>
      <c r="BB276" s="140"/>
      <c r="BC276" s="145" t="str">
        <f t="shared" si="19"/>
        <v/>
      </c>
      <c r="BD276" s="113"/>
      <c r="BE276" s="114"/>
      <c r="BF276" s="146" t="str">
        <f t="shared" si="20"/>
        <v/>
      </c>
      <c r="BG276" s="147" t="s">
        <v>84</v>
      </c>
      <c r="BH276" s="148"/>
      <c r="BI276" s="156"/>
      <c r="BJ276" s="150">
        <f>'Degrémont sortie'!BI276</f>
        <v>0</v>
      </c>
      <c r="BK276" s="151">
        <f>'Degrémont sortie'!BJ276</f>
        <v>0</v>
      </c>
    </row>
    <row r="277" spans="1:63" ht="15.75" customHeight="1" outlineLevel="1">
      <c r="A277" s="121">
        <f t="shared" si="13"/>
        <v>43729</v>
      </c>
      <c r="B277" s="122">
        <v>730</v>
      </c>
      <c r="C277" s="123">
        <v>8</v>
      </c>
      <c r="D277" s="124">
        <v>88.7</v>
      </c>
      <c r="E277" s="125">
        <v>425.1</v>
      </c>
      <c r="F277" s="126">
        <v>25</v>
      </c>
      <c r="G277" s="127">
        <f t="shared" si="0"/>
        <v>13456.000000000002</v>
      </c>
      <c r="H277" s="128">
        <f t="shared" si="1"/>
        <v>9822.880000000001</v>
      </c>
      <c r="I277" s="129">
        <v>1</v>
      </c>
      <c r="J277" s="126">
        <v>9078</v>
      </c>
      <c r="K277" s="79">
        <f t="shared" si="2"/>
        <v>9078</v>
      </c>
      <c r="L277" s="128">
        <f t="shared" si="3"/>
        <v>6626.94</v>
      </c>
      <c r="M277" s="130">
        <v>1</v>
      </c>
      <c r="N277" s="126">
        <v>498</v>
      </c>
      <c r="O277" s="80">
        <f t="shared" si="4"/>
        <v>498</v>
      </c>
      <c r="P277" s="81">
        <f t="shared" si="5"/>
        <v>363.54</v>
      </c>
      <c r="Q277" s="129">
        <v>20</v>
      </c>
      <c r="R277" s="131">
        <v>25.6</v>
      </c>
      <c r="S277" s="127">
        <f t="shared" si="6"/>
        <v>512</v>
      </c>
      <c r="T277" s="128">
        <f t="shared" si="7"/>
        <v>373.76</v>
      </c>
      <c r="U277" s="113"/>
      <c r="V277" s="81">
        <f t="shared" si="14"/>
        <v>0</v>
      </c>
      <c r="W277" s="132"/>
      <c r="X277" s="153"/>
      <c r="Y277" s="94"/>
      <c r="Z277" s="132"/>
      <c r="AA277" s="153"/>
      <c r="AB277" s="94"/>
      <c r="AC277" s="133"/>
      <c r="AD277" s="93" t="str">
        <f t="shared" si="8"/>
        <v/>
      </c>
      <c r="AE277" s="94" t="e">
        <f t="shared" si="9"/>
        <v>#VALUE!</v>
      </c>
      <c r="AF277" s="134" t="s">
        <v>85</v>
      </c>
      <c r="AG277" s="135">
        <v>0.01</v>
      </c>
      <c r="AH277" s="136">
        <f t="shared" si="10"/>
        <v>3.65E-3</v>
      </c>
      <c r="AI277" s="80"/>
      <c r="AJ277" s="154"/>
      <c r="AK277" s="100" t="str">
        <f t="shared" si="21"/>
        <v/>
      </c>
      <c r="AL277" s="138"/>
      <c r="AM277" s="113"/>
      <c r="AN277" s="103" t="str">
        <f t="shared" si="12"/>
        <v/>
      </c>
      <c r="AO277" s="139"/>
      <c r="AP277" s="140"/>
      <c r="AQ277" s="141" t="str">
        <f t="shared" si="15"/>
        <v/>
      </c>
      <c r="AR277" s="142"/>
      <c r="AS277" s="140"/>
      <c r="AT277" s="143" t="str">
        <f t="shared" si="16"/>
        <v/>
      </c>
      <c r="AU277" s="139"/>
      <c r="AV277" s="113"/>
      <c r="AW277" s="107" t="str">
        <f t="shared" si="17"/>
        <v/>
      </c>
      <c r="AX277" s="113"/>
      <c r="AY277" s="113"/>
      <c r="AZ277" s="144" t="str">
        <f t="shared" si="18"/>
        <v/>
      </c>
      <c r="BA277" s="80"/>
      <c r="BB277" s="140"/>
      <c r="BC277" s="145" t="str">
        <f t="shared" si="19"/>
        <v/>
      </c>
      <c r="BD277" s="113"/>
      <c r="BE277" s="114"/>
      <c r="BF277" s="146" t="str">
        <f t="shared" si="20"/>
        <v/>
      </c>
      <c r="BG277" s="147" t="s">
        <v>84</v>
      </c>
      <c r="BH277" s="148"/>
      <c r="BI277" s="156"/>
      <c r="BJ277" s="150">
        <f>'Degrémont sortie'!BI277</f>
        <v>0</v>
      </c>
      <c r="BK277" s="151">
        <f>'Degrémont sortie'!BJ277</f>
        <v>0</v>
      </c>
    </row>
    <row r="278" spans="1:63" ht="14.25" outlineLevel="1">
      <c r="A278" s="152">
        <f t="shared" si="13"/>
        <v>43730</v>
      </c>
      <c r="B278" s="207"/>
      <c r="C278" s="208"/>
      <c r="D278" s="210"/>
      <c r="E278" s="211"/>
      <c r="F278" s="80"/>
      <c r="G278" s="127">
        <f t="shared" si="0"/>
        <v>0</v>
      </c>
      <c r="H278" s="128">
        <f t="shared" si="1"/>
        <v>0</v>
      </c>
      <c r="I278" s="129">
        <v>1</v>
      </c>
      <c r="J278" s="80"/>
      <c r="K278" s="79">
        <f t="shared" si="2"/>
        <v>0</v>
      </c>
      <c r="L278" s="128">
        <f t="shared" si="3"/>
        <v>0</v>
      </c>
      <c r="M278" s="130">
        <v>1</v>
      </c>
      <c r="N278" s="80"/>
      <c r="O278" s="80" t="str">
        <f t="shared" si="4"/>
        <v/>
      </c>
      <c r="P278" s="81">
        <f t="shared" si="5"/>
        <v>0</v>
      </c>
      <c r="Q278" s="213"/>
      <c r="R278" s="113"/>
      <c r="S278" s="127" t="str">
        <f t="shared" si="6"/>
        <v/>
      </c>
      <c r="T278" s="128">
        <f t="shared" si="7"/>
        <v>0</v>
      </c>
      <c r="U278" s="113"/>
      <c r="V278" s="81">
        <f t="shared" si="14"/>
        <v>0</v>
      </c>
      <c r="W278" s="132"/>
      <c r="X278" s="153"/>
      <c r="Y278" s="94"/>
      <c r="Z278" s="132"/>
      <c r="AA278" s="153"/>
      <c r="AB278" s="94"/>
      <c r="AC278" s="133"/>
      <c r="AD278" s="93" t="str">
        <f t="shared" si="8"/>
        <v/>
      </c>
      <c r="AE278" s="94" t="str">
        <f t="shared" si="9"/>
        <v/>
      </c>
      <c r="AF278" s="139"/>
      <c r="AG278" s="215"/>
      <c r="AH278" s="136" t="str">
        <f t="shared" si="10"/>
        <v/>
      </c>
      <c r="AI278" s="80"/>
      <c r="AJ278" s="154"/>
      <c r="AK278" s="100" t="str">
        <f t="shared" si="21"/>
        <v/>
      </c>
      <c r="AL278" s="138"/>
      <c r="AM278" s="113"/>
      <c r="AN278" s="103" t="str">
        <f t="shared" si="12"/>
        <v/>
      </c>
      <c r="AO278" s="139"/>
      <c r="AP278" s="140"/>
      <c r="AQ278" s="141" t="str">
        <f t="shared" si="15"/>
        <v/>
      </c>
      <c r="AR278" s="142"/>
      <c r="AS278" s="140"/>
      <c r="AT278" s="143" t="str">
        <f t="shared" si="16"/>
        <v/>
      </c>
      <c r="AU278" s="139"/>
      <c r="AV278" s="113"/>
      <c r="AW278" s="107" t="str">
        <f t="shared" si="17"/>
        <v/>
      </c>
      <c r="AX278" s="113"/>
      <c r="AY278" s="113"/>
      <c r="AZ278" s="144" t="str">
        <f t="shared" si="18"/>
        <v/>
      </c>
      <c r="BA278" s="80"/>
      <c r="BB278" s="140"/>
      <c r="BC278" s="145" t="str">
        <f t="shared" si="19"/>
        <v/>
      </c>
      <c r="BD278" s="113"/>
      <c r="BE278" s="114"/>
      <c r="BF278" s="146" t="str">
        <f t="shared" si="20"/>
        <v/>
      </c>
      <c r="BG278" s="147" t="s">
        <v>84</v>
      </c>
      <c r="BH278" s="148"/>
      <c r="BI278" s="156"/>
      <c r="BJ278" s="150">
        <f>'Degrémont sortie'!BI278</f>
        <v>0</v>
      </c>
      <c r="BK278" s="151">
        <f>'Degrémont sortie'!BJ278</f>
        <v>0</v>
      </c>
    </row>
    <row r="279" spans="1:63" ht="14.25" outlineLevel="1">
      <c r="A279" s="121">
        <f t="shared" si="13"/>
        <v>43731</v>
      </c>
      <c r="B279" s="122">
        <v>796</v>
      </c>
      <c r="C279" s="123">
        <v>7.8</v>
      </c>
      <c r="D279" s="124">
        <v>89.4</v>
      </c>
      <c r="E279" s="125">
        <v>259.3</v>
      </c>
      <c r="F279" s="126">
        <v>30</v>
      </c>
      <c r="G279" s="127">
        <f t="shared" si="0"/>
        <v>5663.333333333333</v>
      </c>
      <c r="H279" s="128">
        <f t="shared" si="1"/>
        <v>4508.0133333333333</v>
      </c>
      <c r="I279" s="129">
        <v>1</v>
      </c>
      <c r="J279" s="126">
        <v>4439</v>
      </c>
      <c r="K279" s="79">
        <f t="shared" si="2"/>
        <v>4439</v>
      </c>
      <c r="L279" s="128">
        <f t="shared" si="3"/>
        <v>3533.444</v>
      </c>
      <c r="M279" s="130">
        <v>1</v>
      </c>
      <c r="N279" s="126">
        <v>250</v>
      </c>
      <c r="O279" s="80">
        <f t="shared" si="4"/>
        <v>250</v>
      </c>
      <c r="P279" s="81">
        <f t="shared" si="5"/>
        <v>199</v>
      </c>
      <c r="Q279" s="129">
        <v>20</v>
      </c>
      <c r="R279" s="131">
        <v>15</v>
      </c>
      <c r="S279" s="127">
        <f t="shared" si="6"/>
        <v>300</v>
      </c>
      <c r="T279" s="128">
        <f t="shared" si="7"/>
        <v>238.8</v>
      </c>
      <c r="U279" s="113"/>
      <c r="V279" s="81">
        <f t="shared" si="14"/>
        <v>0</v>
      </c>
      <c r="W279" s="132"/>
      <c r="X279" s="153"/>
      <c r="Y279" s="94"/>
      <c r="Z279" s="132"/>
      <c r="AA279" s="153"/>
      <c r="AB279" s="94"/>
      <c r="AC279" s="133"/>
      <c r="AD279" s="93" t="str">
        <f t="shared" si="8"/>
        <v/>
      </c>
      <c r="AE279" s="94" t="e">
        <f t="shared" si="9"/>
        <v>#VALUE!</v>
      </c>
      <c r="AF279" s="134" t="s">
        <v>85</v>
      </c>
      <c r="AG279" s="135">
        <v>0.01</v>
      </c>
      <c r="AH279" s="136">
        <f t="shared" si="10"/>
        <v>3.98E-3</v>
      </c>
      <c r="AI279" s="80"/>
      <c r="AJ279" s="154"/>
      <c r="AK279" s="100" t="str">
        <f t="shared" si="21"/>
        <v/>
      </c>
      <c r="AL279" s="138"/>
      <c r="AM279" s="113"/>
      <c r="AN279" s="103" t="str">
        <f t="shared" si="12"/>
        <v/>
      </c>
      <c r="AO279" s="139"/>
      <c r="AP279" s="140"/>
      <c r="AQ279" s="141" t="str">
        <f t="shared" si="15"/>
        <v/>
      </c>
      <c r="AR279" s="142"/>
      <c r="AS279" s="140"/>
      <c r="AT279" s="143" t="str">
        <f t="shared" si="16"/>
        <v/>
      </c>
      <c r="AU279" s="139"/>
      <c r="AV279" s="113"/>
      <c r="AW279" s="107" t="str">
        <f t="shared" si="17"/>
        <v/>
      </c>
      <c r="AX279" s="113"/>
      <c r="AY279" s="113"/>
      <c r="AZ279" s="144" t="str">
        <f t="shared" si="18"/>
        <v/>
      </c>
      <c r="BA279" s="80"/>
      <c r="BB279" s="140"/>
      <c r="BC279" s="145" t="str">
        <f t="shared" si="19"/>
        <v/>
      </c>
      <c r="BD279" s="113"/>
      <c r="BE279" s="114"/>
      <c r="BF279" s="146" t="str">
        <f t="shared" si="20"/>
        <v/>
      </c>
      <c r="BG279" s="147" t="s">
        <v>84</v>
      </c>
      <c r="BH279" s="148"/>
      <c r="BI279" s="156"/>
      <c r="BJ279" s="150">
        <f>'Degrémont sortie'!BI279</f>
        <v>0</v>
      </c>
      <c r="BK279" s="151">
        <f>'Degrémont sortie'!BJ279</f>
        <v>0</v>
      </c>
    </row>
    <row r="280" spans="1:63" ht="14.25" outlineLevel="1">
      <c r="A280" s="152">
        <f t="shared" si="13"/>
        <v>43732</v>
      </c>
      <c r="B280" s="122">
        <v>1280</v>
      </c>
      <c r="C280" s="123">
        <v>7.89</v>
      </c>
      <c r="D280" s="124">
        <v>87.3</v>
      </c>
      <c r="E280" s="125">
        <v>314</v>
      </c>
      <c r="F280" s="126">
        <v>30</v>
      </c>
      <c r="G280" s="127">
        <f t="shared" si="0"/>
        <v>7556.666666666667</v>
      </c>
      <c r="H280" s="128">
        <f t="shared" si="1"/>
        <v>9672.5333333333347</v>
      </c>
      <c r="I280" s="129">
        <v>1</v>
      </c>
      <c r="J280" s="126">
        <v>7561</v>
      </c>
      <c r="K280" s="79">
        <f t="shared" si="2"/>
        <v>7561</v>
      </c>
      <c r="L280" s="128">
        <f t="shared" si="3"/>
        <v>9678.08</v>
      </c>
      <c r="M280" s="130">
        <v>1</v>
      </c>
      <c r="N280" s="126">
        <v>1083</v>
      </c>
      <c r="O280" s="80">
        <f t="shared" si="4"/>
        <v>1083</v>
      </c>
      <c r="P280" s="81">
        <f t="shared" si="5"/>
        <v>1386.24</v>
      </c>
      <c r="Q280" s="129">
        <v>20</v>
      </c>
      <c r="R280" s="131">
        <v>17.899999999999999</v>
      </c>
      <c r="S280" s="127">
        <f t="shared" si="6"/>
        <v>358</v>
      </c>
      <c r="T280" s="128">
        <f t="shared" si="7"/>
        <v>458.24</v>
      </c>
      <c r="U280" s="131">
        <v>74</v>
      </c>
      <c r="V280" s="81">
        <f t="shared" si="14"/>
        <v>94.72</v>
      </c>
      <c r="W280" s="132"/>
      <c r="X280" s="153"/>
      <c r="Y280" s="94"/>
      <c r="Z280" s="132"/>
      <c r="AA280" s="153"/>
      <c r="AB280" s="94"/>
      <c r="AC280" s="133"/>
      <c r="AD280" s="93" t="str">
        <f t="shared" si="8"/>
        <v/>
      </c>
      <c r="AE280" s="94" t="e">
        <f t="shared" si="9"/>
        <v>#VALUE!</v>
      </c>
      <c r="AF280" s="134" t="s">
        <v>85</v>
      </c>
      <c r="AG280" s="135">
        <v>0.01</v>
      </c>
      <c r="AH280" s="136">
        <f t="shared" si="10"/>
        <v>6.4000000000000003E-3</v>
      </c>
      <c r="AI280" s="80"/>
      <c r="AJ280" s="154"/>
      <c r="AK280" s="100" t="str">
        <f t="shared" si="21"/>
        <v/>
      </c>
      <c r="AL280" s="138"/>
      <c r="AM280" s="131">
        <v>62</v>
      </c>
      <c r="AN280" s="103">
        <f t="shared" si="12"/>
        <v>490.358</v>
      </c>
      <c r="AO280" s="139"/>
      <c r="AP280" s="155">
        <v>111.48</v>
      </c>
      <c r="AQ280" s="141">
        <f t="shared" si="15"/>
        <v>881.69532000000004</v>
      </c>
      <c r="AR280" s="142"/>
      <c r="AS280" s="155">
        <v>0.9</v>
      </c>
      <c r="AT280" s="143">
        <f t="shared" si="16"/>
        <v>7.1181000000000001</v>
      </c>
      <c r="AU280" s="139"/>
      <c r="AV280" s="131">
        <v>19.7</v>
      </c>
      <c r="AW280" s="107">
        <f t="shared" si="17"/>
        <v>155.8073</v>
      </c>
      <c r="AX280" s="113"/>
      <c r="AY280" s="131">
        <v>197.85</v>
      </c>
      <c r="AZ280" s="144">
        <f t="shared" si="18"/>
        <v>1564.79565</v>
      </c>
      <c r="BA280" s="80"/>
      <c r="BB280" s="155">
        <v>0.4</v>
      </c>
      <c r="BC280" s="145">
        <f t="shared" si="19"/>
        <v>3.1636000000000002</v>
      </c>
      <c r="BD280" s="131" t="s">
        <v>85</v>
      </c>
      <c r="BE280" s="158">
        <v>0.13</v>
      </c>
      <c r="BF280" s="146">
        <f t="shared" si="20"/>
        <v>0.51408500000000001</v>
      </c>
      <c r="BG280" s="147" t="s">
        <v>84</v>
      </c>
      <c r="BH280" s="148"/>
      <c r="BI280" s="156"/>
      <c r="BJ280" s="150">
        <f>'Degrémont sortie'!BI280</f>
        <v>0</v>
      </c>
      <c r="BK280" s="151">
        <f>'Degrémont sortie'!BJ280</f>
        <v>0</v>
      </c>
    </row>
    <row r="281" spans="1:63" ht="14.25" outlineLevel="1">
      <c r="A281" s="121">
        <f t="shared" si="13"/>
        <v>43733</v>
      </c>
      <c r="B281" s="122">
        <v>1047</v>
      </c>
      <c r="C281" s="123">
        <v>7.73</v>
      </c>
      <c r="D281" s="124">
        <v>88.9</v>
      </c>
      <c r="E281" s="125">
        <v>316.39999999999998</v>
      </c>
      <c r="F281" s="126">
        <v>30</v>
      </c>
      <c r="G281" s="127">
        <f t="shared" si="0"/>
        <v>7583.3333333333321</v>
      </c>
      <c r="H281" s="128">
        <f t="shared" si="1"/>
        <v>7939.7499999999991</v>
      </c>
      <c r="I281" s="129">
        <v>1</v>
      </c>
      <c r="J281" s="126">
        <v>8077</v>
      </c>
      <c r="K281" s="79">
        <f t="shared" si="2"/>
        <v>8077</v>
      </c>
      <c r="L281" s="128">
        <f t="shared" si="3"/>
        <v>8456.6190000000006</v>
      </c>
      <c r="M281" s="130">
        <v>1</v>
      </c>
      <c r="N281" s="126">
        <v>1320</v>
      </c>
      <c r="O281" s="80">
        <f t="shared" si="4"/>
        <v>1320</v>
      </c>
      <c r="P281" s="81">
        <f t="shared" si="5"/>
        <v>1382.04</v>
      </c>
      <c r="Q281" s="129">
        <v>20</v>
      </c>
      <c r="R281" s="131">
        <v>18</v>
      </c>
      <c r="S281" s="127">
        <f t="shared" si="6"/>
        <v>360</v>
      </c>
      <c r="T281" s="128">
        <f t="shared" si="7"/>
        <v>376.92</v>
      </c>
      <c r="U281" s="113"/>
      <c r="V281" s="81">
        <f t="shared" si="14"/>
        <v>0</v>
      </c>
      <c r="W281" s="132"/>
      <c r="X281" s="153"/>
      <c r="Y281" s="94"/>
      <c r="Z281" s="132"/>
      <c r="AA281" s="153"/>
      <c r="AB281" s="94"/>
      <c r="AC281" s="133"/>
      <c r="AD281" s="93" t="str">
        <f t="shared" si="8"/>
        <v/>
      </c>
      <c r="AE281" s="94" t="e">
        <f t="shared" si="9"/>
        <v>#VALUE!</v>
      </c>
      <c r="AF281" s="134" t="s">
        <v>85</v>
      </c>
      <c r="AG281" s="135">
        <v>0.01</v>
      </c>
      <c r="AH281" s="136">
        <f t="shared" si="10"/>
        <v>5.2350000000000001E-3</v>
      </c>
      <c r="AI281" s="80"/>
      <c r="AJ281" s="154"/>
      <c r="AK281" s="100" t="str">
        <f t="shared" si="21"/>
        <v/>
      </c>
      <c r="AL281" s="138"/>
      <c r="AM281" s="113"/>
      <c r="AN281" s="103" t="str">
        <f t="shared" si="12"/>
        <v/>
      </c>
      <c r="AO281" s="139"/>
      <c r="AP281" s="140"/>
      <c r="AQ281" s="141" t="str">
        <f t="shared" si="15"/>
        <v/>
      </c>
      <c r="AR281" s="142"/>
      <c r="AS281" s="140"/>
      <c r="AT281" s="143" t="str">
        <f t="shared" si="16"/>
        <v/>
      </c>
      <c r="AU281" s="139"/>
      <c r="AV281" s="113"/>
      <c r="AW281" s="107" t="str">
        <f t="shared" si="17"/>
        <v/>
      </c>
      <c r="AX281" s="113"/>
      <c r="AY281" s="113"/>
      <c r="AZ281" s="144" t="str">
        <f t="shared" si="18"/>
        <v/>
      </c>
      <c r="BA281" s="80"/>
      <c r="BB281" s="140"/>
      <c r="BC281" s="145" t="str">
        <f t="shared" si="19"/>
        <v/>
      </c>
      <c r="BD281" s="113"/>
      <c r="BE281" s="114"/>
      <c r="BF281" s="146" t="str">
        <f t="shared" si="20"/>
        <v/>
      </c>
      <c r="BG281" s="147" t="s">
        <v>84</v>
      </c>
      <c r="BH281" s="148"/>
      <c r="BI281" s="156"/>
      <c r="BJ281" s="150">
        <f>'Degrémont sortie'!BI281</f>
        <v>0</v>
      </c>
      <c r="BK281" s="151">
        <f>'Degrémont sortie'!BJ281</f>
        <v>0</v>
      </c>
    </row>
    <row r="282" spans="1:63" ht="14.25" outlineLevel="1">
      <c r="A282" s="152">
        <f t="shared" si="13"/>
        <v>43734</v>
      </c>
      <c r="B282" s="122">
        <v>1194</v>
      </c>
      <c r="C282" s="123">
        <v>7.37</v>
      </c>
      <c r="D282" s="124">
        <v>86.3</v>
      </c>
      <c r="E282" s="125">
        <v>239.1</v>
      </c>
      <c r="F282" s="126">
        <v>30</v>
      </c>
      <c r="G282" s="127">
        <f t="shared" si="0"/>
        <v>5093.333333333333</v>
      </c>
      <c r="H282" s="128">
        <f t="shared" si="1"/>
        <v>6081.44</v>
      </c>
      <c r="I282" s="129">
        <v>1</v>
      </c>
      <c r="J282" s="126">
        <v>6782</v>
      </c>
      <c r="K282" s="79">
        <f t="shared" si="2"/>
        <v>6782</v>
      </c>
      <c r="L282" s="128">
        <f t="shared" si="3"/>
        <v>8097.7079999999996</v>
      </c>
      <c r="M282" s="130">
        <v>1</v>
      </c>
      <c r="N282" s="126">
        <v>1828</v>
      </c>
      <c r="O282" s="80">
        <f t="shared" si="4"/>
        <v>1828</v>
      </c>
      <c r="P282" s="81">
        <f t="shared" si="5"/>
        <v>2182.6320000000001</v>
      </c>
      <c r="Q282" s="129">
        <v>20</v>
      </c>
      <c r="R282" s="131">
        <v>11.5</v>
      </c>
      <c r="S282" s="127">
        <f t="shared" si="6"/>
        <v>230</v>
      </c>
      <c r="T282" s="128">
        <f t="shared" si="7"/>
        <v>274.62</v>
      </c>
      <c r="U282" s="113"/>
      <c r="V282" s="81">
        <f t="shared" si="14"/>
        <v>0</v>
      </c>
      <c r="W282" s="132"/>
      <c r="X282" s="153"/>
      <c r="Y282" s="94"/>
      <c r="Z282" s="132"/>
      <c r="AA282" s="153"/>
      <c r="AB282" s="94"/>
      <c r="AC282" s="133"/>
      <c r="AD282" s="93" t="str">
        <f t="shared" si="8"/>
        <v/>
      </c>
      <c r="AE282" s="94" t="e">
        <f t="shared" si="9"/>
        <v>#VALUE!</v>
      </c>
      <c r="AF282" s="134" t="s">
        <v>85</v>
      </c>
      <c r="AG282" s="135">
        <v>0.01</v>
      </c>
      <c r="AH282" s="136">
        <f t="shared" si="10"/>
        <v>5.9699999999999996E-3</v>
      </c>
      <c r="AI282" s="80"/>
      <c r="AJ282" s="154"/>
      <c r="AK282" s="100" t="str">
        <f t="shared" si="21"/>
        <v/>
      </c>
      <c r="AL282" s="138"/>
      <c r="AM282" s="113"/>
      <c r="AN282" s="103" t="str">
        <f t="shared" si="12"/>
        <v/>
      </c>
      <c r="AO282" s="139"/>
      <c r="AP282" s="140"/>
      <c r="AQ282" s="141" t="str">
        <f t="shared" si="15"/>
        <v/>
      </c>
      <c r="AR282" s="142"/>
      <c r="AS282" s="140"/>
      <c r="AT282" s="143" t="str">
        <f t="shared" si="16"/>
        <v/>
      </c>
      <c r="AU282" s="139"/>
      <c r="AV282" s="113"/>
      <c r="AW282" s="107" t="str">
        <f t="shared" si="17"/>
        <v/>
      </c>
      <c r="AX282" s="113"/>
      <c r="AY282" s="113"/>
      <c r="AZ282" s="144" t="str">
        <f t="shared" si="18"/>
        <v/>
      </c>
      <c r="BA282" s="80"/>
      <c r="BB282" s="140"/>
      <c r="BC282" s="145" t="str">
        <f t="shared" si="19"/>
        <v/>
      </c>
      <c r="BD282" s="113"/>
      <c r="BE282" s="114"/>
      <c r="BF282" s="146" t="str">
        <f t="shared" si="20"/>
        <v/>
      </c>
      <c r="BG282" s="147" t="s">
        <v>84</v>
      </c>
      <c r="BH282" s="148"/>
      <c r="BI282" s="156"/>
      <c r="BJ282" s="150">
        <f>'Degrémont sortie'!BI282</f>
        <v>0</v>
      </c>
      <c r="BK282" s="151">
        <f>'Degrémont sortie'!BJ282</f>
        <v>0</v>
      </c>
    </row>
    <row r="283" spans="1:63" ht="14.25" outlineLevel="1">
      <c r="A283" s="121">
        <f t="shared" si="13"/>
        <v>43735</v>
      </c>
      <c r="B283" s="122">
        <v>1051</v>
      </c>
      <c r="C283" s="123">
        <v>7.74</v>
      </c>
      <c r="D283" s="124">
        <v>89</v>
      </c>
      <c r="E283" s="125">
        <v>212.3</v>
      </c>
      <c r="F283" s="126">
        <v>30</v>
      </c>
      <c r="G283" s="127">
        <f t="shared" si="0"/>
        <v>4110.0000000000009</v>
      </c>
      <c r="H283" s="128">
        <f t="shared" si="1"/>
        <v>4319.6100000000006</v>
      </c>
      <c r="I283" s="129">
        <v>1</v>
      </c>
      <c r="J283" s="126">
        <v>4525</v>
      </c>
      <c r="K283" s="79">
        <f t="shared" si="2"/>
        <v>4525</v>
      </c>
      <c r="L283" s="128">
        <f t="shared" si="3"/>
        <v>4755.7749999999996</v>
      </c>
      <c r="M283" s="130">
        <v>1</v>
      </c>
      <c r="N283" s="126">
        <v>549</v>
      </c>
      <c r="O283" s="80">
        <f t="shared" si="4"/>
        <v>549</v>
      </c>
      <c r="P283" s="81">
        <f t="shared" si="5"/>
        <v>576.99900000000002</v>
      </c>
      <c r="Q283" s="129">
        <v>20</v>
      </c>
      <c r="R283" s="131">
        <v>9.67</v>
      </c>
      <c r="S283" s="127">
        <f t="shared" si="6"/>
        <v>193.4</v>
      </c>
      <c r="T283" s="128">
        <f t="shared" si="7"/>
        <v>203.26339999999999</v>
      </c>
      <c r="U283" s="113"/>
      <c r="V283" s="81">
        <f t="shared" si="14"/>
        <v>0</v>
      </c>
      <c r="W283" s="132"/>
      <c r="X283" s="153"/>
      <c r="Y283" s="94"/>
      <c r="Z283" s="132"/>
      <c r="AA283" s="153"/>
      <c r="AB283" s="94"/>
      <c r="AC283" s="133"/>
      <c r="AD283" s="93" t="str">
        <f t="shared" si="8"/>
        <v/>
      </c>
      <c r="AE283" s="94" t="e">
        <f t="shared" si="9"/>
        <v>#VALUE!</v>
      </c>
      <c r="AF283" s="134" t="s">
        <v>85</v>
      </c>
      <c r="AG283" s="135">
        <v>0.01</v>
      </c>
      <c r="AH283" s="136">
        <f t="shared" si="10"/>
        <v>5.2550000000000001E-3</v>
      </c>
      <c r="AI283" s="80"/>
      <c r="AJ283" s="154"/>
      <c r="AK283" s="100" t="str">
        <f t="shared" si="21"/>
        <v/>
      </c>
      <c r="AL283" s="138"/>
      <c r="AM283" s="113"/>
      <c r="AN283" s="103" t="str">
        <f t="shared" si="12"/>
        <v/>
      </c>
      <c r="AO283" s="139"/>
      <c r="AP283" s="140"/>
      <c r="AQ283" s="141" t="str">
        <f t="shared" si="15"/>
        <v/>
      </c>
      <c r="AR283" s="142"/>
      <c r="AS283" s="140"/>
      <c r="AT283" s="143" t="str">
        <f t="shared" si="16"/>
        <v/>
      </c>
      <c r="AU283" s="139"/>
      <c r="AV283" s="113"/>
      <c r="AW283" s="107" t="str">
        <f t="shared" si="17"/>
        <v/>
      </c>
      <c r="AX283" s="113"/>
      <c r="AY283" s="113"/>
      <c r="AZ283" s="144" t="str">
        <f t="shared" si="18"/>
        <v/>
      </c>
      <c r="BA283" s="80"/>
      <c r="BB283" s="140"/>
      <c r="BC283" s="145" t="str">
        <f t="shared" si="19"/>
        <v/>
      </c>
      <c r="BD283" s="113"/>
      <c r="BE283" s="114"/>
      <c r="BF283" s="146" t="str">
        <f t="shared" si="20"/>
        <v/>
      </c>
      <c r="BG283" s="147" t="s">
        <v>84</v>
      </c>
      <c r="BH283" s="148"/>
      <c r="BI283" s="156"/>
      <c r="BJ283" s="150">
        <f>'Degrémont sortie'!BI283</f>
        <v>0</v>
      </c>
      <c r="BK283" s="151">
        <f>'Degrémont sortie'!BJ283</f>
        <v>0</v>
      </c>
    </row>
    <row r="284" spans="1:63" ht="14.25" outlineLevel="1">
      <c r="A284" s="152">
        <f t="shared" si="13"/>
        <v>43736</v>
      </c>
      <c r="B284" s="122">
        <v>1806</v>
      </c>
      <c r="C284" s="123">
        <v>8.14</v>
      </c>
      <c r="D284" s="124">
        <v>86.2</v>
      </c>
      <c r="E284" s="125">
        <v>241.6</v>
      </c>
      <c r="F284" s="126">
        <v>31</v>
      </c>
      <c r="G284" s="127">
        <f t="shared" si="0"/>
        <v>5012.9032258064508</v>
      </c>
      <c r="H284" s="128">
        <f t="shared" si="1"/>
        <v>9053.3032258064504</v>
      </c>
      <c r="I284" s="129">
        <v>1</v>
      </c>
      <c r="J284" s="126">
        <v>5214</v>
      </c>
      <c r="K284" s="79">
        <f t="shared" si="2"/>
        <v>5214</v>
      </c>
      <c r="L284" s="128">
        <f t="shared" si="3"/>
        <v>9416.4840000000004</v>
      </c>
      <c r="M284" s="130">
        <v>1</v>
      </c>
      <c r="N284" s="126">
        <v>635</v>
      </c>
      <c r="O284" s="80">
        <f t="shared" si="4"/>
        <v>635</v>
      </c>
      <c r="P284" s="81">
        <f t="shared" si="5"/>
        <v>1146.81</v>
      </c>
      <c r="Q284" s="129">
        <v>20</v>
      </c>
      <c r="R284" s="131">
        <v>13.1</v>
      </c>
      <c r="S284" s="127">
        <f t="shared" si="6"/>
        <v>262</v>
      </c>
      <c r="T284" s="128">
        <f t="shared" si="7"/>
        <v>473.17200000000003</v>
      </c>
      <c r="U284" s="113"/>
      <c r="V284" s="81">
        <f t="shared" si="14"/>
        <v>0</v>
      </c>
      <c r="W284" s="132"/>
      <c r="X284" s="153"/>
      <c r="Y284" s="94"/>
      <c r="Z284" s="132"/>
      <c r="AA284" s="153"/>
      <c r="AB284" s="94"/>
      <c r="AC284" s="133"/>
      <c r="AD284" s="93" t="str">
        <f t="shared" si="8"/>
        <v/>
      </c>
      <c r="AE284" s="94" t="e">
        <f t="shared" si="9"/>
        <v>#VALUE!</v>
      </c>
      <c r="AF284" s="134" t="s">
        <v>85</v>
      </c>
      <c r="AG284" s="135">
        <v>0.01</v>
      </c>
      <c r="AH284" s="136">
        <f t="shared" si="10"/>
        <v>9.0299999999999998E-3</v>
      </c>
      <c r="AI284" s="80"/>
      <c r="AJ284" s="154"/>
      <c r="AK284" s="100" t="str">
        <f t="shared" si="21"/>
        <v/>
      </c>
      <c r="AL284" s="138"/>
      <c r="AM284" s="113"/>
      <c r="AN284" s="103" t="str">
        <f t="shared" si="12"/>
        <v/>
      </c>
      <c r="AO284" s="139"/>
      <c r="AP284" s="140"/>
      <c r="AQ284" s="141" t="str">
        <f t="shared" si="15"/>
        <v/>
      </c>
      <c r="AR284" s="142"/>
      <c r="AS284" s="140"/>
      <c r="AT284" s="143" t="str">
        <f t="shared" si="16"/>
        <v/>
      </c>
      <c r="AU284" s="139"/>
      <c r="AV284" s="113"/>
      <c r="AW284" s="107" t="str">
        <f t="shared" si="17"/>
        <v/>
      </c>
      <c r="AX284" s="113"/>
      <c r="AY284" s="113"/>
      <c r="AZ284" s="144" t="str">
        <f t="shared" si="18"/>
        <v/>
      </c>
      <c r="BA284" s="80"/>
      <c r="BB284" s="140"/>
      <c r="BC284" s="145" t="str">
        <f t="shared" si="19"/>
        <v/>
      </c>
      <c r="BD284" s="113"/>
      <c r="BE284" s="114"/>
      <c r="BF284" s="146" t="str">
        <f t="shared" si="20"/>
        <v/>
      </c>
      <c r="BG284" s="147" t="s">
        <v>84</v>
      </c>
      <c r="BH284" s="148"/>
      <c r="BI284" s="156"/>
      <c r="BJ284" s="150">
        <f>'Degrémont sortie'!BI284</f>
        <v>0</v>
      </c>
      <c r="BK284" s="151">
        <f>'Degrémont sortie'!BJ284</f>
        <v>0</v>
      </c>
    </row>
    <row r="285" spans="1:63" ht="15.75" customHeight="1" outlineLevel="1">
      <c r="A285" s="121">
        <f t="shared" si="13"/>
        <v>43737</v>
      </c>
      <c r="B285" s="207"/>
      <c r="C285" s="208"/>
      <c r="D285" s="210"/>
      <c r="E285" s="211"/>
      <c r="F285" s="80"/>
      <c r="G285" s="127">
        <f t="shared" si="0"/>
        <v>0</v>
      </c>
      <c r="H285" s="128">
        <f t="shared" si="1"/>
        <v>0</v>
      </c>
      <c r="I285" s="129">
        <v>1</v>
      </c>
      <c r="J285" s="80"/>
      <c r="K285" s="79">
        <f t="shared" si="2"/>
        <v>0</v>
      </c>
      <c r="L285" s="128">
        <f t="shared" si="3"/>
        <v>0</v>
      </c>
      <c r="M285" s="130">
        <v>1</v>
      </c>
      <c r="N285" s="80"/>
      <c r="O285" s="80" t="str">
        <f t="shared" si="4"/>
        <v/>
      </c>
      <c r="P285" s="81">
        <f t="shared" si="5"/>
        <v>0</v>
      </c>
      <c r="Q285" s="213"/>
      <c r="R285" s="113"/>
      <c r="S285" s="127" t="str">
        <f t="shared" si="6"/>
        <v/>
      </c>
      <c r="T285" s="128">
        <f t="shared" si="7"/>
        <v>0</v>
      </c>
      <c r="U285" s="113"/>
      <c r="V285" s="81">
        <f t="shared" si="14"/>
        <v>0</v>
      </c>
      <c r="W285" s="132"/>
      <c r="X285" s="153"/>
      <c r="Y285" s="94"/>
      <c r="Z285" s="132"/>
      <c r="AA285" s="153"/>
      <c r="AB285" s="94"/>
      <c r="AC285" s="133"/>
      <c r="AD285" s="93" t="str">
        <f t="shared" si="8"/>
        <v/>
      </c>
      <c r="AE285" s="94" t="str">
        <f t="shared" si="9"/>
        <v/>
      </c>
      <c r="AF285" s="139"/>
      <c r="AG285" s="215"/>
      <c r="AH285" s="136" t="str">
        <f t="shared" si="10"/>
        <v/>
      </c>
      <c r="AI285" s="80"/>
      <c r="AJ285" s="154"/>
      <c r="AK285" s="100" t="str">
        <f t="shared" si="21"/>
        <v/>
      </c>
      <c r="AL285" s="138"/>
      <c r="AM285" s="113"/>
      <c r="AN285" s="103" t="str">
        <f t="shared" si="12"/>
        <v/>
      </c>
      <c r="AO285" s="139"/>
      <c r="AP285" s="140"/>
      <c r="AQ285" s="141" t="str">
        <f t="shared" si="15"/>
        <v/>
      </c>
      <c r="AR285" s="142"/>
      <c r="AS285" s="140"/>
      <c r="AT285" s="143" t="str">
        <f t="shared" si="16"/>
        <v/>
      </c>
      <c r="AU285" s="139"/>
      <c r="AV285" s="113"/>
      <c r="AW285" s="107" t="str">
        <f t="shared" si="17"/>
        <v/>
      </c>
      <c r="AX285" s="113"/>
      <c r="AY285" s="113"/>
      <c r="AZ285" s="144" t="str">
        <f t="shared" si="18"/>
        <v/>
      </c>
      <c r="BA285" s="80"/>
      <c r="BB285" s="140"/>
      <c r="BC285" s="145" t="str">
        <f t="shared" si="19"/>
        <v/>
      </c>
      <c r="BD285" s="113"/>
      <c r="BE285" s="114"/>
      <c r="BF285" s="146" t="str">
        <f t="shared" si="20"/>
        <v/>
      </c>
      <c r="BG285" s="147" t="s">
        <v>84</v>
      </c>
      <c r="BH285" s="148"/>
      <c r="BI285" s="156"/>
      <c r="BJ285" s="150">
        <f>'Degrémont sortie'!BI285</f>
        <v>0</v>
      </c>
      <c r="BK285" s="151">
        <f>'Degrémont sortie'!BJ285</f>
        <v>0</v>
      </c>
    </row>
    <row r="286" spans="1:63" ht="15.75" customHeight="1" outlineLevel="1">
      <c r="A286" s="152">
        <f t="shared" si="13"/>
        <v>43738</v>
      </c>
      <c r="B286" s="122">
        <v>880</v>
      </c>
      <c r="C286" s="123">
        <v>7.46</v>
      </c>
      <c r="D286" s="124">
        <v>87.8</v>
      </c>
      <c r="E286" s="125">
        <v>173.7</v>
      </c>
      <c r="F286" s="126">
        <v>34</v>
      </c>
      <c r="G286" s="127">
        <f t="shared" si="0"/>
        <v>2526.4705882352937</v>
      </c>
      <c r="H286" s="128">
        <f t="shared" si="1"/>
        <v>2223.2941176470586</v>
      </c>
      <c r="I286" s="129">
        <v>1</v>
      </c>
      <c r="J286" s="126">
        <v>2846</v>
      </c>
      <c r="K286" s="79">
        <f t="shared" si="2"/>
        <v>2846</v>
      </c>
      <c r="L286" s="128">
        <f t="shared" si="3"/>
        <v>2504.48</v>
      </c>
      <c r="M286" s="130">
        <v>1</v>
      </c>
      <c r="N286" s="126">
        <v>275</v>
      </c>
      <c r="O286" s="80">
        <f t="shared" si="4"/>
        <v>275</v>
      </c>
      <c r="P286" s="81">
        <f t="shared" si="5"/>
        <v>242</v>
      </c>
      <c r="Q286" s="129">
        <v>20</v>
      </c>
      <c r="R286" s="131">
        <v>6.13</v>
      </c>
      <c r="S286" s="127">
        <f t="shared" si="6"/>
        <v>122.6</v>
      </c>
      <c r="T286" s="128">
        <f t="shared" si="7"/>
        <v>107.88800000000001</v>
      </c>
      <c r="U286" s="113"/>
      <c r="V286" s="81">
        <f t="shared" si="14"/>
        <v>0</v>
      </c>
      <c r="W286" s="132"/>
      <c r="X286" s="153"/>
      <c r="Y286" s="94"/>
      <c r="Z286" s="132"/>
      <c r="AA286" s="153"/>
      <c r="AB286" s="94"/>
      <c r="AC286" s="133"/>
      <c r="AD286" s="93" t="str">
        <f t="shared" si="8"/>
        <v/>
      </c>
      <c r="AE286" s="94" t="e">
        <f t="shared" si="9"/>
        <v>#VALUE!</v>
      </c>
      <c r="AF286" s="134" t="s">
        <v>85</v>
      </c>
      <c r="AG286" s="135">
        <v>0.01</v>
      </c>
      <c r="AH286" s="136">
        <f t="shared" si="10"/>
        <v>4.4000000000000003E-3</v>
      </c>
      <c r="AI286" s="80"/>
      <c r="AJ286" s="154"/>
      <c r="AK286" s="100" t="str">
        <f t="shared" si="21"/>
        <v/>
      </c>
      <c r="AL286" s="138"/>
      <c r="AM286" s="113"/>
      <c r="AN286" s="103" t="str">
        <f t="shared" si="12"/>
        <v/>
      </c>
      <c r="AO286" s="139"/>
      <c r="AP286" s="140"/>
      <c r="AQ286" s="141" t="str">
        <f t="shared" si="15"/>
        <v/>
      </c>
      <c r="AR286" s="142"/>
      <c r="AS286" s="140"/>
      <c r="AT286" s="143" t="str">
        <f t="shared" si="16"/>
        <v/>
      </c>
      <c r="AU286" s="139"/>
      <c r="AV286" s="113"/>
      <c r="AW286" s="107" t="str">
        <f t="shared" si="17"/>
        <v/>
      </c>
      <c r="AX286" s="113"/>
      <c r="AY286" s="113"/>
      <c r="AZ286" s="144" t="str">
        <f t="shared" si="18"/>
        <v/>
      </c>
      <c r="BA286" s="80"/>
      <c r="BB286" s="140"/>
      <c r="BC286" s="145" t="str">
        <f t="shared" si="19"/>
        <v/>
      </c>
      <c r="BD286" s="113"/>
      <c r="BE286" s="114"/>
      <c r="BF286" s="146" t="str">
        <f t="shared" si="20"/>
        <v/>
      </c>
      <c r="BG286" s="147" t="s">
        <v>84</v>
      </c>
      <c r="BH286" s="148"/>
      <c r="BI286" s="156"/>
      <c r="BJ286" s="150">
        <f>'Degrémont sortie'!BI286</f>
        <v>0</v>
      </c>
      <c r="BK286" s="151">
        <f>'Degrémont sortie'!BJ286</f>
        <v>0</v>
      </c>
    </row>
    <row r="287" spans="1:63" ht="15.75" customHeight="1" outlineLevel="1">
      <c r="A287" s="121">
        <f t="shared" si="13"/>
        <v>43739</v>
      </c>
      <c r="B287" s="122">
        <v>1172</v>
      </c>
      <c r="C287" s="123">
        <v>8.32</v>
      </c>
      <c r="D287" s="124">
        <v>88.2</v>
      </c>
      <c r="E287" s="125">
        <v>139.80000000000001</v>
      </c>
      <c r="F287" s="126">
        <v>30</v>
      </c>
      <c r="G287" s="127">
        <f t="shared" si="0"/>
        <v>1720.0000000000002</v>
      </c>
      <c r="H287" s="128">
        <f t="shared" si="1"/>
        <v>2015.8400000000001</v>
      </c>
      <c r="I287" s="129">
        <v>1</v>
      </c>
      <c r="J287" s="126">
        <v>1850</v>
      </c>
      <c r="K287" s="79">
        <f t="shared" si="2"/>
        <v>1850</v>
      </c>
      <c r="L287" s="128">
        <f t="shared" si="3"/>
        <v>2168.1999999999998</v>
      </c>
      <c r="M287" s="130">
        <v>1</v>
      </c>
      <c r="N287" s="126">
        <v>241</v>
      </c>
      <c r="O287" s="80">
        <f t="shared" si="4"/>
        <v>241</v>
      </c>
      <c r="P287" s="81">
        <f t="shared" si="5"/>
        <v>282.452</v>
      </c>
      <c r="Q287" s="129">
        <v>20</v>
      </c>
      <c r="R287" s="131">
        <v>4.76</v>
      </c>
      <c r="S287" s="127">
        <f t="shared" si="6"/>
        <v>95.199999999999989</v>
      </c>
      <c r="T287" s="128">
        <f t="shared" si="7"/>
        <v>111.57439999999998</v>
      </c>
      <c r="U287" s="131">
        <v>45</v>
      </c>
      <c r="V287" s="81">
        <f t="shared" si="14"/>
        <v>52.74</v>
      </c>
      <c r="W287" s="132"/>
      <c r="X287" s="153"/>
      <c r="Y287" s="94"/>
      <c r="Z287" s="132"/>
      <c r="AA287" s="153"/>
      <c r="AB287" s="94"/>
      <c r="AC287" s="133"/>
      <c r="AD287" s="93" t="str">
        <f t="shared" si="8"/>
        <v/>
      </c>
      <c r="AE287" s="94" t="e">
        <f t="shared" si="9"/>
        <v>#VALUE!</v>
      </c>
      <c r="AF287" s="134" t="s">
        <v>85</v>
      </c>
      <c r="AG287" s="135">
        <v>0.02</v>
      </c>
      <c r="AH287" s="136">
        <f t="shared" si="10"/>
        <v>1.1720000000000001E-2</v>
      </c>
      <c r="AI287" s="80"/>
      <c r="AJ287" s="154"/>
      <c r="AK287" s="100" t="str">
        <f t="shared" si="21"/>
        <v/>
      </c>
      <c r="AL287" s="138"/>
      <c r="AM287" s="131">
        <v>33</v>
      </c>
      <c r="AN287" s="103">
        <f t="shared" si="12"/>
        <v>320.00099999999998</v>
      </c>
      <c r="AO287" s="139"/>
      <c r="AP287" s="155">
        <v>94.62</v>
      </c>
      <c r="AQ287" s="141">
        <f t="shared" si="15"/>
        <v>917.53013999999996</v>
      </c>
      <c r="AR287" s="142"/>
      <c r="AS287" s="155">
        <v>0.76</v>
      </c>
      <c r="AT287" s="143">
        <f t="shared" si="16"/>
        <v>7.3697199999999992</v>
      </c>
      <c r="AU287" s="139"/>
      <c r="AV287" s="131">
        <v>14.62</v>
      </c>
      <c r="AW287" s="107">
        <f t="shared" si="17"/>
        <v>141.77013999999997</v>
      </c>
      <c r="AX287" s="113"/>
      <c r="AY287" s="131">
        <v>155.27000000000001</v>
      </c>
      <c r="AZ287" s="144">
        <f t="shared" si="18"/>
        <v>1505.65319</v>
      </c>
      <c r="BA287" s="80"/>
      <c r="BB287" s="155">
        <v>0.3</v>
      </c>
      <c r="BC287" s="145">
        <f t="shared" si="19"/>
        <v>2.9090999999999996</v>
      </c>
      <c r="BD287" s="131" t="s">
        <v>85</v>
      </c>
      <c r="BE287" s="158">
        <v>0.13</v>
      </c>
      <c r="BF287" s="146">
        <f t="shared" si="20"/>
        <v>0.630305</v>
      </c>
      <c r="BG287" s="147" t="s">
        <v>84</v>
      </c>
      <c r="BH287" s="148"/>
      <c r="BI287" s="156"/>
      <c r="BJ287" s="150">
        <f>'Degrémont sortie'!BI287</f>
        <v>0</v>
      </c>
      <c r="BK287" s="151">
        <f>'Degrémont sortie'!BJ287</f>
        <v>0</v>
      </c>
    </row>
    <row r="288" spans="1:63" ht="15.75" customHeight="1" outlineLevel="1">
      <c r="A288" s="152">
        <f t="shared" si="13"/>
        <v>43740</v>
      </c>
      <c r="B288" s="122">
        <v>1267</v>
      </c>
      <c r="C288" s="123">
        <v>8.1</v>
      </c>
      <c r="D288" s="124">
        <v>87.4</v>
      </c>
      <c r="E288" s="125">
        <v>112.6</v>
      </c>
      <c r="F288" s="126">
        <v>30</v>
      </c>
      <c r="G288" s="127">
        <f t="shared" si="0"/>
        <v>839.99999999999966</v>
      </c>
      <c r="H288" s="128">
        <f t="shared" si="1"/>
        <v>1064.2799999999995</v>
      </c>
      <c r="I288" s="129">
        <v>1</v>
      </c>
      <c r="J288" s="126">
        <v>1259</v>
      </c>
      <c r="K288" s="79">
        <f t="shared" si="2"/>
        <v>1259</v>
      </c>
      <c r="L288" s="128">
        <f t="shared" si="3"/>
        <v>1595.153</v>
      </c>
      <c r="M288" s="130">
        <v>1</v>
      </c>
      <c r="N288" s="126">
        <v>361</v>
      </c>
      <c r="O288" s="80">
        <f t="shared" si="4"/>
        <v>361</v>
      </c>
      <c r="P288" s="81">
        <f t="shared" si="5"/>
        <v>457.387</v>
      </c>
      <c r="Q288" s="129">
        <v>20</v>
      </c>
      <c r="R288" s="131">
        <v>2.5</v>
      </c>
      <c r="S288" s="127">
        <f t="shared" si="6"/>
        <v>50</v>
      </c>
      <c r="T288" s="128">
        <f t="shared" si="7"/>
        <v>63.35</v>
      </c>
      <c r="U288" s="113"/>
      <c r="V288" s="81">
        <f t="shared" si="14"/>
        <v>0</v>
      </c>
      <c r="W288" s="132"/>
      <c r="X288" s="153"/>
      <c r="Y288" s="94"/>
      <c r="Z288" s="132"/>
      <c r="AA288" s="153"/>
      <c r="AB288" s="94"/>
      <c r="AC288" s="133"/>
      <c r="AD288" s="93" t="str">
        <f t="shared" si="8"/>
        <v/>
      </c>
      <c r="AE288" s="94" t="e">
        <f t="shared" si="9"/>
        <v>#VALUE!</v>
      </c>
      <c r="AF288" s="134" t="s">
        <v>85</v>
      </c>
      <c r="AG288" s="135">
        <v>0.01</v>
      </c>
      <c r="AH288" s="136">
        <f t="shared" si="10"/>
        <v>6.3350000000000004E-3</v>
      </c>
      <c r="AI288" s="80"/>
      <c r="AJ288" s="154"/>
      <c r="AK288" s="100" t="str">
        <f t="shared" si="21"/>
        <v/>
      </c>
      <c r="AL288" s="138"/>
      <c r="AM288" s="113"/>
      <c r="AN288" s="103" t="str">
        <f t="shared" si="12"/>
        <v/>
      </c>
      <c r="AO288" s="139"/>
      <c r="AP288" s="140"/>
      <c r="AQ288" s="141" t="str">
        <f t="shared" si="15"/>
        <v/>
      </c>
      <c r="AR288" s="142"/>
      <c r="AS288" s="140"/>
      <c r="AT288" s="143" t="str">
        <f t="shared" si="16"/>
        <v/>
      </c>
      <c r="AU288" s="139"/>
      <c r="AV288" s="113"/>
      <c r="AW288" s="107" t="str">
        <f t="shared" si="17"/>
        <v/>
      </c>
      <c r="AX288" s="113"/>
      <c r="AY288" s="113"/>
      <c r="AZ288" s="144" t="str">
        <f t="shared" si="18"/>
        <v/>
      </c>
      <c r="BA288" s="80"/>
      <c r="BB288" s="140"/>
      <c r="BC288" s="145" t="str">
        <f t="shared" si="19"/>
        <v/>
      </c>
      <c r="BD288" s="113"/>
      <c r="BE288" s="114"/>
      <c r="BF288" s="146" t="str">
        <f t="shared" si="20"/>
        <v/>
      </c>
      <c r="BG288" s="147" t="s">
        <v>84</v>
      </c>
      <c r="BH288" s="148"/>
      <c r="BI288" s="156"/>
      <c r="BJ288" s="150">
        <f>'Degrémont sortie'!BI288</f>
        <v>0</v>
      </c>
      <c r="BK288" s="151">
        <f>'Degrémont sortie'!BJ288</f>
        <v>0</v>
      </c>
    </row>
    <row r="289" spans="1:63" ht="15.75" customHeight="1" outlineLevel="1">
      <c r="A289" s="121">
        <f t="shared" si="13"/>
        <v>43741</v>
      </c>
      <c r="B289" s="122">
        <v>1196</v>
      </c>
      <c r="C289" s="123">
        <v>7.64</v>
      </c>
      <c r="D289" s="124">
        <v>88.5</v>
      </c>
      <c r="E289" s="125">
        <v>119.5</v>
      </c>
      <c r="F289" s="126">
        <v>40</v>
      </c>
      <c r="G289" s="127">
        <f t="shared" si="0"/>
        <v>775</v>
      </c>
      <c r="H289" s="128">
        <f t="shared" si="1"/>
        <v>926.9</v>
      </c>
      <c r="I289" s="129">
        <v>1</v>
      </c>
      <c r="J289" s="126">
        <v>1495</v>
      </c>
      <c r="K289" s="79">
        <f t="shared" si="2"/>
        <v>1495</v>
      </c>
      <c r="L289" s="128">
        <f t="shared" si="3"/>
        <v>1788.02</v>
      </c>
      <c r="M289" s="130">
        <v>1</v>
      </c>
      <c r="N289" s="126">
        <v>586</v>
      </c>
      <c r="O289" s="80">
        <f t="shared" si="4"/>
        <v>586</v>
      </c>
      <c r="P289" s="81">
        <f t="shared" si="5"/>
        <v>700.85599999999999</v>
      </c>
      <c r="Q289" s="129">
        <v>20</v>
      </c>
      <c r="R289" s="131">
        <v>5.92</v>
      </c>
      <c r="S289" s="127">
        <f t="shared" si="6"/>
        <v>118.4</v>
      </c>
      <c r="T289" s="128">
        <f t="shared" si="7"/>
        <v>141.60640000000001</v>
      </c>
      <c r="U289" s="113"/>
      <c r="V289" s="81">
        <f t="shared" si="14"/>
        <v>0</v>
      </c>
      <c r="W289" s="132"/>
      <c r="X289" s="153"/>
      <c r="Y289" s="94"/>
      <c r="Z289" s="132"/>
      <c r="AA289" s="153"/>
      <c r="AB289" s="94"/>
      <c r="AC289" s="133"/>
      <c r="AD289" s="93" t="str">
        <f t="shared" si="8"/>
        <v/>
      </c>
      <c r="AE289" s="94" t="e">
        <f t="shared" si="9"/>
        <v>#VALUE!</v>
      </c>
      <c r="AF289" s="134" t="s">
        <v>85</v>
      </c>
      <c r="AG289" s="135">
        <v>0.01</v>
      </c>
      <c r="AH289" s="136">
        <f t="shared" si="10"/>
        <v>5.9800000000000001E-3</v>
      </c>
      <c r="AI289" s="80"/>
      <c r="AJ289" s="154"/>
      <c r="AK289" s="100" t="str">
        <f t="shared" si="21"/>
        <v/>
      </c>
      <c r="AL289" s="138"/>
      <c r="AM289" s="113"/>
      <c r="AN289" s="103" t="str">
        <f t="shared" si="12"/>
        <v/>
      </c>
      <c r="AO289" s="139"/>
      <c r="AP289" s="140"/>
      <c r="AQ289" s="141" t="str">
        <f t="shared" si="15"/>
        <v/>
      </c>
      <c r="AR289" s="142"/>
      <c r="AS289" s="140"/>
      <c r="AT289" s="143" t="str">
        <f t="shared" si="16"/>
        <v/>
      </c>
      <c r="AU289" s="139"/>
      <c r="AV289" s="113"/>
      <c r="AW289" s="107" t="str">
        <f t="shared" si="17"/>
        <v/>
      </c>
      <c r="AX289" s="113"/>
      <c r="AY289" s="113"/>
      <c r="AZ289" s="144" t="str">
        <f t="shared" si="18"/>
        <v/>
      </c>
      <c r="BA289" s="80"/>
      <c r="BB289" s="140"/>
      <c r="BC289" s="145" t="str">
        <f t="shared" si="19"/>
        <v/>
      </c>
      <c r="BD289" s="113"/>
      <c r="BE289" s="114"/>
      <c r="BF289" s="146" t="str">
        <f t="shared" si="20"/>
        <v/>
      </c>
      <c r="BG289" s="147" t="s">
        <v>84</v>
      </c>
      <c r="BH289" s="148"/>
      <c r="BI289" s="156"/>
      <c r="BJ289" s="150">
        <f>'Degrémont sortie'!BI289</f>
        <v>0</v>
      </c>
      <c r="BK289" s="151">
        <f>'Degrémont sortie'!BJ289</f>
        <v>0</v>
      </c>
    </row>
    <row r="290" spans="1:63" ht="14.25" outlineLevel="1">
      <c r="A290" s="152">
        <f t="shared" si="13"/>
        <v>43742</v>
      </c>
      <c r="B290" s="183">
        <v>1103</v>
      </c>
      <c r="C290" s="184">
        <v>7.7</v>
      </c>
      <c r="D290" s="185">
        <v>87.7</v>
      </c>
      <c r="E290" s="186">
        <v>259.8</v>
      </c>
      <c r="F290" s="187">
        <v>40</v>
      </c>
      <c r="G290" s="127">
        <f t="shared" si="0"/>
        <v>4302.5000000000009</v>
      </c>
      <c r="H290" s="128">
        <f t="shared" si="1"/>
        <v>4745.6575000000012</v>
      </c>
      <c r="I290" s="188">
        <v>1</v>
      </c>
      <c r="J290" s="187">
        <v>5184</v>
      </c>
      <c r="K290" s="79">
        <f t="shared" si="2"/>
        <v>5184</v>
      </c>
      <c r="L290" s="128">
        <f t="shared" si="3"/>
        <v>5717.9520000000002</v>
      </c>
      <c r="M290" s="189">
        <v>1</v>
      </c>
      <c r="N290" s="187">
        <v>1160</v>
      </c>
      <c r="O290" s="80">
        <f t="shared" si="4"/>
        <v>1160</v>
      </c>
      <c r="P290" s="81">
        <f t="shared" si="5"/>
        <v>1279.48</v>
      </c>
      <c r="Q290" s="188">
        <v>20</v>
      </c>
      <c r="R290" s="190">
        <v>7.99</v>
      </c>
      <c r="S290" s="127">
        <f t="shared" si="6"/>
        <v>159.80000000000001</v>
      </c>
      <c r="T290" s="128">
        <f t="shared" si="7"/>
        <v>176.25940000000003</v>
      </c>
      <c r="U290" s="191"/>
      <c r="V290" s="81">
        <f t="shared" si="14"/>
        <v>0</v>
      </c>
      <c r="W290" s="132"/>
      <c r="X290" s="153"/>
      <c r="Y290" s="94"/>
      <c r="Z290" s="132"/>
      <c r="AA290" s="153"/>
      <c r="AB290" s="94"/>
      <c r="AC290" s="133"/>
      <c r="AD290" s="93" t="str">
        <f t="shared" si="8"/>
        <v/>
      </c>
      <c r="AE290" s="94" t="e">
        <f t="shared" si="9"/>
        <v>#VALUE!</v>
      </c>
      <c r="AF290" s="192" t="s">
        <v>85</v>
      </c>
      <c r="AG290" s="193">
        <v>0.01</v>
      </c>
      <c r="AH290" s="136">
        <f t="shared" si="10"/>
        <v>5.5149999999999999E-3</v>
      </c>
      <c r="AI290" s="80"/>
      <c r="AJ290" s="154"/>
      <c r="AK290" s="100" t="str">
        <f t="shared" si="21"/>
        <v/>
      </c>
      <c r="AL290" s="194"/>
      <c r="AM290" s="191"/>
      <c r="AN290" s="103" t="str">
        <f t="shared" si="12"/>
        <v/>
      </c>
      <c r="AO290" s="195"/>
      <c r="AP290" s="196"/>
      <c r="AQ290" s="141" t="str">
        <f t="shared" si="15"/>
        <v/>
      </c>
      <c r="AR290" s="197"/>
      <c r="AS290" s="196"/>
      <c r="AT290" s="143" t="str">
        <f t="shared" si="16"/>
        <v/>
      </c>
      <c r="AU290" s="195"/>
      <c r="AV290" s="191"/>
      <c r="AW290" s="107" t="str">
        <f t="shared" si="17"/>
        <v/>
      </c>
      <c r="AX290" s="191"/>
      <c r="AY290" s="191"/>
      <c r="AZ290" s="144" t="str">
        <f t="shared" si="18"/>
        <v/>
      </c>
      <c r="BA290" s="198"/>
      <c r="BB290" s="196"/>
      <c r="BC290" s="145" t="str">
        <f t="shared" si="19"/>
        <v/>
      </c>
      <c r="BD290" s="191"/>
      <c r="BE290" s="199"/>
      <c r="BF290" s="146" t="str">
        <f t="shared" si="20"/>
        <v/>
      </c>
      <c r="BG290" s="147" t="s">
        <v>84</v>
      </c>
      <c r="BH290" s="200"/>
      <c r="BI290" s="391"/>
      <c r="BJ290" s="150">
        <f>'Degrémont sortie'!BI290</f>
        <v>0</v>
      </c>
      <c r="BK290" s="151">
        <f>'Degrémont sortie'!BJ290</f>
        <v>0</v>
      </c>
    </row>
    <row r="291" spans="1:63" ht="14.25" outlineLevel="1">
      <c r="A291" s="121">
        <f t="shared" si="13"/>
        <v>43743</v>
      </c>
      <c r="B291" s="122">
        <v>1647</v>
      </c>
      <c r="C291" s="123">
        <v>8.08</v>
      </c>
      <c r="D291" s="124">
        <v>88.8</v>
      </c>
      <c r="E291" s="125">
        <v>316.10000000000002</v>
      </c>
      <c r="F291" s="126">
        <v>30</v>
      </c>
      <c r="G291" s="127">
        <f t="shared" si="0"/>
        <v>7576.666666666667</v>
      </c>
      <c r="H291" s="128">
        <f t="shared" si="1"/>
        <v>12478.77</v>
      </c>
      <c r="I291" s="129">
        <v>1</v>
      </c>
      <c r="J291" s="126">
        <v>6659</v>
      </c>
      <c r="K291" s="79">
        <f t="shared" si="2"/>
        <v>6659</v>
      </c>
      <c r="L291" s="128">
        <f t="shared" si="3"/>
        <v>10967.373</v>
      </c>
      <c r="M291" s="130">
        <v>1</v>
      </c>
      <c r="N291" s="126">
        <v>520</v>
      </c>
      <c r="O291" s="80">
        <f t="shared" si="4"/>
        <v>520</v>
      </c>
      <c r="P291" s="81">
        <f t="shared" si="5"/>
        <v>856.44</v>
      </c>
      <c r="Q291" s="129">
        <v>20</v>
      </c>
      <c r="R291" s="131">
        <v>18.2</v>
      </c>
      <c r="S291" s="127">
        <f t="shared" si="6"/>
        <v>364</v>
      </c>
      <c r="T291" s="128">
        <f t="shared" si="7"/>
        <v>599.50800000000004</v>
      </c>
      <c r="U291" s="113"/>
      <c r="V291" s="81">
        <f t="shared" si="14"/>
        <v>0</v>
      </c>
      <c r="W291" s="132"/>
      <c r="X291" s="153"/>
      <c r="Y291" s="94"/>
      <c r="Z291" s="132"/>
      <c r="AA291" s="153"/>
      <c r="AB291" s="94"/>
      <c r="AC291" s="133"/>
      <c r="AD291" s="93" t="str">
        <f t="shared" si="8"/>
        <v/>
      </c>
      <c r="AE291" s="94" t="e">
        <f t="shared" si="9"/>
        <v>#VALUE!</v>
      </c>
      <c r="AF291" s="134" t="s">
        <v>85</v>
      </c>
      <c r="AG291" s="135">
        <v>0.01</v>
      </c>
      <c r="AH291" s="136">
        <f t="shared" si="10"/>
        <v>8.2349999999999993E-3</v>
      </c>
      <c r="AI291" s="80"/>
      <c r="AJ291" s="154"/>
      <c r="AK291" s="100" t="str">
        <f t="shared" si="21"/>
        <v/>
      </c>
      <c r="AL291" s="138"/>
      <c r="AM291" s="113"/>
      <c r="AN291" s="103" t="str">
        <f t="shared" si="12"/>
        <v/>
      </c>
      <c r="AO291" s="139"/>
      <c r="AP291" s="140"/>
      <c r="AQ291" s="141" t="str">
        <f t="shared" si="15"/>
        <v/>
      </c>
      <c r="AR291" s="142"/>
      <c r="AS291" s="140"/>
      <c r="AT291" s="143" t="str">
        <f t="shared" si="16"/>
        <v/>
      </c>
      <c r="AU291" s="139"/>
      <c r="AV291" s="113"/>
      <c r="AW291" s="107" t="str">
        <f t="shared" si="17"/>
        <v/>
      </c>
      <c r="AX291" s="113"/>
      <c r="AY291" s="113"/>
      <c r="AZ291" s="144" t="str">
        <f t="shared" si="18"/>
        <v/>
      </c>
      <c r="BA291" s="80"/>
      <c r="BB291" s="140"/>
      <c r="BC291" s="145" t="str">
        <f t="shared" si="19"/>
        <v/>
      </c>
      <c r="BD291" s="113"/>
      <c r="BE291" s="114"/>
      <c r="BF291" s="146" t="str">
        <f t="shared" si="20"/>
        <v/>
      </c>
      <c r="BG291" s="147" t="s">
        <v>84</v>
      </c>
      <c r="BH291" s="148"/>
      <c r="BI291" s="156"/>
      <c r="BJ291" s="150">
        <f>'Degrémont sortie'!BI291</f>
        <v>0</v>
      </c>
      <c r="BK291" s="151">
        <f>'Degrémont sortie'!BJ291</f>
        <v>0</v>
      </c>
    </row>
    <row r="292" spans="1:63" ht="14.25" outlineLevel="1">
      <c r="A292" s="152">
        <f t="shared" si="13"/>
        <v>43744</v>
      </c>
      <c r="B292" s="207"/>
      <c r="C292" s="208"/>
      <c r="D292" s="210"/>
      <c r="E292" s="211"/>
      <c r="F292" s="80"/>
      <c r="G292" s="127">
        <f t="shared" si="0"/>
        <v>0</v>
      </c>
      <c r="H292" s="128">
        <f t="shared" si="1"/>
        <v>0</v>
      </c>
      <c r="I292" s="129">
        <v>1</v>
      </c>
      <c r="J292" s="80"/>
      <c r="K292" s="79">
        <f t="shared" si="2"/>
        <v>0</v>
      </c>
      <c r="L292" s="128">
        <f t="shared" si="3"/>
        <v>0</v>
      </c>
      <c r="M292" s="130">
        <v>1</v>
      </c>
      <c r="N292" s="80"/>
      <c r="O292" s="80" t="str">
        <f t="shared" si="4"/>
        <v/>
      </c>
      <c r="P292" s="81">
        <f t="shared" si="5"/>
        <v>0</v>
      </c>
      <c r="Q292" s="213"/>
      <c r="R292" s="113"/>
      <c r="S292" s="127" t="str">
        <f t="shared" si="6"/>
        <v/>
      </c>
      <c r="T292" s="128">
        <f t="shared" si="7"/>
        <v>0</v>
      </c>
      <c r="U292" s="113"/>
      <c r="V292" s="81">
        <f t="shared" si="14"/>
        <v>0</v>
      </c>
      <c r="W292" s="132"/>
      <c r="X292" s="153"/>
      <c r="Y292" s="94"/>
      <c r="Z292" s="132"/>
      <c r="AA292" s="153"/>
      <c r="AB292" s="94"/>
      <c r="AC292" s="133"/>
      <c r="AD292" s="93" t="str">
        <f t="shared" si="8"/>
        <v/>
      </c>
      <c r="AE292" s="94" t="str">
        <f t="shared" si="9"/>
        <v/>
      </c>
      <c r="AF292" s="139"/>
      <c r="AG292" s="215"/>
      <c r="AH292" s="136" t="str">
        <f t="shared" si="10"/>
        <v/>
      </c>
      <c r="AI292" s="80"/>
      <c r="AJ292" s="154"/>
      <c r="AK292" s="100" t="str">
        <f t="shared" si="21"/>
        <v/>
      </c>
      <c r="AL292" s="138"/>
      <c r="AM292" s="113"/>
      <c r="AN292" s="103" t="str">
        <f t="shared" si="12"/>
        <v/>
      </c>
      <c r="AO292" s="139"/>
      <c r="AP292" s="140"/>
      <c r="AQ292" s="141" t="str">
        <f t="shared" si="15"/>
        <v/>
      </c>
      <c r="AR292" s="142"/>
      <c r="AS292" s="140"/>
      <c r="AT292" s="143" t="str">
        <f t="shared" si="16"/>
        <v/>
      </c>
      <c r="AU292" s="139"/>
      <c r="AV292" s="113"/>
      <c r="AW292" s="107" t="str">
        <f t="shared" si="17"/>
        <v/>
      </c>
      <c r="AX292" s="113"/>
      <c r="AY292" s="113"/>
      <c r="AZ292" s="144" t="str">
        <f t="shared" si="18"/>
        <v/>
      </c>
      <c r="BA292" s="80"/>
      <c r="BB292" s="140"/>
      <c r="BC292" s="145" t="str">
        <f t="shared" si="19"/>
        <v/>
      </c>
      <c r="BD292" s="113"/>
      <c r="BE292" s="114"/>
      <c r="BF292" s="146" t="str">
        <f t="shared" si="20"/>
        <v/>
      </c>
      <c r="BG292" s="147" t="s">
        <v>84</v>
      </c>
      <c r="BH292" s="148"/>
      <c r="BI292" s="156"/>
      <c r="BJ292" s="150">
        <f>'Degrémont sortie'!BI292</f>
        <v>0</v>
      </c>
      <c r="BK292" s="151">
        <f>'Degrémont sortie'!BJ292</f>
        <v>0</v>
      </c>
    </row>
    <row r="293" spans="1:63" ht="14.25" outlineLevel="1">
      <c r="A293" s="121">
        <f t="shared" si="13"/>
        <v>43745</v>
      </c>
      <c r="B293" s="122">
        <v>1152</v>
      </c>
      <c r="C293" s="123">
        <v>7.9</v>
      </c>
      <c r="D293" s="124">
        <v>88.6</v>
      </c>
      <c r="E293" s="125">
        <v>246.5</v>
      </c>
      <c r="F293" s="126">
        <v>35</v>
      </c>
      <c r="G293" s="127">
        <f t="shared" si="0"/>
        <v>4511.4285714285716</v>
      </c>
      <c r="H293" s="128">
        <f t="shared" si="1"/>
        <v>5197.1657142857148</v>
      </c>
      <c r="I293" s="129">
        <v>1</v>
      </c>
      <c r="J293" s="126">
        <v>4455</v>
      </c>
      <c r="K293" s="79">
        <f t="shared" si="2"/>
        <v>4455</v>
      </c>
      <c r="L293" s="128">
        <f t="shared" si="3"/>
        <v>5132.16</v>
      </c>
      <c r="M293" s="130">
        <v>1</v>
      </c>
      <c r="N293" s="126">
        <v>541</v>
      </c>
      <c r="O293" s="80">
        <f t="shared" si="4"/>
        <v>541</v>
      </c>
      <c r="P293" s="81">
        <f t="shared" si="5"/>
        <v>623.23199999999997</v>
      </c>
      <c r="Q293" s="129">
        <v>20</v>
      </c>
      <c r="R293" s="131">
        <v>11</v>
      </c>
      <c r="S293" s="127">
        <f t="shared" si="6"/>
        <v>220</v>
      </c>
      <c r="T293" s="128">
        <f t="shared" si="7"/>
        <v>253.44</v>
      </c>
      <c r="U293" s="113"/>
      <c r="V293" s="81">
        <f t="shared" si="14"/>
        <v>0</v>
      </c>
      <c r="W293" s="132"/>
      <c r="X293" s="153"/>
      <c r="Y293" s="94"/>
      <c r="Z293" s="132"/>
      <c r="AA293" s="153"/>
      <c r="AB293" s="94"/>
      <c r="AC293" s="133"/>
      <c r="AD293" s="93" t="str">
        <f t="shared" si="8"/>
        <v/>
      </c>
      <c r="AE293" s="94" t="e">
        <f t="shared" si="9"/>
        <v>#VALUE!</v>
      </c>
      <c r="AF293" s="134" t="s">
        <v>85</v>
      </c>
      <c r="AG293" s="135">
        <v>0.01</v>
      </c>
      <c r="AH293" s="136">
        <f t="shared" si="10"/>
        <v>5.7599999999999995E-3</v>
      </c>
      <c r="AI293" s="80"/>
      <c r="AJ293" s="154"/>
      <c r="AK293" s="100" t="str">
        <f t="shared" si="21"/>
        <v/>
      </c>
      <c r="AL293" s="138"/>
      <c r="AM293" s="113"/>
      <c r="AN293" s="103" t="str">
        <f t="shared" si="12"/>
        <v/>
      </c>
      <c r="AO293" s="139"/>
      <c r="AP293" s="140"/>
      <c r="AQ293" s="141" t="str">
        <f t="shared" si="15"/>
        <v/>
      </c>
      <c r="AR293" s="142"/>
      <c r="AS293" s="140"/>
      <c r="AT293" s="143" t="str">
        <f t="shared" si="16"/>
        <v/>
      </c>
      <c r="AU293" s="139"/>
      <c r="AV293" s="113"/>
      <c r="AW293" s="107" t="str">
        <f t="shared" si="17"/>
        <v/>
      </c>
      <c r="AX293" s="113"/>
      <c r="AY293" s="113"/>
      <c r="AZ293" s="144" t="str">
        <f t="shared" si="18"/>
        <v/>
      </c>
      <c r="BA293" s="80"/>
      <c r="BB293" s="140"/>
      <c r="BC293" s="145" t="str">
        <f t="shared" si="19"/>
        <v/>
      </c>
      <c r="BD293" s="113"/>
      <c r="BE293" s="114"/>
      <c r="BF293" s="146" t="str">
        <f t="shared" si="20"/>
        <v/>
      </c>
      <c r="BG293" s="147" t="s">
        <v>84</v>
      </c>
      <c r="BH293" s="148"/>
      <c r="BI293" s="156"/>
      <c r="BJ293" s="150">
        <f>'Degrémont sortie'!BI293</f>
        <v>0</v>
      </c>
      <c r="BK293" s="151">
        <f>'Degrémont sortie'!BJ293</f>
        <v>0</v>
      </c>
    </row>
    <row r="294" spans="1:63" ht="14.25" outlineLevel="1">
      <c r="A294" s="152">
        <f t="shared" si="13"/>
        <v>43746</v>
      </c>
      <c r="B294" s="122">
        <v>1153</v>
      </c>
      <c r="C294" s="123">
        <v>7.88</v>
      </c>
      <c r="D294" s="124">
        <v>88.5</v>
      </c>
      <c r="E294" s="125">
        <v>256.8</v>
      </c>
      <c r="F294" s="126">
        <v>40</v>
      </c>
      <c r="G294" s="127">
        <f t="shared" si="0"/>
        <v>4207.5</v>
      </c>
      <c r="H294" s="128">
        <f t="shared" si="1"/>
        <v>4851.2475000000004</v>
      </c>
      <c r="I294" s="129">
        <v>1</v>
      </c>
      <c r="J294" s="126">
        <v>5728</v>
      </c>
      <c r="K294" s="79">
        <f t="shared" si="2"/>
        <v>5728</v>
      </c>
      <c r="L294" s="128">
        <f t="shared" si="3"/>
        <v>6604.384</v>
      </c>
      <c r="M294" s="130">
        <v>1</v>
      </c>
      <c r="N294" s="126">
        <v>1194</v>
      </c>
      <c r="O294" s="80">
        <f t="shared" si="4"/>
        <v>1194</v>
      </c>
      <c r="P294" s="81">
        <f t="shared" si="5"/>
        <v>1376.682</v>
      </c>
      <c r="Q294" s="129">
        <v>10</v>
      </c>
      <c r="R294" s="131">
        <v>17.5</v>
      </c>
      <c r="S294" s="127">
        <f t="shared" si="6"/>
        <v>175</v>
      </c>
      <c r="T294" s="128">
        <f t="shared" si="7"/>
        <v>201.77500000000001</v>
      </c>
      <c r="U294" s="131">
        <v>52</v>
      </c>
      <c r="V294" s="81">
        <f t="shared" si="14"/>
        <v>59.956000000000003</v>
      </c>
      <c r="W294" s="132"/>
      <c r="X294" s="153"/>
      <c r="Y294" s="94"/>
      <c r="Z294" s="132"/>
      <c r="AA294" s="153"/>
      <c r="AB294" s="94"/>
      <c r="AC294" s="133"/>
      <c r="AD294" s="93" t="str">
        <f t="shared" si="8"/>
        <v/>
      </c>
      <c r="AE294" s="94" t="e">
        <f t="shared" si="9"/>
        <v>#VALUE!</v>
      </c>
      <c r="AF294" s="134" t="s">
        <v>85</v>
      </c>
      <c r="AG294" s="135">
        <v>0.01</v>
      </c>
      <c r="AH294" s="136">
        <f t="shared" si="10"/>
        <v>5.7649999999999993E-3</v>
      </c>
      <c r="AI294" s="80"/>
      <c r="AJ294" s="154"/>
      <c r="AK294" s="100" t="str">
        <f t="shared" si="21"/>
        <v/>
      </c>
      <c r="AL294" s="138"/>
      <c r="AM294" s="131">
        <v>41</v>
      </c>
      <c r="AN294" s="103">
        <f t="shared" si="12"/>
        <v>405.81799999999998</v>
      </c>
      <c r="AO294" s="139"/>
      <c r="AP294" s="155">
        <v>64.930000000000007</v>
      </c>
      <c r="AQ294" s="141">
        <f t="shared" si="15"/>
        <v>642.67714000000001</v>
      </c>
      <c r="AR294" s="393" t="s">
        <v>85</v>
      </c>
      <c r="AS294" s="155">
        <v>0.03</v>
      </c>
      <c r="AT294" s="143">
        <f t="shared" si="16"/>
        <v>0.14846999999999999</v>
      </c>
      <c r="AU294" s="139"/>
      <c r="AV294" s="131">
        <v>11.88</v>
      </c>
      <c r="AW294" s="107">
        <f t="shared" si="17"/>
        <v>117.58824</v>
      </c>
      <c r="AX294" s="113"/>
      <c r="AY294" s="131">
        <v>113.41</v>
      </c>
      <c r="AZ294" s="144">
        <f t="shared" si="18"/>
        <v>1122.5321799999999</v>
      </c>
      <c r="BA294" s="80"/>
      <c r="BB294" s="155">
        <v>0.25</v>
      </c>
      <c r="BC294" s="145">
        <f t="shared" si="19"/>
        <v>2.4744999999999999</v>
      </c>
      <c r="BD294" s="113"/>
      <c r="BE294" s="158">
        <v>0.19</v>
      </c>
      <c r="BF294" s="146">
        <f t="shared" si="20"/>
        <v>1.88062</v>
      </c>
      <c r="BG294" s="147" t="s">
        <v>84</v>
      </c>
      <c r="BH294" s="148"/>
      <c r="BI294" s="156"/>
      <c r="BJ294" s="150">
        <f>'Degrémont sortie'!BI294</f>
        <v>0</v>
      </c>
      <c r="BK294" s="151">
        <f>'Degrémont sortie'!BJ294</f>
        <v>0</v>
      </c>
    </row>
    <row r="295" spans="1:63" ht="14.25" outlineLevel="1">
      <c r="A295" s="121">
        <f t="shared" si="13"/>
        <v>43747</v>
      </c>
      <c r="B295" s="122">
        <v>1208</v>
      </c>
      <c r="C295" s="123">
        <v>7.99</v>
      </c>
      <c r="D295" s="124">
        <v>88.7</v>
      </c>
      <c r="E295" s="125">
        <v>187</v>
      </c>
      <c r="F295" s="126">
        <v>30</v>
      </c>
      <c r="G295" s="127">
        <f t="shared" si="0"/>
        <v>3276.6666666666665</v>
      </c>
      <c r="H295" s="128">
        <f t="shared" si="1"/>
        <v>3958.2133333333331</v>
      </c>
      <c r="I295" s="129">
        <v>1</v>
      </c>
      <c r="J295" s="126">
        <v>3643</v>
      </c>
      <c r="K295" s="79">
        <f t="shared" si="2"/>
        <v>3643</v>
      </c>
      <c r="L295" s="128">
        <f t="shared" si="3"/>
        <v>4400.7439999999997</v>
      </c>
      <c r="M295" s="130">
        <v>1</v>
      </c>
      <c r="N295" s="126">
        <v>542</v>
      </c>
      <c r="O295" s="80">
        <f t="shared" si="4"/>
        <v>542</v>
      </c>
      <c r="P295" s="81">
        <f t="shared" si="5"/>
        <v>654.73599999999999</v>
      </c>
      <c r="Q295" s="129">
        <v>10</v>
      </c>
      <c r="R295" s="131">
        <v>12.9</v>
      </c>
      <c r="S295" s="127">
        <f t="shared" si="6"/>
        <v>129</v>
      </c>
      <c r="T295" s="128">
        <f t="shared" si="7"/>
        <v>155.83199999999999</v>
      </c>
      <c r="U295" s="113"/>
      <c r="V295" s="81">
        <f t="shared" si="14"/>
        <v>0</v>
      </c>
      <c r="W295" s="132"/>
      <c r="X295" s="153"/>
      <c r="Y295" s="94"/>
      <c r="Z295" s="132"/>
      <c r="AA295" s="153"/>
      <c r="AB295" s="94"/>
      <c r="AC295" s="133"/>
      <c r="AD295" s="93" t="str">
        <f t="shared" si="8"/>
        <v/>
      </c>
      <c r="AE295" s="94" t="e">
        <f t="shared" si="9"/>
        <v>#VALUE!</v>
      </c>
      <c r="AF295" s="134" t="s">
        <v>85</v>
      </c>
      <c r="AG295" s="135">
        <v>0.01</v>
      </c>
      <c r="AH295" s="136">
        <f t="shared" si="10"/>
        <v>6.0400000000000002E-3</v>
      </c>
      <c r="AI295" s="80"/>
      <c r="AJ295" s="154"/>
      <c r="AK295" s="100" t="str">
        <f t="shared" si="21"/>
        <v/>
      </c>
      <c r="AL295" s="138"/>
      <c r="AM295" s="113"/>
      <c r="AN295" s="103" t="str">
        <f t="shared" si="12"/>
        <v/>
      </c>
      <c r="AO295" s="139"/>
      <c r="AP295" s="140"/>
      <c r="AQ295" s="141" t="str">
        <f t="shared" si="15"/>
        <v/>
      </c>
      <c r="AR295" s="142"/>
      <c r="AS295" s="140"/>
      <c r="AT295" s="143" t="str">
        <f t="shared" si="16"/>
        <v/>
      </c>
      <c r="AU295" s="139"/>
      <c r="AV295" s="113"/>
      <c r="AW295" s="107" t="str">
        <f t="shared" si="17"/>
        <v/>
      </c>
      <c r="AX295" s="113"/>
      <c r="AY295" s="113"/>
      <c r="AZ295" s="144" t="str">
        <f t="shared" si="18"/>
        <v/>
      </c>
      <c r="BA295" s="80"/>
      <c r="BB295" s="140"/>
      <c r="BC295" s="145" t="str">
        <f t="shared" si="19"/>
        <v/>
      </c>
      <c r="BD295" s="113"/>
      <c r="BE295" s="114"/>
      <c r="BF295" s="146" t="str">
        <f t="shared" si="20"/>
        <v/>
      </c>
      <c r="BG295" s="147" t="s">
        <v>84</v>
      </c>
      <c r="BH295" s="148"/>
      <c r="BI295" s="156"/>
      <c r="BJ295" s="150">
        <f>'Degrémont sortie'!BI295</f>
        <v>0</v>
      </c>
      <c r="BK295" s="151">
        <f>'Degrémont sortie'!BJ295</f>
        <v>0</v>
      </c>
    </row>
    <row r="296" spans="1:63" ht="38.25" outlineLevel="1">
      <c r="A296" s="395">
        <f t="shared" si="13"/>
        <v>43748</v>
      </c>
      <c r="B296" s="396">
        <v>990</v>
      </c>
      <c r="C296" s="397">
        <v>8.09</v>
      </c>
      <c r="D296" s="398">
        <v>88.4</v>
      </c>
      <c r="E296" s="399">
        <v>126</v>
      </c>
      <c r="F296" s="400">
        <v>30</v>
      </c>
      <c r="G296" s="401">
        <f t="shared" si="0"/>
        <v>1253.333333333333</v>
      </c>
      <c r="H296" s="402">
        <f t="shared" si="1"/>
        <v>1240.7999999999997</v>
      </c>
      <c r="I296" s="403">
        <v>1</v>
      </c>
      <c r="J296" s="400">
        <v>1549</v>
      </c>
      <c r="K296" s="404">
        <f t="shared" si="2"/>
        <v>1549</v>
      </c>
      <c r="L296" s="402">
        <f t="shared" si="3"/>
        <v>1533.51</v>
      </c>
      <c r="M296" s="405">
        <v>1</v>
      </c>
      <c r="N296" s="400">
        <v>241</v>
      </c>
      <c r="O296" s="406">
        <f t="shared" si="4"/>
        <v>241</v>
      </c>
      <c r="P296" s="133">
        <f t="shared" si="5"/>
        <v>238.59</v>
      </c>
      <c r="Q296" s="403">
        <v>10</v>
      </c>
      <c r="R296" s="407">
        <v>6.13</v>
      </c>
      <c r="S296" s="401">
        <f t="shared" si="6"/>
        <v>61.3</v>
      </c>
      <c r="T296" s="402">
        <f t="shared" si="7"/>
        <v>60.686999999999998</v>
      </c>
      <c r="U296" s="408"/>
      <c r="V296" s="133">
        <f t="shared" si="14"/>
        <v>0</v>
      </c>
      <c r="W296" s="132"/>
      <c r="X296" s="153"/>
      <c r="Y296" s="94"/>
      <c r="Z296" s="132"/>
      <c r="AA296" s="153"/>
      <c r="AB296" s="94"/>
      <c r="AC296" s="133"/>
      <c r="AD296" s="93" t="str">
        <f t="shared" si="8"/>
        <v/>
      </c>
      <c r="AE296" s="94" t="e">
        <f t="shared" si="9"/>
        <v>#VALUE!</v>
      </c>
      <c r="AF296" s="409" t="s">
        <v>85</v>
      </c>
      <c r="AG296" s="410">
        <v>0.01</v>
      </c>
      <c r="AH296" s="411">
        <f t="shared" si="10"/>
        <v>4.9500000000000004E-3</v>
      </c>
      <c r="AI296" s="406"/>
      <c r="AJ296" s="412"/>
      <c r="AK296" s="100" t="str">
        <f t="shared" si="21"/>
        <v/>
      </c>
      <c r="AL296" s="413"/>
      <c r="AM296" s="408"/>
      <c r="AN296" s="103" t="str">
        <f t="shared" si="12"/>
        <v/>
      </c>
      <c r="AO296" s="414"/>
      <c r="AP296" s="415"/>
      <c r="AQ296" s="141" t="str">
        <f t="shared" si="15"/>
        <v/>
      </c>
      <c r="AR296" s="416"/>
      <c r="AS296" s="415"/>
      <c r="AT296" s="143" t="str">
        <f t="shared" si="16"/>
        <v/>
      </c>
      <c r="AU296" s="414"/>
      <c r="AV296" s="408"/>
      <c r="AW296" s="107" t="str">
        <f t="shared" si="17"/>
        <v/>
      </c>
      <c r="AX296" s="408"/>
      <c r="AY296" s="408"/>
      <c r="AZ296" s="144" t="str">
        <f t="shared" si="18"/>
        <v/>
      </c>
      <c r="BA296" s="406"/>
      <c r="BB296" s="415"/>
      <c r="BC296" s="145" t="str">
        <f t="shared" si="19"/>
        <v/>
      </c>
      <c r="BD296" s="408"/>
      <c r="BE296" s="417"/>
      <c r="BF296" s="146" t="str">
        <f t="shared" si="20"/>
        <v/>
      </c>
      <c r="BG296" s="147" t="s">
        <v>84</v>
      </c>
      <c r="BH296" s="418"/>
      <c r="BI296" s="419" t="s">
        <v>207</v>
      </c>
      <c r="BJ296" s="420">
        <f>'Degrémont sortie'!BI296</f>
        <v>0</v>
      </c>
      <c r="BK296" s="421" t="str">
        <f>'Degrémont sortie'!BJ296</f>
        <v>Nouvel AP: Sortie DEG reglementaire
Changement pour N global, P, Pb, Ni; Cu, Cr,  Zc,  Mn,Fe, Al</v>
      </c>
    </row>
    <row r="297" spans="1:63" ht="15.75" customHeight="1" outlineLevel="1">
      <c r="A297" s="121">
        <f t="shared" si="13"/>
        <v>43749</v>
      </c>
      <c r="B297" s="122">
        <v>1347</v>
      </c>
      <c r="C297" s="123">
        <v>8.36</v>
      </c>
      <c r="D297" s="124">
        <v>87.9</v>
      </c>
      <c r="E297" s="125">
        <v>110.8</v>
      </c>
      <c r="F297" s="126">
        <v>35</v>
      </c>
      <c r="G297" s="127">
        <f t="shared" si="0"/>
        <v>654.28571428571411</v>
      </c>
      <c r="H297" s="128">
        <f t="shared" si="1"/>
        <v>881.32285714285695</v>
      </c>
      <c r="I297" s="129">
        <v>1</v>
      </c>
      <c r="J297" s="126">
        <v>1166</v>
      </c>
      <c r="K297" s="79">
        <f t="shared" si="2"/>
        <v>1166</v>
      </c>
      <c r="L297" s="128">
        <f t="shared" si="3"/>
        <v>1570.6020000000001</v>
      </c>
      <c r="M297" s="130">
        <v>1</v>
      </c>
      <c r="N297" s="126">
        <v>425</v>
      </c>
      <c r="O297" s="80">
        <f t="shared" si="4"/>
        <v>425</v>
      </c>
      <c r="P297" s="81">
        <f t="shared" si="5"/>
        <v>572.47500000000002</v>
      </c>
      <c r="Q297" s="129">
        <v>10</v>
      </c>
      <c r="R297" s="131">
        <v>4.71</v>
      </c>
      <c r="S297" s="127">
        <f t="shared" si="6"/>
        <v>47.1</v>
      </c>
      <c r="T297" s="128">
        <f t="shared" si="7"/>
        <v>63.443700000000007</v>
      </c>
      <c r="U297" s="113"/>
      <c r="V297" s="81">
        <f t="shared" si="14"/>
        <v>0</v>
      </c>
      <c r="W297" s="422"/>
      <c r="X297" s="423"/>
      <c r="Y297" s="424"/>
      <c r="Z297" s="422"/>
      <c r="AA297" s="423"/>
      <c r="AB297" s="424"/>
      <c r="AC297" s="81"/>
      <c r="AD297" s="93" t="str">
        <f t="shared" si="8"/>
        <v/>
      </c>
      <c r="AE297" s="94" t="e">
        <f t="shared" si="9"/>
        <v>#VALUE!</v>
      </c>
      <c r="AF297" s="134" t="s">
        <v>85</v>
      </c>
      <c r="AG297" s="135">
        <v>0.01</v>
      </c>
      <c r="AH297" s="136">
        <f t="shared" si="10"/>
        <v>6.7350000000000005E-3</v>
      </c>
      <c r="AI297" s="80"/>
      <c r="AJ297" s="154"/>
      <c r="AK297" s="100" t="str">
        <f t="shared" si="21"/>
        <v/>
      </c>
      <c r="AL297" s="138"/>
      <c r="AM297" s="113"/>
      <c r="AN297" s="103" t="str">
        <f t="shared" si="12"/>
        <v/>
      </c>
      <c r="AO297" s="139"/>
      <c r="AP297" s="140"/>
      <c r="AQ297" s="141" t="str">
        <f t="shared" si="15"/>
        <v/>
      </c>
      <c r="AR297" s="142"/>
      <c r="AS297" s="140"/>
      <c r="AT297" s="143" t="str">
        <f t="shared" si="16"/>
        <v/>
      </c>
      <c r="AU297" s="139"/>
      <c r="AV297" s="113"/>
      <c r="AW297" s="107" t="str">
        <f t="shared" si="17"/>
        <v/>
      </c>
      <c r="AX297" s="113"/>
      <c r="AY297" s="113"/>
      <c r="AZ297" s="144" t="str">
        <f t="shared" si="18"/>
        <v/>
      </c>
      <c r="BA297" s="80"/>
      <c r="BB297" s="140"/>
      <c r="BC297" s="145" t="str">
        <f t="shared" si="19"/>
        <v/>
      </c>
      <c r="BD297" s="113"/>
      <c r="BE297" s="114"/>
      <c r="BF297" s="146" t="str">
        <f t="shared" si="20"/>
        <v/>
      </c>
      <c r="BG297" s="147" t="s">
        <v>84</v>
      </c>
      <c r="BH297" s="148"/>
      <c r="BI297" s="149" t="s">
        <v>208</v>
      </c>
      <c r="BJ297" s="150">
        <f>'Degrémont sortie'!BI297</f>
        <v>0</v>
      </c>
      <c r="BK297" s="151">
        <f>'Degrémont sortie'!BJ297</f>
        <v>0</v>
      </c>
    </row>
    <row r="298" spans="1:63" ht="15.75" customHeight="1" outlineLevel="1">
      <c r="A298" s="152">
        <f t="shared" si="13"/>
        <v>43750</v>
      </c>
      <c r="B298" s="122">
        <v>1255</v>
      </c>
      <c r="C298" s="123">
        <v>8.01</v>
      </c>
      <c r="D298" s="124">
        <v>87.7</v>
      </c>
      <c r="E298" s="125">
        <v>150.4</v>
      </c>
      <c r="F298" s="126">
        <v>30</v>
      </c>
      <c r="G298" s="127">
        <f t="shared" si="0"/>
        <v>2090</v>
      </c>
      <c r="H298" s="128">
        <f t="shared" si="1"/>
        <v>2622.95</v>
      </c>
      <c r="I298" s="129">
        <v>1</v>
      </c>
      <c r="J298" s="126">
        <v>2315</v>
      </c>
      <c r="K298" s="79">
        <f t="shared" si="2"/>
        <v>2315</v>
      </c>
      <c r="L298" s="128">
        <f t="shared" si="3"/>
        <v>2905.3249999999998</v>
      </c>
      <c r="M298" s="130">
        <v>1</v>
      </c>
      <c r="N298" s="126">
        <v>420</v>
      </c>
      <c r="O298" s="80">
        <f t="shared" si="4"/>
        <v>420</v>
      </c>
      <c r="P298" s="81">
        <f t="shared" si="5"/>
        <v>527.1</v>
      </c>
      <c r="Q298" s="129">
        <v>10</v>
      </c>
      <c r="R298" s="131">
        <v>11.4</v>
      </c>
      <c r="S298" s="127">
        <f t="shared" si="6"/>
        <v>114</v>
      </c>
      <c r="T298" s="128">
        <f t="shared" si="7"/>
        <v>143.07</v>
      </c>
      <c r="U298" s="113"/>
      <c r="V298" s="81">
        <f t="shared" si="14"/>
        <v>0</v>
      </c>
      <c r="W298" s="422"/>
      <c r="X298" s="423"/>
      <c r="Y298" s="424"/>
      <c r="Z298" s="422"/>
      <c r="AA298" s="423"/>
      <c r="AB298" s="424"/>
      <c r="AC298" s="81"/>
      <c r="AD298" s="93" t="str">
        <f t="shared" si="8"/>
        <v/>
      </c>
      <c r="AE298" s="94" t="e">
        <f t="shared" si="9"/>
        <v>#VALUE!</v>
      </c>
      <c r="AF298" s="134" t="s">
        <v>85</v>
      </c>
      <c r="AG298" s="135">
        <v>0.01</v>
      </c>
      <c r="AH298" s="136">
        <f t="shared" si="10"/>
        <v>6.2750000000000002E-3</v>
      </c>
      <c r="AI298" s="80"/>
      <c r="AJ298" s="154"/>
      <c r="AK298" s="100" t="str">
        <f t="shared" si="21"/>
        <v/>
      </c>
      <c r="AL298" s="138"/>
      <c r="AM298" s="113"/>
      <c r="AN298" s="103" t="str">
        <f t="shared" si="12"/>
        <v/>
      </c>
      <c r="AO298" s="139"/>
      <c r="AP298" s="140"/>
      <c r="AQ298" s="141" t="str">
        <f t="shared" si="15"/>
        <v/>
      </c>
      <c r="AR298" s="142"/>
      <c r="AS298" s="140"/>
      <c r="AT298" s="143" t="str">
        <f t="shared" si="16"/>
        <v/>
      </c>
      <c r="AU298" s="139"/>
      <c r="AV298" s="113"/>
      <c r="AW298" s="107" t="str">
        <f t="shared" si="17"/>
        <v/>
      </c>
      <c r="AX298" s="113"/>
      <c r="AY298" s="113"/>
      <c r="AZ298" s="144" t="str">
        <f t="shared" si="18"/>
        <v/>
      </c>
      <c r="BA298" s="80"/>
      <c r="BB298" s="140"/>
      <c r="BC298" s="145" t="str">
        <f t="shared" si="19"/>
        <v/>
      </c>
      <c r="BD298" s="113"/>
      <c r="BE298" s="114"/>
      <c r="BF298" s="146" t="str">
        <f t="shared" si="20"/>
        <v/>
      </c>
      <c r="BG298" s="147" t="s">
        <v>84</v>
      </c>
      <c r="BH298" s="148"/>
      <c r="BI298" s="156"/>
      <c r="BJ298" s="150">
        <f>'Degrémont sortie'!BI298</f>
        <v>0</v>
      </c>
      <c r="BK298" s="151">
        <f>'Degrémont sortie'!BJ298</f>
        <v>0</v>
      </c>
    </row>
    <row r="299" spans="1:63" ht="15.75" customHeight="1" outlineLevel="1">
      <c r="A299" s="121">
        <f t="shared" si="13"/>
        <v>43751</v>
      </c>
      <c r="B299" s="207"/>
      <c r="C299" s="208"/>
      <c r="D299" s="210"/>
      <c r="E299" s="211"/>
      <c r="F299" s="80"/>
      <c r="G299" s="127">
        <f t="shared" si="0"/>
        <v>0</v>
      </c>
      <c r="H299" s="128">
        <f t="shared" si="1"/>
        <v>0</v>
      </c>
      <c r="I299" s="129">
        <v>1</v>
      </c>
      <c r="J299" s="80"/>
      <c r="K299" s="79">
        <f t="shared" si="2"/>
        <v>0</v>
      </c>
      <c r="L299" s="128">
        <f t="shared" si="3"/>
        <v>0</v>
      </c>
      <c r="M299" s="130">
        <v>1</v>
      </c>
      <c r="N299" s="80"/>
      <c r="O299" s="80" t="str">
        <f t="shared" si="4"/>
        <v/>
      </c>
      <c r="P299" s="81">
        <f t="shared" si="5"/>
        <v>0</v>
      </c>
      <c r="Q299" s="213"/>
      <c r="R299" s="113"/>
      <c r="S299" s="127" t="str">
        <f t="shared" si="6"/>
        <v/>
      </c>
      <c r="T299" s="128">
        <f t="shared" si="7"/>
        <v>0</v>
      </c>
      <c r="U299" s="113"/>
      <c r="V299" s="81">
        <f t="shared" si="14"/>
        <v>0</v>
      </c>
      <c r="W299" s="422"/>
      <c r="X299" s="423"/>
      <c r="Y299" s="424"/>
      <c r="Z299" s="422"/>
      <c r="AA299" s="423"/>
      <c r="AB299" s="424"/>
      <c r="AC299" s="81"/>
      <c r="AD299" s="93" t="str">
        <f t="shared" si="8"/>
        <v/>
      </c>
      <c r="AE299" s="94" t="str">
        <f t="shared" si="9"/>
        <v/>
      </c>
      <c r="AF299" s="134" t="s">
        <v>85</v>
      </c>
      <c r="AG299" s="135">
        <v>0.01</v>
      </c>
      <c r="AH299" s="136" t="str">
        <f t="shared" si="10"/>
        <v/>
      </c>
      <c r="AI299" s="80"/>
      <c r="AJ299" s="154"/>
      <c r="AK299" s="100" t="str">
        <f t="shared" si="21"/>
        <v/>
      </c>
      <c r="AL299" s="138"/>
      <c r="AM299" s="113"/>
      <c r="AN299" s="103" t="str">
        <f t="shared" si="12"/>
        <v/>
      </c>
      <c r="AO299" s="139"/>
      <c r="AP299" s="140"/>
      <c r="AQ299" s="141" t="str">
        <f t="shared" si="15"/>
        <v/>
      </c>
      <c r="AR299" s="142"/>
      <c r="AS299" s="140"/>
      <c r="AT299" s="143" t="str">
        <f t="shared" si="16"/>
        <v/>
      </c>
      <c r="AU299" s="139"/>
      <c r="AV299" s="113"/>
      <c r="AW299" s="107" t="str">
        <f t="shared" si="17"/>
        <v/>
      </c>
      <c r="AX299" s="113"/>
      <c r="AY299" s="113"/>
      <c r="AZ299" s="144" t="str">
        <f t="shared" si="18"/>
        <v/>
      </c>
      <c r="BA299" s="80"/>
      <c r="BB299" s="140"/>
      <c r="BC299" s="145" t="str">
        <f t="shared" si="19"/>
        <v/>
      </c>
      <c r="BD299" s="113"/>
      <c r="BE299" s="114"/>
      <c r="BF299" s="146" t="str">
        <f t="shared" si="20"/>
        <v/>
      </c>
      <c r="BG299" s="147" t="s">
        <v>84</v>
      </c>
      <c r="BH299" s="148"/>
      <c r="BI299" s="156"/>
      <c r="BJ299" s="150">
        <f>'Degrémont sortie'!BI299</f>
        <v>0</v>
      </c>
      <c r="BK299" s="151">
        <f>'Degrémont sortie'!BJ299</f>
        <v>0</v>
      </c>
    </row>
    <row r="300" spans="1:63" ht="15.75" customHeight="1" outlineLevel="1">
      <c r="A300" s="152">
        <f t="shared" si="13"/>
        <v>43752</v>
      </c>
      <c r="B300" s="122">
        <v>926</v>
      </c>
      <c r="C300" s="123">
        <v>7.81</v>
      </c>
      <c r="D300" s="124">
        <v>87.6</v>
      </c>
      <c r="E300" s="125">
        <v>115</v>
      </c>
      <c r="F300" s="126">
        <v>31</v>
      </c>
      <c r="G300" s="127">
        <f t="shared" si="0"/>
        <v>883.87096774193571</v>
      </c>
      <c r="H300" s="128">
        <f t="shared" si="1"/>
        <v>818.46451612903252</v>
      </c>
      <c r="I300" s="129">
        <v>1</v>
      </c>
      <c r="J300" s="126">
        <v>1057</v>
      </c>
      <c r="K300" s="79">
        <f t="shared" si="2"/>
        <v>1057</v>
      </c>
      <c r="L300" s="128">
        <f t="shared" si="3"/>
        <v>978.78200000000004</v>
      </c>
      <c r="M300" s="130">
        <v>1</v>
      </c>
      <c r="N300" s="126">
        <v>254</v>
      </c>
      <c r="O300" s="80">
        <f t="shared" si="4"/>
        <v>254</v>
      </c>
      <c r="P300" s="81">
        <f t="shared" si="5"/>
        <v>235.20400000000001</v>
      </c>
      <c r="Q300" s="129">
        <v>10</v>
      </c>
      <c r="R300" s="131">
        <v>6.19</v>
      </c>
      <c r="S300" s="127">
        <f t="shared" si="6"/>
        <v>61.900000000000006</v>
      </c>
      <c r="T300" s="128">
        <f t="shared" si="7"/>
        <v>57.319400000000009</v>
      </c>
      <c r="U300" s="113"/>
      <c r="V300" s="81">
        <f t="shared" si="14"/>
        <v>0</v>
      </c>
      <c r="W300" s="422"/>
      <c r="X300" s="423"/>
      <c r="Y300" s="424"/>
      <c r="Z300" s="422"/>
      <c r="AA300" s="423"/>
      <c r="AB300" s="424"/>
      <c r="AC300" s="81"/>
      <c r="AD300" s="93" t="str">
        <f t="shared" si="8"/>
        <v/>
      </c>
      <c r="AE300" s="94" t="e">
        <f t="shared" si="9"/>
        <v>#VALUE!</v>
      </c>
      <c r="AF300" s="134" t="s">
        <v>85</v>
      </c>
      <c r="AG300" s="135">
        <v>0.01</v>
      </c>
      <c r="AH300" s="136">
        <f t="shared" si="10"/>
        <v>4.6299999999999996E-3</v>
      </c>
      <c r="AI300" s="80"/>
      <c r="AJ300" s="154"/>
      <c r="AK300" s="100" t="str">
        <f t="shared" si="21"/>
        <v/>
      </c>
      <c r="AL300" s="138"/>
      <c r="AM300" s="113"/>
      <c r="AN300" s="103" t="str">
        <f t="shared" si="12"/>
        <v/>
      </c>
      <c r="AO300" s="139"/>
      <c r="AP300" s="140"/>
      <c r="AQ300" s="141" t="str">
        <f t="shared" si="15"/>
        <v/>
      </c>
      <c r="AR300" s="142"/>
      <c r="AS300" s="140"/>
      <c r="AT300" s="143" t="str">
        <f t="shared" si="16"/>
        <v/>
      </c>
      <c r="AU300" s="139"/>
      <c r="AV300" s="113"/>
      <c r="AW300" s="107" t="str">
        <f t="shared" si="17"/>
        <v/>
      </c>
      <c r="AX300" s="113"/>
      <c r="AY300" s="113"/>
      <c r="AZ300" s="144" t="str">
        <f t="shared" si="18"/>
        <v/>
      </c>
      <c r="BA300" s="80"/>
      <c r="BB300" s="140"/>
      <c r="BC300" s="145" t="str">
        <f t="shared" si="19"/>
        <v/>
      </c>
      <c r="BD300" s="113"/>
      <c r="BE300" s="114"/>
      <c r="BF300" s="146" t="str">
        <f t="shared" si="20"/>
        <v/>
      </c>
      <c r="BG300" s="147" t="s">
        <v>84</v>
      </c>
      <c r="BH300" s="148"/>
      <c r="BI300" s="156"/>
      <c r="BJ300" s="150">
        <f>'Degrémont sortie'!BI300</f>
        <v>0</v>
      </c>
      <c r="BK300" s="151">
        <f>'Degrémont sortie'!BJ300</f>
        <v>0</v>
      </c>
    </row>
    <row r="301" spans="1:63" ht="15.75" customHeight="1" outlineLevel="1">
      <c r="A301" s="121">
        <f t="shared" si="13"/>
        <v>43753</v>
      </c>
      <c r="B301" s="122">
        <v>1132</v>
      </c>
      <c r="C301" s="123">
        <v>7.66</v>
      </c>
      <c r="D301" s="124">
        <v>88.1</v>
      </c>
      <c r="E301" s="125">
        <v>126.7</v>
      </c>
      <c r="F301" s="126">
        <v>38</v>
      </c>
      <c r="G301" s="127">
        <f t="shared" si="0"/>
        <v>1015.7894736842107</v>
      </c>
      <c r="H301" s="128">
        <f t="shared" si="1"/>
        <v>1149.8736842105266</v>
      </c>
      <c r="I301" s="129">
        <v>1</v>
      </c>
      <c r="J301" s="126">
        <v>2116</v>
      </c>
      <c r="K301" s="79">
        <f t="shared" si="2"/>
        <v>2116</v>
      </c>
      <c r="L301" s="128">
        <f t="shared" si="3"/>
        <v>2395.3119999999999</v>
      </c>
      <c r="M301" s="130">
        <v>1</v>
      </c>
      <c r="N301" s="126">
        <v>977</v>
      </c>
      <c r="O301" s="80">
        <f t="shared" si="4"/>
        <v>977</v>
      </c>
      <c r="P301" s="81">
        <f t="shared" si="5"/>
        <v>1105.9639999999999</v>
      </c>
      <c r="Q301" s="129">
        <v>10</v>
      </c>
      <c r="R301" s="131">
        <v>6.66</v>
      </c>
      <c r="S301" s="127">
        <f t="shared" si="6"/>
        <v>66.599999999999994</v>
      </c>
      <c r="T301" s="128">
        <f t="shared" si="7"/>
        <v>75.391199999999998</v>
      </c>
      <c r="U301" s="131">
        <v>25</v>
      </c>
      <c r="V301" s="81">
        <f t="shared" si="14"/>
        <v>28.3</v>
      </c>
      <c r="W301" s="422"/>
      <c r="X301" s="423"/>
      <c r="Y301" s="424"/>
      <c r="Z301" s="422"/>
      <c r="AA301" s="423"/>
      <c r="AB301" s="424"/>
      <c r="AC301" s="81"/>
      <c r="AD301" s="93" t="str">
        <f t="shared" si="8"/>
        <v/>
      </c>
      <c r="AE301" s="94" t="e">
        <f t="shared" si="9"/>
        <v>#VALUE!</v>
      </c>
      <c r="AF301" s="134" t="s">
        <v>85</v>
      </c>
      <c r="AG301" s="135">
        <v>0.04</v>
      </c>
      <c r="AH301" s="136">
        <f t="shared" si="10"/>
        <v>2.264E-2</v>
      </c>
      <c r="AI301" s="80"/>
      <c r="AJ301" s="154"/>
      <c r="AK301" s="100" t="str">
        <f t="shared" si="21"/>
        <v/>
      </c>
      <c r="AL301" s="138"/>
      <c r="AM301" s="131">
        <v>16</v>
      </c>
      <c r="AN301" s="103">
        <f t="shared" si="12"/>
        <v>147.19999999999999</v>
      </c>
      <c r="AO301" s="139"/>
      <c r="AP301" s="155">
        <v>79.27</v>
      </c>
      <c r="AQ301" s="141">
        <f t="shared" si="15"/>
        <v>729.28399999999988</v>
      </c>
      <c r="AR301" s="393" t="s">
        <v>85</v>
      </c>
      <c r="AS301" s="155">
        <v>0.03</v>
      </c>
      <c r="AT301" s="143">
        <f t="shared" si="16"/>
        <v>0.13799999999999998</v>
      </c>
      <c r="AU301" s="139"/>
      <c r="AV301" s="131">
        <v>13.35</v>
      </c>
      <c r="AW301" s="107">
        <f t="shared" si="17"/>
        <v>122.82</v>
      </c>
      <c r="AX301" s="113"/>
      <c r="AY301" s="131">
        <v>131.57</v>
      </c>
      <c r="AZ301" s="144">
        <f t="shared" si="18"/>
        <v>1210.4439999999997</v>
      </c>
      <c r="BA301" s="80"/>
      <c r="BB301" s="155">
        <v>0.15</v>
      </c>
      <c r="BC301" s="145">
        <f t="shared" si="19"/>
        <v>1.38</v>
      </c>
      <c r="BD301" s="113"/>
      <c r="BE301" s="158">
        <v>0.13</v>
      </c>
      <c r="BF301" s="146">
        <f t="shared" si="20"/>
        <v>1.196</v>
      </c>
      <c r="BG301" s="147" t="s">
        <v>84</v>
      </c>
      <c r="BH301" s="148"/>
      <c r="BI301" s="156"/>
      <c r="BJ301" s="150">
        <f>'Degrémont sortie'!BI301</f>
        <v>0</v>
      </c>
      <c r="BK301" s="151">
        <f>'Degrémont sortie'!BJ301</f>
        <v>0</v>
      </c>
    </row>
    <row r="302" spans="1:63" ht="14.25" outlineLevel="1">
      <c r="A302" s="152">
        <f t="shared" si="13"/>
        <v>43754</v>
      </c>
      <c r="B302" s="122">
        <v>1189</v>
      </c>
      <c r="C302" s="123">
        <v>7.67</v>
      </c>
      <c r="D302" s="124">
        <v>88.9</v>
      </c>
      <c r="E302" s="125">
        <v>113.9</v>
      </c>
      <c r="F302" s="126">
        <v>30</v>
      </c>
      <c r="G302" s="127">
        <f t="shared" si="0"/>
        <v>833.33333333333337</v>
      </c>
      <c r="H302" s="128">
        <f t="shared" si="1"/>
        <v>990.83333333333337</v>
      </c>
      <c r="I302" s="129">
        <v>1</v>
      </c>
      <c r="J302" s="126">
        <v>1662</v>
      </c>
      <c r="K302" s="79">
        <f t="shared" si="2"/>
        <v>1662</v>
      </c>
      <c r="L302" s="128">
        <f t="shared" si="3"/>
        <v>1976.1179999999999</v>
      </c>
      <c r="M302" s="130">
        <v>1</v>
      </c>
      <c r="N302" s="126">
        <v>628</v>
      </c>
      <c r="O302" s="80">
        <f t="shared" si="4"/>
        <v>628</v>
      </c>
      <c r="P302" s="81">
        <f t="shared" si="5"/>
        <v>746.69200000000001</v>
      </c>
      <c r="Q302" s="129">
        <v>10</v>
      </c>
      <c r="R302" s="131">
        <v>3.49</v>
      </c>
      <c r="S302" s="127">
        <f t="shared" si="6"/>
        <v>34.900000000000006</v>
      </c>
      <c r="T302" s="128">
        <f t="shared" si="7"/>
        <v>41.496100000000006</v>
      </c>
      <c r="U302" s="113"/>
      <c r="V302" s="81">
        <f t="shared" si="14"/>
        <v>0</v>
      </c>
      <c r="W302" s="422"/>
      <c r="X302" s="423"/>
      <c r="Y302" s="424"/>
      <c r="Z302" s="422"/>
      <c r="AA302" s="423"/>
      <c r="AB302" s="424"/>
      <c r="AC302" s="81"/>
      <c r="AD302" s="93" t="str">
        <f t="shared" si="8"/>
        <v/>
      </c>
      <c r="AE302" s="94" t="e">
        <f t="shared" si="9"/>
        <v>#VALUE!</v>
      </c>
      <c r="AF302" s="134" t="s">
        <v>85</v>
      </c>
      <c r="AG302" s="135">
        <v>0.01</v>
      </c>
      <c r="AH302" s="136">
        <f t="shared" si="10"/>
        <v>5.9450000000000006E-3</v>
      </c>
      <c r="AI302" s="80"/>
      <c r="AJ302" s="154"/>
      <c r="AK302" s="100" t="str">
        <f t="shared" si="21"/>
        <v/>
      </c>
      <c r="AL302" s="138"/>
      <c r="AM302" s="113"/>
      <c r="AN302" s="103" t="str">
        <f t="shared" si="12"/>
        <v/>
      </c>
      <c r="AO302" s="139"/>
      <c r="AP302" s="140"/>
      <c r="AQ302" s="141" t="str">
        <f t="shared" si="15"/>
        <v/>
      </c>
      <c r="AR302" s="142"/>
      <c r="AS302" s="140"/>
      <c r="AT302" s="143" t="str">
        <f t="shared" si="16"/>
        <v/>
      </c>
      <c r="AU302" s="139"/>
      <c r="AV302" s="113"/>
      <c r="AW302" s="107" t="str">
        <f t="shared" si="17"/>
        <v/>
      </c>
      <c r="AX302" s="113"/>
      <c r="AY302" s="113"/>
      <c r="AZ302" s="144" t="str">
        <f t="shared" si="18"/>
        <v/>
      </c>
      <c r="BA302" s="80"/>
      <c r="BB302" s="140"/>
      <c r="BC302" s="145" t="str">
        <f t="shared" si="19"/>
        <v/>
      </c>
      <c r="BD302" s="113"/>
      <c r="BE302" s="114"/>
      <c r="BF302" s="146" t="str">
        <f t="shared" si="20"/>
        <v/>
      </c>
      <c r="BG302" s="147" t="s">
        <v>84</v>
      </c>
      <c r="BH302" s="148"/>
      <c r="BI302" s="156"/>
      <c r="BJ302" s="150">
        <f>'Degrémont sortie'!BI302</f>
        <v>0</v>
      </c>
      <c r="BK302" s="151">
        <f>'Degrémont sortie'!BJ302</f>
        <v>0</v>
      </c>
    </row>
    <row r="303" spans="1:63" ht="14.25" outlineLevel="1">
      <c r="A303" s="121">
        <f t="shared" si="13"/>
        <v>43755</v>
      </c>
      <c r="B303" s="122">
        <v>976</v>
      </c>
      <c r="C303" s="123">
        <v>7.97</v>
      </c>
      <c r="D303" s="124">
        <v>88.6</v>
      </c>
      <c r="E303" s="125">
        <v>202.2</v>
      </c>
      <c r="F303" s="126">
        <v>30</v>
      </c>
      <c r="G303" s="127">
        <f t="shared" si="0"/>
        <v>3786.6666666666665</v>
      </c>
      <c r="H303" s="128">
        <f t="shared" si="1"/>
        <v>3695.7866666666664</v>
      </c>
      <c r="I303" s="129">
        <v>1</v>
      </c>
      <c r="J303" s="126">
        <v>3642</v>
      </c>
      <c r="K303" s="79">
        <f t="shared" si="2"/>
        <v>3642</v>
      </c>
      <c r="L303" s="128">
        <f t="shared" si="3"/>
        <v>3554.5920000000001</v>
      </c>
      <c r="M303" s="130">
        <v>1</v>
      </c>
      <c r="N303" s="126">
        <v>421</v>
      </c>
      <c r="O303" s="80">
        <f t="shared" si="4"/>
        <v>421</v>
      </c>
      <c r="P303" s="81">
        <f t="shared" si="5"/>
        <v>410.89600000000002</v>
      </c>
      <c r="Q303" s="129">
        <v>10</v>
      </c>
      <c r="R303" s="131">
        <v>16.8</v>
      </c>
      <c r="S303" s="127">
        <f t="shared" si="6"/>
        <v>168</v>
      </c>
      <c r="T303" s="128">
        <f t="shared" si="7"/>
        <v>163.96799999999999</v>
      </c>
      <c r="U303" s="113"/>
      <c r="V303" s="81">
        <f t="shared" si="14"/>
        <v>0</v>
      </c>
      <c r="W303" s="422"/>
      <c r="X303" s="423"/>
      <c r="Y303" s="424"/>
      <c r="Z303" s="422"/>
      <c r="AA303" s="423"/>
      <c r="AB303" s="424"/>
      <c r="AC303" s="81"/>
      <c r="AD303" s="93" t="str">
        <f t="shared" si="8"/>
        <v/>
      </c>
      <c r="AE303" s="94" t="e">
        <f t="shared" si="9"/>
        <v>#VALUE!</v>
      </c>
      <c r="AF303" s="134" t="s">
        <v>85</v>
      </c>
      <c r="AG303" s="135">
        <v>0.01</v>
      </c>
      <c r="AH303" s="136">
        <f t="shared" si="10"/>
        <v>4.8799999999999998E-3</v>
      </c>
      <c r="AI303" s="80"/>
      <c r="AJ303" s="154"/>
      <c r="AK303" s="100" t="str">
        <f t="shared" si="21"/>
        <v/>
      </c>
      <c r="AL303" s="138"/>
      <c r="AM303" s="113"/>
      <c r="AN303" s="103" t="str">
        <f t="shared" si="12"/>
        <v/>
      </c>
      <c r="AO303" s="139"/>
      <c r="AP303" s="140"/>
      <c r="AQ303" s="141" t="str">
        <f t="shared" si="15"/>
        <v/>
      </c>
      <c r="AR303" s="142"/>
      <c r="AS303" s="140"/>
      <c r="AT303" s="143" t="str">
        <f t="shared" si="16"/>
        <v/>
      </c>
      <c r="AU303" s="139"/>
      <c r="AV303" s="113"/>
      <c r="AW303" s="107" t="str">
        <f t="shared" si="17"/>
        <v/>
      </c>
      <c r="AX303" s="113"/>
      <c r="AY303" s="113"/>
      <c r="AZ303" s="144" t="str">
        <f t="shared" si="18"/>
        <v/>
      </c>
      <c r="BA303" s="80"/>
      <c r="BB303" s="140"/>
      <c r="BC303" s="145" t="str">
        <f t="shared" si="19"/>
        <v/>
      </c>
      <c r="BD303" s="113"/>
      <c r="BE303" s="114"/>
      <c r="BF303" s="146" t="str">
        <f t="shared" si="20"/>
        <v/>
      </c>
      <c r="BG303" s="147" t="s">
        <v>84</v>
      </c>
      <c r="BH303" s="148"/>
      <c r="BI303" s="156"/>
      <c r="BJ303" s="150">
        <f>'Degrémont sortie'!BI303</f>
        <v>0</v>
      </c>
      <c r="BK303" s="151">
        <f>'Degrémont sortie'!BJ303</f>
        <v>0</v>
      </c>
    </row>
    <row r="304" spans="1:63" ht="14.25" outlineLevel="1">
      <c r="A304" s="152">
        <f t="shared" si="13"/>
        <v>43756</v>
      </c>
      <c r="B304" s="122">
        <v>1064</v>
      </c>
      <c r="C304" s="123">
        <v>8.07</v>
      </c>
      <c r="D304" s="124">
        <v>88.8</v>
      </c>
      <c r="E304" s="125">
        <v>342.6</v>
      </c>
      <c r="F304" s="126">
        <v>30</v>
      </c>
      <c r="G304" s="127">
        <f t="shared" si="0"/>
        <v>8460</v>
      </c>
      <c r="H304" s="128">
        <f t="shared" si="1"/>
        <v>9001.44</v>
      </c>
      <c r="I304" s="129">
        <v>1</v>
      </c>
      <c r="J304" s="126">
        <v>6800</v>
      </c>
      <c r="K304" s="79">
        <f t="shared" si="2"/>
        <v>6800</v>
      </c>
      <c r="L304" s="128">
        <f t="shared" si="3"/>
        <v>7235.2</v>
      </c>
      <c r="M304" s="130">
        <v>1</v>
      </c>
      <c r="N304" s="126">
        <v>423</v>
      </c>
      <c r="O304" s="80">
        <f t="shared" si="4"/>
        <v>423</v>
      </c>
      <c r="P304" s="81">
        <f t="shared" si="5"/>
        <v>450.072</v>
      </c>
      <c r="Q304" s="129">
        <v>10</v>
      </c>
      <c r="R304" s="131">
        <v>27.5</v>
      </c>
      <c r="S304" s="127">
        <f t="shared" si="6"/>
        <v>275</v>
      </c>
      <c r="T304" s="128">
        <f t="shared" si="7"/>
        <v>292.60000000000002</v>
      </c>
      <c r="U304" s="113"/>
      <c r="V304" s="81">
        <f t="shared" si="14"/>
        <v>0</v>
      </c>
      <c r="W304" s="422"/>
      <c r="X304" s="423"/>
      <c r="Y304" s="424"/>
      <c r="Z304" s="422"/>
      <c r="AA304" s="423"/>
      <c r="AB304" s="424"/>
      <c r="AC304" s="81"/>
      <c r="AD304" s="93" t="str">
        <f t="shared" si="8"/>
        <v/>
      </c>
      <c r="AE304" s="94" t="e">
        <f t="shared" si="9"/>
        <v>#VALUE!</v>
      </c>
      <c r="AF304" s="134" t="s">
        <v>85</v>
      </c>
      <c r="AG304" s="135">
        <v>0.01</v>
      </c>
      <c r="AH304" s="136">
        <f t="shared" si="10"/>
        <v>5.3200000000000001E-3</v>
      </c>
      <c r="AI304" s="80"/>
      <c r="AJ304" s="154"/>
      <c r="AK304" s="100" t="str">
        <f t="shared" si="21"/>
        <v/>
      </c>
      <c r="AL304" s="138"/>
      <c r="AM304" s="113"/>
      <c r="AN304" s="103" t="str">
        <f t="shared" si="12"/>
        <v/>
      </c>
      <c r="AO304" s="139"/>
      <c r="AP304" s="140"/>
      <c r="AQ304" s="141" t="str">
        <f t="shared" si="15"/>
        <v/>
      </c>
      <c r="AR304" s="142"/>
      <c r="AS304" s="140"/>
      <c r="AT304" s="143" t="str">
        <f t="shared" si="16"/>
        <v/>
      </c>
      <c r="AU304" s="139"/>
      <c r="AV304" s="113"/>
      <c r="AW304" s="107" t="str">
        <f t="shared" si="17"/>
        <v/>
      </c>
      <c r="AX304" s="113"/>
      <c r="AY304" s="113"/>
      <c r="AZ304" s="144" t="str">
        <f t="shared" si="18"/>
        <v/>
      </c>
      <c r="BA304" s="80"/>
      <c r="BB304" s="140"/>
      <c r="BC304" s="145" t="str">
        <f t="shared" si="19"/>
        <v/>
      </c>
      <c r="BD304" s="113"/>
      <c r="BE304" s="114"/>
      <c r="BF304" s="146" t="str">
        <f t="shared" si="20"/>
        <v/>
      </c>
      <c r="BG304" s="147" t="s">
        <v>84</v>
      </c>
      <c r="BH304" s="148"/>
      <c r="BI304" s="156"/>
      <c r="BJ304" s="150">
        <f>'Degrémont sortie'!BI304</f>
        <v>0</v>
      </c>
      <c r="BK304" s="151">
        <f>'Degrémont sortie'!BJ304</f>
        <v>0</v>
      </c>
    </row>
    <row r="305" spans="1:63" ht="14.25" outlineLevel="1">
      <c r="A305" s="121">
        <f t="shared" si="13"/>
        <v>43757</v>
      </c>
      <c r="B305" s="122">
        <v>1348</v>
      </c>
      <c r="C305" s="123">
        <v>7.89</v>
      </c>
      <c r="D305" s="124">
        <v>89.1</v>
      </c>
      <c r="E305" s="125">
        <v>397.2</v>
      </c>
      <c r="F305" s="126">
        <v>31</v>
      </c>
      <c r="G305" s="127">
        <f t="shared" si="0"/>
        <v>9938.7096774193542</v>
      </c>
      <c r="H305" s="128">
        <f t="shared" si="1"/>
        <v>13397.380645161289</v>
      </c>
      <c r="I305" s="129">
        <v>1</v>
      </c>
      <c r="J305" s="126">
        <v>7944</v>
      </c>
      <c r="K305" s="79">
        <f t="shared" si="2"/>
        <v>7944</v>
      </c>
      <c r="L305" s="128">
        <f t="shared" si="3"/>
        <v>10708.512000000001</v>
      </c>
      <c r="M305" s="130">
        <v>1</v>
      </c>
      <c r="N305" s="126">
        <v>374</v>
      </c>
      <c r="O305" s="80">
        <f t="shared" si="4"/>
        <v>374</v>
      </c>
      <c r="P305" s="81">
        <f t="shared" si="5"/>
        <v>504.15199999999999</v>
      </c>
      <c r="Q305" s="129">
        <v>10</v>
      </c>
      <c r="R305" s="131">
        <v>28.5</v>
      </c>
      <c r="S305" s="127">
        <f t="shared" si="6"/>
        <v>285</v>
      </c>
      <c r="T305" s="128">
        <f t="shared" si="7"/>
        <v>384.18</v>
      </c>
      <c r="U305" s="113"/>
      <c r="V305" s="81">
        <f t="shared" si="14"/>
        <v>0</v>
      </c>
      <c r="W305" s="422"/>
      <c r="X305" s="423"/>
      <c r="Y305" s="424"/>
      <c r="Z305" s="422"/>
      <c r="AA305" s="423"/>
      <c r="AB305" s="424"/>
      <c r="AC305" s="81"/>
      <c r="AD305" s="93" t="str">
        <f t="shared" si="8"/>
        <v/>
      </c>
      <c r="AE305" s="94" t="e">
        <f t="shared" si="9"/>
        <v>#VALUE!</v>
      </c>
      <c r="AF305" s="134" t="s">
        <v>85</v>
      </c>
      <c r="AG305" s="135">
        <v>0.01</v>
      </c>
      <c r="AH305" s="136">
        <f t="shared" si="10"/>
        <v>6.7400000000000003E-3</v>
      </c>
      <c r="AI305" s="80"/>
      <c r="AJ305" s="154"/>
      <c r="AK305" s="100" t="str">
        <f t="shared" si="21"/>
        <v/>
      </c>
      <c r="AL305" s="138"/>
      <c r="AM305" s="113"/>
      <c r="AN305" s="103" t="str">
        <f t="shared" si="12"/>
        <v/>
      </c>
      <c r="AO305" s="139"/>
      <c r="AP305" s="140"/>
      <c r="AQ305" s="141" t="str">
        <f t="shared" si="15"/>
        <v/>
      </c>
      <c r="AR305" s="142"/>
      <c r="AS305" s="140"/>
      <c r="AT305" s="143" t="str">
        <f t="shared" si="16"/>
        <v/>
      </c>
      <c r="AU305" s="139"/>
      <c r="AV305" s="113"/>
      <c r="AW305" s="107" t="str">
        <f t="shared" si="17"/>
        <v/>
      </c>
      <c r="AX305" s="113"/>
      <c r="AY305" s="113"/>
      <c r="AZ305" s="144" t="str">
        <f t="shared" si="18"/>
        <v/>
      </c>
      <c r="BA305" s="80"/>
      <c r="BB305" s="140"/>
      <c r="BC305" s="145" t="str">
        <f t="shared" si="19"/>
        <v/>
      </c>
      <c r="BD305" s="113"/>
      <c r="BE305" s="114"/>
      <c r="BF305" s="146" t="str">
        <f t="shared" si="20"/>
        <v/>
      </c>
      <c r="BG305" s="147" t="s">
        <v>84</v>
      </c>
      <c r="BH305" s="148"/>
      <c r="BI305" s="156"/>
      <c r="BJ305" s="150">
        <f>'Degrémont sortie'!BI305</f>
        <v>0</v>
      </c>
      <c r="BK305" s="151">
        <f>'Degrémont sortie'!BJ305</f>
        <v>0</v>
      </c>
    </row>
    <row r="306" spans="1:63" ht="14.25" outlineLevel="1">
      <c r="A306" s="152">
        <f t="shared" si="13"/>
        <v>43758</v>
      </c>
      <c r="B306" s="207"/>
      <c r="C306" s="208"/>
      <c r="D306" s="210"/>
      <c r="E306" s="211"/>
      <c r="F306" s="80"/>
      <c r="G306" s="127">
        <f t="shared" si="0"/>
        <v>0</v>
      </c>
      <c r="H306" s="128">
        <f t="shared" si="1"/>
        <v>0</v>
      </c>
      <c r="I306" s="129">
        <v>1</v>
      </c>
      <c r="J306" s="80"/>
      <c r="K306" s="79">
        <f t="shared" si="2"/>
        <v>0</v>
      </c>
      <c r="L306" s="128">
        <f t="shared" si="3"/>
        <v>0</v>
      </c>
      <c r="M306" s="130">
        <v>1</v>
      </c>
      <c r="N306" s="80"/>
      <c r="O306" s="80" t="str">
        <f t="shared" si="4"/>
        <v/>
      </c>
      <c r="P306" s="81">
        <f t="shared" si="5"/>
        <v>0</v>
      </c>
      <c r="Q306" s="213"/>
      <c r="R306" s="113"/>
      <c r="S306" s="127" t="str">
        <f t="shared" si="6"/>
        <v/>
      </c>
      <c r="T306" s="128">
        <f t="shared" si="7"/>
        <v>0</v>
      </c>
      <c r="U306" s="113"/>
      <c r="V306" s="81">
        <f t="shared" si="14"/>
        <v>0</v>
      </c>
      <c r="W306" s="422"/>
      <c r="X306" s="423"/>
      <c r="Y306" s="424"/>
      <c r="Z306" s="422"/>
      <c r="AA306" s="423"/>
      <c r="AB306" s="424"/>
      <c r="AC306" s="81"/>
      <c r="AD306" s="93" t="str">
        <f t="shared" si="8"/>
        <v/>
      </c>
      <c r="AE306" s="94" t="str">
        <f t="shared" si="9"/>
        <v/>
      </c>
      <c r="AF306" s="139"/>
      <c r="AG306" s="215"/>
      <c r="AH306" s="136" t="str">
        <f t="shared" si="10"/>
        <v/>
      </c>
      <c r="AI306" s="80"/>
      <c r="AJ306" s="154"/>
      <c r="AK306" s="100" t="str">
        <f t="shared" si="21"/>
        <v/>
      </c>
      <c r="AL306" s="138"/>
      <c r="AM306" s="113"/>
      <c r="AN306" s="103" t="str">
        <f t="shared" si="12"/>
        <v/>
      </c>
      <c r="AO306" s="139"/>
      <c r="AP306" s="140"/>
      <c r="AQ306" s="141" t="str">
        <f t="shared" si="15"/>
        <v/>
      </c>
      <c r="AR306" s="142"/>
      <c r="AS306" s="140"/>
      <c r="AT306" s="143" t="str">
        <f t="shared" si="16"/>
        <v/>
      </c>
      <c r="AU306" s="139"/>
      <c r="AV306" s="113"/>
      <c r="AW306" s="107" t="str">
        <f t="shared" si="17"/>
        <v/>
      </c>
      <c r="AX306" s="113"/>
      <c r="AY306" s="113"/>
      <c r="AZ306" s="144" t="str">
        <f t="shared" si="18"/>
        <v/>
      </c>
      <c r="BA306" s="80"/>
      <c r="BB306" s="140"/>
      <c r="BC306" s="145" t="str">
        <f t="shared" si="19"/>
        <v/>
      </c>
      <c r="BD306" s="113"/>
      <c r="BE306" s="114"/>
      <c r="BF306" s="146" t="str">
        <f t="shared" si="20"/>
        <v/>
      </c>
      <c r="BG306" s="147" t="s">
        <v>84</v>
      </c>
      <c r="BH306" s="148"/>
      <c r="BI306" s="156"/>
      <c r="BJ306" s="150">
        <f>'Degrémont sortie'!BI306</f>
        <v>0</v>
      </c>
      <c r="BK306" s="151">
        <f>'Degrémont sortie'!BJ306</f>
        <v>0</v>
      </c>
    </row>
    <row r="307" spans="1:63" ht="14.25" outlineLevel="1">
      <c r="A307" s="121">
        <f t="shared" si="13"/>
        <v>43759</v>
      </c>
      <c r="B307" s="122">
        <v>937</v>
      </c>
      <c r="C307" s="123">
        <v>8</v>
      </c>
      <c r="D307" s="124">
        <v>86.9</v>
      </c>
      <c r="E307" s="125">
        <v>147.6</v>
      </c>
      <c r="F307" s="126">
        <v>30</v>
      </c>
      <c r="G307" s="127">
        <f t="shared" si="0"/>
        <v>2023.3333333333328</v>
      </c>
      <c r="H307" s="128">
        <f t="shared" si="1"/>
        <v>1895.8633333333328</v>
      </c>
      <c r="I307" s="129">
        <v>1</v>
      </c>
      <c r="J307" s="126">
        <v>1983</v>
      </c>
      <c r="K307" s="79">
        <f t="shared" si="2"/>
        <v>1983</v>
      </c>
      <c r="L307" s="128">
        <f t="shared" si="3"/>
        <v>1858.0709999999999</v>
      </c>
      <c r="M307" s="130">
        <v>1</v>
      </c>
      <c r="N307" s="126">
        <v>227</v>
      </c>
      <c r="O307" s="80">
        <f t="shared" si="4"/>
        <v>227</v>
      </c>
      <c r="P307" s="81">
        <f t="shared" si="5"/>
        <v>212.69900000000001</v>
      </c>
      <c r="Q307" s="129">
        <v>10</v>
      </c>
      <c r="R307" s="131">
        <v>11.7</v>
      </c>
      <c r="S307" s="127">
        <f t="shared" si="6"/>
        <v>117</v>
      </c>
      <c r="T307" s="128">
        <f t="shared" si="7"/>
        <v>109.629</v>
      </c>
      <c r="U307" s="113"/>
      <c r="V307" s="81">
        <f t="shared" si="14"/>
        <v>0</v>
      </c>
      <c r="W307" s="422"/>
      <c r="X307" s="423"/>
      <c r="Y307" s="424"/>
      <c r="Z307" s="422"/>
      <c r="AA307" s="423"/>
      <c r="AB307" s="424"/>
      <c r="AC307" s="81"/>
      <c r="AD307" s="93" t="str">
        <f t="shared" si="8"/>
        <v/>
      </c>
      <c r="AE307" s="94" t="e">
        <f t="shared" si="9"/>
        <v>#VALUE!</v>
      </c>
      <c r="AF307" s="134" t="s">
        <v>85</v>
      </c>
      <c r="AG307" s="135">
        <v>0.01</v>
      </c>
      <c r="AH307" s="136">
        <f t="shared" si="10"/>
        <v>4.6850000000000008E-3</v>
      </c>
      <c r="AI307" s="80"/>
      <c r="AJ307" s="154"/>
      <c r="AK307" s="100" t="str">
        <f t="shared" si="21"/>
        <v/>
      </c>
      <c r="AL307" s="138"/>
      <c r="AM307" s="113"/>
      <c r="AN307" s="103" t="str">
        <f t="shared" si="12"/>
        <v/>
      </c>
      <c r="AO307" s="139"/>
      <c r="AP307" s="140"/>
      <c r="AQ307" s="141" t="str">
        <f t="shared" si="15"/>
        <v/>
      </c>
      <c r="AR307" s="142"/>
      <c r="AS307" s="140"/>
      <c r="AT307" s="143" t="str">
        <f t="shared" si="16"/>
        <v/>
      </c>
      <c r="AU307" s="139"/>
      <c r="AV307" s="113"/>
      <c r="AW307" s="107" t="str">
        <f t="shared" si="17"/>
        <v/>
      </c>
      <c r="AX307" s="113"/>
      <c r="AY307" s="113"/>
      <c r="AZ307" s="144" t="str">
        <f t="shared" si="18"/>
        <v/>
      </c>
      <c r="BA307" s="80"/>
      <c r="BB307" s="140"/>
      <c r="BC307" s="145" t="str">
        <f t="shared" si="19"/>
        <v/>
      </c>
      <c r="BD307" s="113"/>
      <c r="BE307" s="114"/>
      <c r="BF307" s="146" t="str">
        <f t="shared" si="20"/>
        <v/>
      </c>
      <c r="BG307" s="147" t="s">
        <v>84</v>
      </c>
      <c r="BH307" s="148"/>
      <c r="BI307" s="156"/>
      <c r="BJ307" s="150">
        <f>'Degrémont sortie'!BI307</f>
        <v>0</v>
      </c>
      <c r="BK307" s="151">
        <f>'Degrémont sortie'!BJ307</f>
        <v>0</v>
      </c>
    </row>
    <row r="308" spans="1:63" ht="14.25" outlineLevel="1">
      <c r="A308" s="152">
        <f t="shared" si="13"/>
        <v>43760</v>
      </c>
      <c r="B308" s="122">
        <v>1284</v>
      </c>
      <c r="C308" s="123">
        <v>8.0299999999999994</v>
      </c>
      <c r="D308" s="124">
        <v>87.1</v>
      </c>
      <c r="E308" s="125">
        <v>128.30000000000001</v>
      </c>
      <c r="F308" s="126">
        <v>30</v>
      </c>
      <c r="G308" s="127">
        <f t="shared" si="0"/>
        <v>1373.3333333333337</v>
      </c>
      <c r="H308" s="128">
        <f t="shared" si="1"/>
        <v>1763.3600000000004</v>
      </c>
      <c r="I308" s="129">
        <v>1</v>
      </c>
      <c r="J308" s="126">
        <v>1957</v>
      </c>
      <c r="K308" s="79">
        <f t="shared" si="2"/>
        <v>1957</v>
      </c>
      <c r="L308" s="128">
        <f t="shared" si="3"/>
        <v>2512.788</v>
      </c>
      <c r="M308" s="130">
        <v>1</v>
      </c>
      <c r="N308" s="126">
        <v>415</v>
      </c>
      <c r="O308" s="80">
        <f t="shared" si="4"/>
        <v>415</v>
      </c>
      <c r="P308" s="81">
        <f t="shared" si="5"/>
        <v>532.86</v>
      </c>
      <c r="Q308" s="129">
        <v>10</v>
      </c>
      <c r="R308" s="131">
        <v>7.74</v>
      </c>
      <c r="S308" s="127">
        <f t="shared" si="6"/>
        <v>77.400000000000006</v>
      </c>
      <c r="T308" s="128">
        <f t="shared" si="7"/>
        <v>99.381600000000006</v>
      </c>
      <c r="U308" s="131">
        <v>51</v>
      </c>
      <c r="V308" s="81">
        <f t="shared" si="14"/>
        <v>65.483999999999995</v>
      </c>
      <c r="W308" s="422"/>
      <c r="X308" s="423"/>
      <c r="Y308" s="424"/>
      <c r="Z308" s="422"/>
      <c r="AA308" s="423"/>
      <c r="AB308" s="424"/>
      <c r="AC308" s="81"/>
      <c r="AD308" s="93" t="str">
        <f t="shared" si="8"/>
        <v/>
      </c>
      <c r="AE308" s="94" t="e">
        <f t="shared" si="9"/>
        <v>#VALUE!</v>
      </c>
      <c r="AF308" s="134" t="s">
        <v>85</v>
      </c>
      <c r="AG308" s="135">
        <v>0.01</v>
      </c>
      <c r="AH308" s="136">
        <f t="shared" si="10"/>
        <v>6.4200000000000004E-3</v>
      </c>
      <c r="AI308" s="80"/>
      <c r="AJ308" s="154"/>
      <c r="AK308" s="100" t="str">
        <f t="shared" si="21"/>
        <v/>
      </c>
      <c r="AL308" s="138"/>
      <c r="AM308" s="131">
        <v>29</v>
      </c>
      <c r="AN308" s="103">
        <f t="shared" si="12"/>
        <v>264.36399999999998</v>
      </c>
      <c r="AO308" s="139"/>
      <c r="AP308" s="155">
        <v>59.28</v>
      </c>
      <c r="AQ308" s="141">
        <f t="shared" si="15"/>
        <v>540.39648</v>
      </c>
      <c r="AR308" s="393" t="s">
        <v>85</v>
      </c>
      <c r="AS308" s="155">
        <v>0.03</v>
      </c>
      <c r="AT308" s="143">
        <f t="shared" si="16"/>
        <v>0.13674</v>
      </c>
      <c r="AU308" s="139"/>
      <c r="AV308" s="131">
        <v>26.86</v>
      </c>
      <c r="AW308" s="107">
        <f t="shared" si="17"/>
        <v>244.85575999999998</v>
      </c>
      <c r="AX308" s="131"/>
      <c r="AY308" s="131">
        <v>208.6</v>
      </c>
      <c r="AZ308" s="144">
        <f t="shared" si="18"/>
        <v>1901.5975999999998</v>
      </c>
      <c r="BA308" s="80"/>
      <c r="BB308" s="155">
        <v>0.2</v>
      </c>
      <c r="BC308" s="145">
        <f t="shared" si="19"/>
        <v>1.8231999999999999</v>
      </c>
      <c r="BD308" s="113"/>
      <c r="BE308" s="158">
        <v>0.14000000000000001</v>
      </c>
      <c r="BF308" s="146">
        <f t="shared" si="20"/>
        <v>1.27624</v>
      </c>
      <c r="BG308" s="147" t="s">
        <v>84</v>
      </c>
      <c r="BH308" s="148"/>
      <c r="BI308" s="156"/>
      <c r="BJ308" s="150">
        <f>'Degrémont sortie'!BI308</f>
        <v>0</v>
      </c>
      <c r="BK308" s="151">
        <f>'Degrémont sortie'!BJ308</f>
        <v>0</v>
      </c>
    </row>
    <row r="309" spans="1:63" ht="15.75" customHeight="1" outlineLevel="1">
      <c r="A309" s="121">
        <f t="shared" si="13"/>
        <v>43761</v>
      </c>
      <c r="B309" s="122">
        <v>1186</v>
      </c>
      <c r="C309" s="123">
        <v>8.16</v>
      </c>
      <c r="D309" s="124">
        <v>88.4</v>
      </c>
      <c r="E309" s="125">
        <v>308.3</v>
      </c>
      <c r="F309" s="126">
        <v>30</v>
      </c>
      <c r="G309" s="127">
        <f t="shared" si="0"/>
        <v>7330</v>
      </c>
      <c r="H309" s="128">
        <f t="shared" si="1"/>
        <v>8693.3799999999992</v>
      </c>
      <c r="I309" s="129">
        <v>1</v>
      </c>
      <c r="J309" s="126">
        <v>5949</v>
      </c>
      <c r="K309" s="79">
        <f t="shared" si="2"/>
        <v>5949</v>
      </c>
      <c r="L309" s="128">
        <f t="shared" si="3"/>
        <v>7055.5140000000001</v>
      </c>
      <c r="M309" s="130">
        <v>1</v>
      </c>
      <c r="N309" s="126">
        <v>550</v>
      </c>
      <c r="O309" s="80">
        <f t="shared" si="4"/>
        <v>550</v>
      </c>
      <c r="P309" s="81">
        <f t="shared" si="5"/>
        <v>652.29999999999995</v>
      </c>
      <c r="Q309" s="129">
        <v>10</v>
      </c>
      <c r="R309" s="131">
        <v>23.7</v>
      </c>
      <c r="S309" s="127">
        <f t="shared" si="6"/>
        <v>237</v>
      </c>
      <c r="T309" s="128">
        <f t="shared" si="7"/>
        <v>281.08199999999999</v>
      </c>
      <c r="U309" s="113"/>
      <c r="V309" s="81">
        <f t="shared" si="14"/>
        <v>0</v>
      </c>
      <c r="W309" s="422"/>
      <c r="X309" s="423"/>
      <c r="Y309" s="424"/>
      <c r="Z309" s="422"/>
      <c r="AA309" s="423"/>
      <c r="AB309" s="424"/>
      <c r="AC309" s="81"/>
      <c r="AD309" s="93" t="str">
        <f t="shared" si="8"/>
        <v/>
      </c>
      <c r="AE309" s="94" t="e">
        <f t="shared" si="9"/>
        <v>#VALUE!</v>
      </c>
      <c r="AF309" s="134" t="s">
        <v>85</v>
      </c>
      <c r="AG309" s="135">
        <v>0.01</v>
      </c>
      <c r="AH309" s="136">
        <f t="shared" si="10"/>
        <v>5.9299999999999995E-3</v>
      </c>
      <c r="AI309" s="80"/>
      <c r="AJ309" s="154"/>
      <c r="AK309" s="100" t="str">
        <f t="shared" si="21"/>
        <v/>
      </c>
      <c r="AL309" s="138"/>
      <c r="AM309" s="113"/>
      <c r="AN309" s="103" t="str">
        <f t="shared" si="12"/>
        <v/>
      </c>
      <c r="AO309" s="139"/>
      <c r="AP309" s="140"/>
      <c r="AQ309" s="141" t="str">
        <f t="shared" si="15"/>
        <v/>
      </c>
      <c r="AR309" s="142"/>
      <c r="AS309" s="140"/>
      <c r="AT309" s="143" t="str">
        <f t="shared" si="16"/>
        <v/>
      </c>
      <c r="AU309" s="139"/>
      <c r="AV309" s="113"/>
      <c r="AW309" s="107" t="str">
        <f t="shared" si="17"/>
        <v/>
      </c>
      <c r="AX309" s="113"/>
      <c r="AY309" s="113"/>
      <c r="AZ309" s="144" t="str">
        <f t="shared" si="18"/>
        <v/>
      </c>
      <c r="BA309" s="80"/>
      <c r="BB309" s="140"/>
      <c r="BC309" s="145" t="str">
        <f t="shared" si="19"/>
        <v/>
      </c>
      <c r="BD309" s="113"/>
      <c r="BE309" s="114"/>
      <c r="BF309" s="146" t="str">
        <f t="shared" si="20"/>
        <v/>
      </c>
      <c r="BG309" s="147" t="s">
        <v>84</v>
      </c>
      <c r="BH309" s="148"/>
      <c r="BI309" s="156"/>
      <c r="BJ309" s="150">
        <f>'Degrémont sortie'!BI309</f>
        <v>0</v>
      </c>
      <c r="BK309" s="151">
        <f>'Degrémont sortie'!BJ309</f>
        <v>0</v>
      </c>
    </row>
    <row r="310" spans="1:63" ht="15.75" customHeight="1" outlineLevel="1">
      <c r="A310" s="152">
        <f t="shared" si="13"/>
        <v>43762</v>
      </c>
      <c r="B310" s="122">
        <v>1210</v>
      </c>
      <c r="C310" s="123">
        <v>8.2799999999999994</v>
      </c>
      <c r="D310" s="124">
        <v>87.8</v>
      </c>
      <c r="E310" s="125">
        <v>290.60000000000002</v>
      </c>
      <c r="F310" s="126">
        <v>29</v>
      </c>
      <c r="G310" s="127">
        <f t="shared" si="0"/>
        <v>6993.1034482758623</v>
      </c>
      <c r="H310" s="128">
        <f t="shared" si="1"/>
        <v>8461.6551724137935</v>
      </c>
      <c r="I310" s="129">
        <v>1</v>
      </c>
      <c r="J310" s="126">
        <v>5560</v>
      </c>
      <c r="K310" s="79">
        <f t="shared" si="2"/>
        <v>5560</v>
      </c>
      <c r="L310" s="128">
        <f t="shared" si="3"/>
        <v>6727.6</v>
      </c>
      <c r="M310" s="130">
        <v>1</v>
      </c>
      <c r="N310" s="126">
        <v>330</v>
      </c>
      <c r="O310" s="80">
        <f t="shared" si="4"/>
        <v>330</v>
      </c>
      <c r="P310" s="81">
        <f t="shared" si="5"/>
        <v>399.3</v>
      </c>
      <c r="Q310" s="129">
        <v>10</v>
      </c>
      <c r="R310" s="131">
        <v>27.3</v>
      </c>
      <c r="S310" s="127">
        <f t="shared" si="6"/>
        <v>273</v>
      </c>
      <c r="T310" s="128">
        <f t="shared" si="7"/>
        <v>330.33</v>
      </c>
      <c r="U310" s="113"/>
      <c r="V310" s="81">
        <f t="shared" si="14"/>
        <v>0</v>
      </c>
      <c r="W310" s="422"/>
      <c r="X310" s="423"/>
      <c r="Y310" s="424"/>
      <c r="Z310" s="422"/>
      <c r="AA310" s="423"/>
      <c r="AB310" s="424"/>
      <c r="AC310" s="81"/>
      <c r="AD310" s="93" t="str">
        <f t="shared" si="8"/>
        <v/>
      </c>
      <c r="AE310" s="94" t="e">
        <f t="shared" si="9"/>
        <v>#VALUE!</v>
      </c>
      <c r="AF310" s="134" t="s">
        <v>85</v>
      </c>
      <c r="AG310" s="135">
        <v>0.01</v>
      </c>
      <c r="AH310" s="136">
        <f t="shared" si="10"/>
        <v>6.0499999999999998E-3</v>
      </c>
      <c r="AI310" s="80"/>
      <c r="AJ310" s="154"/>
      <c r="AK310" s="100" t="str">
        <f t="shared" si="21"/>
        <v/>
      </c>
      <c r="AL310" s="138"/>
      <c r="AM310" s="113"/>
      <c r="AN310" s="103" t="str">
        <f t="shared" si="12"/>
        <v/>
      </c>
      <c r="AO310" s="139"/>
      <c r="AP310" s="140"/>
      <c r="AQ310" s="141" t="str">
        <f t="shared" si="15"/>
        <v/>
      </c>
      <c r="AR310" s="142"/>
      <c r="AS310" s="140"/>
      <c r="AT310" s="143" t="str">
        <f t="shared" si="16"/>
        <v/>
      </c>
      <c r="AU310" s="139"/>
      <c r="AV310" s="113"/>
      <c r="AW310" s="107" t="str">
        <f t="shared" si="17"/>
        <v/>
      </c>
      <c r="AX310" s="113"/>
      <c r="AY310" s="113"/>
      <c r="AZ310" s="144" t="str">
        <f t="shared" si="18"/>
        <v/>
      </c>
      <c r="BA310" s="80"/>
      <c r="BB310" s="140"/>
      <c r="BC310" s="145" t="str">
        <f t="shared" si="19"/>
        <v/>
      </c>
      <c r="BD310" s="113"/>
      <c r="BE310" s="114"/>
      <c r="BF310" s="146" t="str">
        <f t="shared" si="20"/>
        <v/>
      </c>
      <c r="BG310" s="147" t="s">
        <v>84</v>
      </c>
      <c r="BH310" s="148"/>
      <c r="BI310" s="156"/>
      <c r="BJ310" s="150">
        <f>'Degrémont sortie'!BI310</f>
        <v>0</v>
      </c>
      <c r="BK310" s="151">
        <f>'Degrémont sortie'!BJ310</f>
        <v>0</v>
      </c>
    </row>
    <row r="311" spans="1:63" ht="15.75" customHeight="1" outlineLevel="1">
      <c r="A311" s="121">
        <f t="shared" si="13"/>
        <v>43763</v>
      </c>
      <c r="B311" s="122">
        <v>1051</v>
      </c>
      <c r="C311" s="123">
        <v>7.87</v>
      </c>
      <c r="D311" s="124">
        <v>88.1</v>
      </c>
      <c r="E311" s="125">
        <v>288</v>
      </c>
      <c r="F311" s="126">
        <v>30</v>
      </c>
      <c r="G311" s="127">
        <f t="shared" si="0"/>
        <v>6663.333333333333</v>
      </c>
      <c r="H311" s="128">
        <f t="shared" si="1"/>
        <v>7003.163333333333</v>
      </c>
      <c r="I311" s="129">
        <v>1</v>
      </c>
      <c r="J311" s="126">
        <v>7022</v>
      </c>
      <c r="K311" s="79">
        <f t="shared" si="2"/>
        <v>7022</v>
      </c>
      <c r="L311" s="128">
        <f t="shared" si="3"/>
        <v>7380.1220000000003</v>
      </c>
      <c r="M311" s="130">
        <v>1</v>
      </c>
      <c r="N311" s="126">
        <v>1202</v>
      </c>
      <c r="O311" s="80">
        <f t="shared" si="4"/>
        <v>1202</v>
      </c>
      <c r="P311" s="81">
        <f t="shared" si="5"/>
        <v>1263.3019999999999</v>
      </c>
      <c r="Q311" s="129">
        <v>10</v>
      </c>
      <c r="R311" s="131">
        <v>21.2</v>
      </c>
      <c r="S311" s="127">
        <f t="shared" si="6"/>
        <v>212</v>
      </c>
      <c r="T311" s="128">
        <f t="shared" si="7"/>
        <v>222.81200000000001</v>
      </c>
      <c r="U311" s="113"/>
      <c r="V311" s="81">
        <f t="shared" si="14"/>
        <v>0</v>
      </c>
      <c r="W311" s="422"/>
      <c r="X311" s="423"/>
      <c r="Y311" s="424"/>
      <c r="Z311" s="422"/>
      <c r="AA311" s="423"/>
      <c r="AB311" s="424"/>
      <c r="AC311" s="81"/>
      <c r="AD311" s="93" t="str">
        <f t="shared" si="8"/>
        <v/>
      </c>
      <c r="AE311" s="94" t="e">
        <f t="shared" si="9"/>
        <v>#VALUE!</v>
      </c>
      <c r="AF311" s="134" t="s">
        <v>85</v>
      </c>
      <c r="AG311" s="135">
        <v>0.01</v>
      </c>
      <c r="AH311" s="136">
        <f t="shared" si="10"/>
        <v>5.2550000000000001E-3</v>
      </c>
      <c r="AI311" s="80"/>
      <c r="AJ311" s="154"/>
      <c r="AK311" s="100" t="str">
        <f t="shared" si="21"/>
        <v/>
      </c>
      <c r="AL311" s="138"/>
      <c r="AM311" s="113"/>
      <c r="AN311" s="103" t="str">
        <f t="shared" si="12"/>
        <v/>
      </c>
      <c r="AO311" s="139"/>
      <c r="AP311" s="140"/>
      <c r="AQ311" s="141" t="str">
        <f t="shared" si="15"/>
        <v/>
      </c>
      <c r="AR311" s="142"/>
      <c r="AS311" s="140"/>
      <c r="AT311" s="143" t="str">
        <f t="shared" si="16"/>
        <v/>
      </c>
      <c r="AU311" s="139"/>
      <c r="AV311" s="113"/>
      <c r="AW311" s="107" t="str">
        <f t="shared" si="17"/>
        <v/>
      </c>
      <c r="AX311" s="113"/>
      <c r="AY311" s="113"/>
      <c r="AZ311" s="144" t="str">
        <f t="shared" si="18"/>
        <v/>
      </c>
      <c r="BA311" s="80"/>
      <c r="BB311" s="140"/>
      <c r="BC311" s="145" t="str">
        <f t="shared" si="19"/>
        <v/>
      </c>
      <c r="BD311" s="113"/>
      <c r="BE311" s="114"/>
      <c r="BF311" s="146" t="str">
        <f t="shared" si="20"/>
        <v/>
      </c>
      <c r="BG311" s="147" t="s">
        <v>84</v>
      </c>
      <c r="BH311" s="148"/>
      <c r="BI311" s="156"/>
      <c r="BJ311" s="150">
        <f>'Degrémont sortie'!BI311</f>
        <v>0</v>
      </c>
      <c r="BK311" s="151">
        <f>'Degrémont sortie'!BJ311</f>
        <v>0</v>
      </c>
    </row>
    <row r="312" spans="1:63" ht="15.75" customHeight="1" outlineLevel="1">
      <c r="A312" s="152">
        <f t="shared" si="13"/>
        <v>43764</v>
      </c>
      <c r="B312" s="122">
        <v>1085</v>
      </c>
      <c r="C312" s="123">
        <v>7.91</v>
      </c>
      <c r="D312" s="124">
        <v>89.8</v>
      </c>
      <c r="E312" s="125">
        <v>279.39999999999998</v>
      </c>
      <c r="F312" s="126">
        <v>30</v>
      </c>
      <c r="G312" s="127">
        <f t="shared" si="0"/>
        <v>6319.9999999999991</v>
      </c>
      <c r="H312" s="128">
        <f t="shared" si="1"/>
        <v>6857.1999999999989</v>
      </c>
      <c r="I312" s="129">
        <v>1</v>
      </c>
      <c r="J312" s="126">
        <v>6021</v>
      </c>
      <c r="K312" s="79">
        <f t="shared" si="2"/>
        <v>6021</v>
      </c>
      <c r="L312" s="128">
        <f t="shared" si="3"/>
        <v>6532.7849999999999</v>
      </c>
      <c r="M312" s="130">
        <v>1</v>
      </c>
      <c r="N312" s="126">
        <v>428</v>
      </c>
      <c r="O312" s="80">
        <f t="shared" si="4"/>
        <v>428</v>
      </c>
      <c r="P312" s="81">
        <f t="shared" si="5"/>
        <v>464.38</v>
      </c>
      <c r="Q312" s="129">
        <v>10</v>
      </c>
      <c r="R312" s="131">
        <v>22.3</v>
      </c>
      <c r="S312" s="127">
        <f t="shared" si="6"/>
        <v>223</v>
      </c>
      <c r="T312" s="128">
        <f t="shared" si="7"/>
        <v>241.95500000000001</v>
      </c>
      <c r="U312" s="113"/>
      <c r="V312" s="81">
        <f t="shared" si="14"/>
        <v>0</v>
      </c>
      <c r="W312" s="422"/>
      <c r="X312" s="423"/>
      <c r="Y312" s="424"/>
      <c r="Z312" s="422"/>
      <c r="AA312" s="423"/>
      <c r="AB312" s="424"/>
      <c r="AC312" s="81"/>
      <c r="AD312" s="93" t="str">
        <f t="shared" si="8"/>
        <v/>
      </c>
      <c r="AE312" s="94" t="e">
        <f t="shared" si="9"/>
        <v>#VALUE!</v>
      </c>
      <c r="AF312" s="134" t="s">
        <v>85</v>
      </c>
      <c r="AG312" s="135">
        <v>0.01</v>
      </c>
      <c r="AH312" s="136">
        <f t="shared" si="10"/>
        <v>5.4250000000000001E-3</v>
      </c>
      <c r="AI312" s="80"/>
      <c r="AJ312" s="154"/>
      <c r="AK312" s="100" t="str">
        <f t="shared" si="21"/>
        <v/>
      </c>
      <c r="AL312" s="138"/>
      <c r="AM312" s="113"/>
      <c r="AN312" s="103" t="str">
        <f t="shared" si="12"/>
        <v/>
      </c>
      <c r="AO312" s="139"/>
      <c r="AP312" s="140"/>
      <c r="AQ312" s="141" t="str">
        <f t="shared" si="15"/>
        <v/>
      </c>
      <c r="AR312" s="142"/>
      <c r="AS312" s="140"/>
      <c r="AT312" s="143" t="str">
        <f t="shared" si="16"/>
        <v/>
      </c>
      <c r="AU312" s="139"/>
      <c r="AV312" s="113"/>
      <c r="AW312" s="107" t="str">
        <f t="shared" si="17"/>
        <v/>
      </c>
      <c r="AX312" s="113"/>
      <c r="AY312" s="113"/>
      <c r="AZ312" s="144" t="str">
        <f t="shared" si="18"/>
        <v/>
      </c>
      <c r="BA312" s="80"/>
      <c r="BB312" s="140"/>
      <c r="BC312" s="145" t="str">
        <f t="shared" si="19"/>
        <v/>
      </c>
      <c r="BD312" s="113"/>
      <c r="BE312" s="114"/>
      <c r="BF312" s="146" t="str">
        <f t="shared" si="20"/>
        <v/>
      </c>
      <c r="BG312" s="147" t="s">
        <v>84</v>
      </c>
      <c r="BH312" s="148"/>
      <c r="BI312" s="156"/>
      <c r="BJ312" s="150">
        <f>'Degrémont sortie'!BI312</f>
        <v>0</v>
      </c>
      <c r="BK312" s="151">
        <f>'Degrémont sortie'!BJ312</f>
        <v>0</v>
      </c>
    </row>
    <row r="313" spans="1:63" ht="15.75" customHeight="1" outlineLevel="1">
      <c r="A313" s="121">
        <f t="shared" si="13"/>
        <v>43765</v>
      </c>
      <c r="B313" s="207"/>
      <c r="C313" s="208"/>
      <c r="D313" s="210"/>
      <c r="E313" s="211"/>
      <c r="F313" s="80"/>
      <c r="G313" s="127">
        <f t="shared" si="0"/>
        <v>0</v>
      </c>
      <c r="H313" s="128">
        <f t="shared" si="1"/>
        <v>0</v>
      </c>
      <c r="I313" s="129">
        <v>1</v>
      </c>
      <c r="J313" s="80"/>
      <c r="K313" s="79">
        <f t="shared" si="2"/>
        <v>0</v>
      </c>
      <c r="L313" s="128">
        <f t="shared" si="3"/>
        <v>0</v>
      </c>
      <c r="M313" s="130">
        <v>1</v>
      </c>
      <c r="N313" s="80"/>
      <c r="O313" s="80" t="str">
        <f t="shared" si="4"/>
        <v/>
      </c>
      <c r="P313" s="81">
        <f t="shared" si="5"/>
        <v>0</v>
      </c>
      <c r="Q313" s="213"/>
      <c r="R313" s="113"/>
      <c r="S313" s="127" t="str">
        <f t="shared" si="6"/>
        <v/>
      </c>
      <c r="T313" s="128">
        <f t="shared" si="7"/>
        <v>0</v>
      </c>
      <c r="U313" s="113"/>
      <c r="V313" s="81">
        <f t="shared" si="14"/>
        <v>0</v>
      </c>
      <c r="W313" s="422"/>
      <c r="X313" s="423"/>
      <c r="Y313" s="424"/>
      <c r="Z313" s="422"/>
      <c r="AA313" s="423"/>
      <c r="AB313" s="424"/>
      <c r="AC313" s="81"/>
      <c r="AD313" s="93" t="str">
        <f t="shared" si="8"/>
        <v/>
      </c>
      <c r="AE313" s="94" t="str">
        <f t="shared" si="9"/>
        <v/>
      </c>
      <c r="AF313" s="139"/>
      <c r="AG313" s="215"/>
      <c r="AH313" s="136" t="str">
        <f t="shared" si="10"/>
        <v/>
      </c>
      <c r="AI313" s="80"/>
      <c r="AJ313" s="154"/>
      <c r="AK313" s="100" t="str">
        <f t="shared" si="21"/>
        <v/>
      </c>
      <c r="AL313" s="138"/>
      <c r="AM313" s="113"/>
      <c r="AN313" s="103" t="str">
        <f t="shared" si="12"/>
        <v/>
      </c>
      <c r="AO313" s="139"/>
      <c r="AP313" s="140"/>
      <c r="AQ313" s="141" t="str">
        <f t="shared" si="15"/>
        <v/>
      </c>
      <c r="AR313" s="142"/>
      <c r="AS313" s="140"/>
      <c r="AT313" s="143" t="str">
        <f t="shared" si="16"/>
        <v/>
      </c>
      <c r="AU313" s="139"/>
      <c r="AV313" s="113"/>
      <c r="AW313" s="107" t="str">
        <f t="shared" si="17"/>
        <v/>
      </c>
      <c r="AX313" s="113"/>
      <c r="AY313" s="113"/>
      <c r="AZ313" s="144" t="str">
        <f t="shared" si="18"/>
        <v/>
      </c>
      <c r="BA313" s="80"/>
      <c r="BB313" s="140"/>
      <c r="BC313" s="145" t="str">
        <f t="shared" si="19"/>
        <v/>
      </c>
      <c r="BD313" s="113"/>
      <c r="BE313" s="114"/>
      <c r="BF313" s="146" t="str">
        <f t="shared" si="20"/>
        <v/>
      </c>
      <c r="BG313" s="147" t="s">
        <v>84</v>
      </c>
      <c r="BH313" s="148"/>
      <c r="BI313" s="156"/>
      <c r="BJ313" s="150">
        <f>'Degrémont sortie'!BI313</f>
        <v>0</v>
      </c>
      <c r="BK313" s="151">
        <f>'Degrémont sortie'!BJ313</f>
        <v>0</v>
      </c>
    </row>
    <row r="314" spans="1:63" ht="14.25" outlineLevel="1">
      <c r="A314" s="152">
        <f t="shared" si="13"/>
        <v>43766</v>
      </c>
      <c r="B314" s="183">
        <v>834</v>
      </c>
      <c r="C314" s="184">
        <v>7.78</v>
      </c>
      <c r="D314" s="185">
        <v>89</v>
      </c>
      <c r="E314" s="186">
        <v>268.8</v>
      </c>
      <c r="F314" s="187">
        <v>29</v>
      </c>
      <c r="G314" s="127">
        <f t="shared" si="0"/>
        <v>6200</v>
      </c>
      <c r="H314" s="128">
        <f t="shared" si="1"/>
        <v>5170.8</v>
      </c>
      <c r="I314" s="188">
        <v>1</v>
      </c>
      <c r="J314" s="187">
        <v>5440</v>
      </c>
      <c r="K314" s="79">
        <f t="shared" si="2"/>
        <v>5440</v>
      </c>
      <c r="L314" s="128">
        <f t="shared" si="3"/>
        <v>4536.96</v>
      </c>
      <c r="M314" s="189">
        <v>1</v>
      </c>
      <c r="N314" s="187">
        <v>309</v>
      </c>
      <c r="O314" s="80">
        <f t="shared" si="4"/>
        <v>309</v>
      </c>
      <c r="P314" s="81">
        <f t="shared" si="5"/>
        <v>257.70600000000002</v>
      </c>
      <c r="Q314" s="188">
        <v>10</v>
      </c>
      <c r="R314" s="190">
        <v>23.4</v>
      </c>
      <c r="S314" s="127">
        <f t="shared" si="6"/>
        <v>234</v>
      </c>
      <c r="T314" s="128">
        <f t="shared" si="7"/>
        <v>195.15600000000001</v>
      </c>
      <c r="U314" s="191"/>
      <c r="V314" s="81">
        <f t="shared" si="14"/>
        <v>0</v>
      </c>
      <c r="W314" s="422"/>
      <c r="X314" s="423"/>
      <c r="Y314" s="424"/>
      <c r="Z314" s="422"/>
      <c r="AA314" s="423"/>
      <c r="AB314" s="424"/>
      <c r="AC314" s="81"/>
      <c r="AD314" s="93" t="str">
        <f t="shared" si="8"/>
        <v/>
      </c>
      <c r="AE314" s="94" t="e">
        <f t="shared" si="9"/>
        <v>#VALUE!</v>
      </c>
      <c r="AF314" s="192" t="s">
        <v>85</v>
      </c>
      <c r="AG314" s="193">
        <v>0.01</v>
      </c>
      <c r="AH314" s="136">
        <f t="shared" si="10"/>
        <v>4.1700000000000001E-3</v>
      </c>
      <c r="AI314" s="80"/>
      <c r="AJ314" s="154"/>
      <c r="AK314" s="100" t="str">
        <f t="shared" si="21"/>
        <v/>
      </c>
      <c r="AL314" s="194"/>
      <c r="AM314" s="191"/>
      <c r="AN314" s="103" t="str">
        <f t="shared" si="12"/>
        <v/>
      </c>
      <c r="AO314" s="195"/>
      <c r="AP314" s="196"/>
      <c r="AQ314" s="141" t="str">
        <f t="shared" si="15"/>
        <v/>
      </c>
      <c r="AR314" s="197"/>
      <c r="AS314" s="196"/>
      <c r="AT314" s="143" t="str">
        <f t="shared" si="16"/>
        <v/>
      </c>
      <c r="AU314" s="195"/>
      <c r="AV314" s="191"/>
      <c r="AW314" s="107" t="str">
        <f t="shared" si="17"/>
        <v/>
      </c>
      <c r="AX314" s="191"/>
      <c r="AY314" s="191"/>
      <c r="AZ314" s="144" t="str">
        <f t="shared" si="18"/>
        <v/>
      </c>
      <c r="BA314" s="198"/>
      <c r="BB314" s="196"/>
      <c r="BC314" s="145" t="str">
        <f t="shared" si="19"/>
        <v/>
      </c>
      <c r="BD314" s="191"/>
      <c r="BE314" s="199"/>
      <c r="BF314" s="146" t="str">
        <f t="shared" si="20"/>
        <v/>
      </c>
      <c r="BG314" s="147" t="s">
        <v>84</v>
      </c>
      <c r="BH314" s="200"/>
      <c r="BI314" s="391"/>
      <c r="BJ314" s="150">
        <f>'Degrémont sortie'!BI314</f>
        <v>0</v>
      </c>
      <c r="BK314" s="151">
        <f>'Degrémont sortie'!BJ314</f>
        <v>0</v>
      </c>
    </row>
    <row r="315" spans="1:63" ht="14.25" outlineLevel="1">
      <c r="A315" s="121">
        <f t="shared" si="13"/>
        <v>43767</v>
      </c>
      <c r="B315" s="122">
        <v>985</v>
      </c>
      <c r="C315" s="123">
        <v>7.66</v>
      </c>
      <c r="D315" s="124">
        <v>89.8</v>
      </c>
      <c r="E315" s="125">
        <v>188.6</v>
      </c>
      <c r="F315" s="126">
        <v>34</v>
      </c>
      <c r="G315" s="127">
        <f t="shared" si="0"/>
        <v>2905.8823529411766</v>
      </c>
      <c r="H315" s="128">
        <f t="shared" si="1"/>
        <v>2862.294117647059</v>
      </c>
      <c r="I315" s="129">
        <v>1</v>
      </c>
      <c r="J315" s="126">
        <v>3308</v>
      </c>
      <c r="K315" s="79">
        <f t="shared" si="2"/>
        <v>3308</v>
      </c>
      <c r="L315" s="128">
        <f t="shared" si="3"/>
        <v>3258.38</v>
      </c>
      <c r="M315" s="130">
        <v>1</v>
      </c>
      <c r="N315" s="126">
        <v>408</v>
      </c>
      <c r="O315" s="80">
        <f t="shared" si="4"/>
        <v>408</v>
      </c>
      <c r="P315" s="81">
        <f t="shared" si="5"/>
        <v>401.88</v>
      </c>
      <c r="Q315" s="129">
        <v>10</v>
      </c>
      <c r="R315" s="131">
        <v>15.3</v>
      </c>
      <c r="S315" s="127">
        <f t="shared" si="6"/>
        <v>153</v>
      </c>
      <c r="T315" s="128">
        <f t="shared" si="7"/>
        <v>150.70500000000001</v>
      </c>
      <c r="U315" s="131">
        <v>57</v>
      </c>
      <c r="V315" s="81">
        <f t="shared" si="14"/>
        <v>56.145000000000003</v>
      </c>
      <c r="W315" s="422"/>
      <c r="X315" s="423"/>
      <c r="Y315" s="424"/>
      <c r="Z315" s="422"/>
      <c r="AA315" s="423"/>
      <c r="AB315" s="424"/>
      <c r="AC315" s="81"/>
      <c r="AD315" s="93" t="str">
        <f t="shared" si="8"/>
        <v/>
      </c>
      <c r="AE315" s="94" t="e">
        <f t="shared" si="9"/>
        <v>#VALUE!</v>
      </c>
      <c r="AF315" s="134" t="s">
        <v>85</v>
      </c>
      <c r="AG315" s="135">
        <v>0.01</v>
      </c>
      <c r="AH315" s="136">
        <f t="shared" si="10"/>
        <v>4.9249999999999997E-3</v>
      </c>
      <c r="AI315" s="80"/>
      <c r="AJ315" s="154"/>
      <c r="AK315" s="100" t="str">
        <f t="shared" si="21"/>
        <v/>
      </c>
      <c r="AL315" s="138"/>
      <c r="AM315" s="131">
        <v>0.32</v>
      </c>
      <c r="AN315" s="103">
        <f t="shared" si="12"/>
        <v>2.7302400000000002</v>
      </c>
      <c r="AO315" s="139"/>
      <c r="AP315" s="155">
        <v>31.33</v>
      </c>
      <c r="AQ315" s="141">
        <f t="shared" si="15"/>
        <v>267.30755999999997</v>
      </c>
      <c r="AR315" s="393" t="s">
        <v>85</v>
      </c>
      <c r="AS315" s="155">
        <v>0.03</v>
      </c>
      <c r="AT315" s="143">
        <f t="shared" si="16"/>
        <v>0.12797999999999998</v>
      </c>
      <c r="AU315" s="139"/>
      <c r="AV315" s="131">
        <v>20.27</v>
      </c>
      <c r="AW315" s="107">
        <f t="shared" si="17"/>
        <v>172.94363999999999</v>
      </c>
      <c r="AX315" s="131"/>
      <c r="AY315" s="131">
        <v>117.06</v>
      </c>
      <c r="AZ315" s="144">
        <f t="shared" si="18"/>
        <v>998.75592000000006</v>
      </c>
      <c r="BA315" s="80"/>
      <c r="BB315" s="155">
        <v>0.28999999999999998</v>
      </c>
      <c r="BC315" s="145">
        <f t="shared" si="19"/>
        <v>2.4742799999999998</v>
      </c>
      <c r="BD315" s="131" t="s">
        <v>85</v>
      </c>
      <c r="BE315" s="158">
        <v>0.13</v>
      </c>
      <c r="BF315" s="146">
        <f t="shared" si="20"/>
        <v>0.55458000000000007</v>
      </c>
      <c r="BG315" s="147" t="s">
        <v>84</v>
      </c>
      <c r="BH315" s="148"/>
      <c r="BI315" s="156"/>
      <c r="BJ315" s="150">
        <f>'Degrémont sortie'!BI315</f>
        <v>0</v>
      </c>
      <c r="BK315" s="151">
        <f>'Degrémont sortie'!BJ315</f>
        <v>0</v>
      </c>
    </row>
    <row r="316" spans="1:63" ht="14.25" outlineLevel="1">
      <c r="A316" s="152">
        <f t="shared" si="13"/>
        <v>43768</v>
      </c>
      <c r="B316" s="122">
        <v>897</v>
      </c>
      <c r="C316" s="123">
        <v>7.42</v>
      </c>
      <c r="D316" s="124">
        <v>89.3</v>
      </c>
      <c r="E316" s="125">
        <v>159.5</v>
      </c>
      <c r="F316" s="126">
        <v>30</v>
      </c>
      <c r="G316" s="127">
        <f t="shared" si="0"/>
        <v>2340</v>
      </c>
      <c r="H316" s="128">
        <f t="shared" si="1"/>
        <v>2098.98</v>
      </c>
      <c r="I316" s="129">
        <v>1</v>
      </c>
      <c r="J316" s="126">
        <v>3137</v>
      </c>
      <c r="K316" s="79">
        <f t="shared" si="2"/>
        <v>3137</v>
      </c>
      <c r="L316" s="128">
        <f t="shared" si="3"/>
        <v>2813.8890000000001</v>
      </c>
      <c r="M316" s="130">
        <v>1</v>
      </c>
      <c r="N316" s="126">
        <v>659</v>
      </c>
      <c r="O316" s="80">
        <f t="shared" si="4"/>
        <v>659</v>
      </c>
      <c r="P316" s="81">
        <f t="shared" si="5"/>
        <v>591.12300000000005</v>
      </c>
      <c r="Q316" s="129">
        <v>10</v>
      </c>
      <c r="R316" s="131">
        <v>12.6</v>
      </c>
      <c r="S316" s="127">
        <f t="shared" si="6"/>
        <v>126</v>
      </c>
      <c r="T316" s="128">
        <f t="shared" si="7"/>
        <v>113.02200000000001</v>
      </c>
      <c r="U316" s="113"/>
      <c r="V316" s="81">
        <f t="shared" si="14"/>
        <v>0</v>
      </c>
      <c r="W316" s="422"/>
      <c r="X316" s="423"/>
      <c r="Y316" s="424"/>
      <c r="Z316" s="422"/>
      <c r="AA316" s="423"/>
      <c r="AB316" s="424"/>
      <c r="AC316" s="81"/>
      <c r="AD316" s="93" t="str">
        <f t="shared" si="8"/>
        <v/>
      </c>
      <c r="AE316" s="94" t="e">
        <f t="shared" si="9"/>
        <v>#VALUE!</v>
      </c>
      <c r="AF316" s="134" t="s">
        <v>85</v>
      </c>
      <c r="AG316" s="135">
        <v>0.01</v>
      </c>
      <c r="AH316" s="136">
        <f t="shared" si="10"/>
        <v>4.4850000000000003E-3</v>
      </c>
      <c r="AI316" s="80"/>
      <c r="AJ316" s="154"/>
      <c r="AK316" s="100" t="str">
        <f t="shared" si="21"/>
        <v/>
      </c>
      <c r="AL316" s="138"/>
      <c r="AM316" s="113"/>
      <c r="AN316" s="103" t="str">
        <f t="shared" si="12"/>
        <v/>
      </c>
      <c r="AO316" s="139"/>
      <c r="AP316" s="140"/>
      <c r="AQ316" s="141" t="str">
        <f t="shared" si="15"/>
        <v/>
      </c>
      <c r="AR316" s="142"/>
      <c r="AS316" s="140"/>
      <c r="AT316" s="143" t="str">
        <f t="shared" si="16"/>
        <v/>
      </c>
      <c r="AU316" s="139"/>
      <c r="AV316" s="113"/>
      <c r="AW316" s="107" t="str">
        <f t="shared" si="17"/>
        <v/>
      </c>
      <c r="AX316" s="113"/>
      <c r="AY316" s="113"/>
      <c r="AZ316" s="144" t="str">
        <f t="shared" si="18"/>
        <v/>
      </c>
      <c r="BA316" s="80"/>
      <c r="BB316" s="140"/>
      <c r="BC316" s="145" t="str">
        <f t="shared" si="19"/>
        <v/>
      </c>
      <c r="BD316" s="113"/>
      <c r="BE316" s="114"/>
      <c r="BF316" s="146" t="str">
        <f t="shared" si="20"/>
        <v/>
      </c>
      <c r="BG316" s="147" t="s">
        <v>84</v>
      </c>
      <c r="BH316" s="148"/>
      <c r="BI316" s="156"/>
      <c r="BJ316" s="150">
        <f>'Degrémont sortie'!BI316</f>
        <v>0</v>
      </c>
      <c r="BK316" s="151">
        <f>'Degrémont sortie'!BJ316</f>
        <v>0</v>
      </c>
    </row>
    <row r="317" spans="1:63" ht="14.25" outlineLevel="1">
      <c r="A317" s="121">
        <f t="shared" si="13"/>
        <v>43769</v>
      </c>
      <c r="B317" s="122">
        <v>2272</v>
      </c>
      <c r="C317" s="123">
        <v>7.3</v>
      </c>
      <c r="D317" s="124">
        <v>88.1</v>
      </c>
      <c r="E317" s="125">
        <v>167.1</v>
      </c>
      <c r="F317" s="126">
        <v>30</v>
      </c>
      <c r="G317" s="127">
        <f t="shared" si="0"/>
        <v>2633.3333333333335</v>
      </c>
      <c r="H317" s="128">
        <f t="shared" si="1"/>
        <v>5982.9333333333343</v>
      </c>
      <c r="I317" s="129">
        <v>1</v>
      </c>
      <c r="J317" s="126">
        <v>3226</v>
      </c>
      <c r="K317" s="79">
        <f t="shared" si="2"/>
        <v>3226</v>
      </c>
      <c r="L317" s="128">
        <f t="shared" si="3"/>
        <v>7329.4719999999998</v>
      </c>
      <c r="M317" s="130">
        <v>1</v>
      </c>
      <c r="N317" s="126">
        <v>588</v>
      </c>
      <c r="O317" s="80">
        <f t="shared" si="4"/>
        <v>588</v>
      </c>
      <c r="P317" s="81">
        <f t="shared" si="5"/>
        <v>1335.9359999999999</v>
      </c>
      <c r="Q317" s="129">
        <v>10</v>
      </c>
      <c r="R317" s="131">
        <v>16</v>
      </c>
      <c r="S317" s="127">
        <f t="shared" si="6"/>
        <v>160</v>
      </c>
      <c r="T317" s="128">
        <f t="shared" si="7"/>
        <v>363.52</v>
      </c>
      <c r="U317" s="113"/>
      <c r="V317" s="81">
        <f t="shared" si="14"/>
        <v>0</v>
      </c>
      <c r="W317" s="422"/>
      <c r="X317" s="423"/>
      <c r="Y317" s="424"/>
      <c r="Z317" s="422"/>
      <c r="AA317" s="423"/>
      <c r="AB317" s="424"/>
      <c r="AC317" s="81"/>
      <c r="AD317" s="93" t="str">
        <f t="shared" si="8"/>
        <v/>
      </c>
      <c r="AE317" s="94" t="e">
        <f t="shared" si="9"/>
        <v>#VALUE!</v>
      </c>
      <c r="AF317" s="134" t="s">
        <v>85</v>
      </c>
      <c r="AG317" s="135">
        <v>0.01</v>
      </c>
      <c r="AH317" s="136">
        <f t="shared" si="10"/>
        <v>1.1359999999999999E-2</v>
      </c>
      <c r="AI317" s="80"/>
      <c r="AJ317" s="154"/>
      <c r="AK317" s="100" t="str">
        <f t="shared" si="21"/>
        <v/>
      </c>
      <c r="AL317" s="138"/>
      <c r="AM317" s="113"/>
      <c r="AN317" s="103" t="str">
        <f t="shared" si="12"/>
        <v/>
      </c>
      <c r="AO317" s="139"/>
      <c r="AP317" s="140"/>
      <c r="AQ317" s="141" t="str">
        <f t="shared" si="15"/>
        <v/>
      </c>
      <c r="AR317" s="142"/>
      <c r="AS317" s="140"/>
      <c r="AT317" s="143" t="str">
        <f t="shared" si="16"/>
        <v/>
      </c>
      <c r="AU317" s="139"/>
      <c r="AV317" s="113"/>
      <c r="AW317" s="107" t="str">
        <f t="shared" si="17"/>
        <v/>
      </c>
      <c r="AX317" s="113"/>
      <c r="AY317" s="113"/>
      <c r="AZ317" s="144" t="str">
        <f t="shared" si="18"/>
        <v/>
      </c>
      <c r="BA317" s="80"/>
      <c r="BB317" s="140"/>
      <c r="BC317" s="145" t="str">
        <f t="shared" si="19"/>
        <v/>
      </c>
      <c r="BD317" s="113"/>
      <c r="BE317" s="114"/>
      <c r="BF317" s="146" t="str">
        <f t="shared" si="20"/>
        <v/>
      </c>
      <c r="BG317" s="147" t="s">
        <v>84</v>
      </c>
      <c r="BH317" s="148"/>
      <c r="BI317" s="156"/>
      <c r="BJ317" s="150">
        <f>'Degrémont sortie'!BI317</f>
        <v>0</v>
      </c>
      <c r="BK317" s="151">
        <f>'Degrémont sortie'!BJ317</f>
        <v>0</v>
      </c>
    </row>
    <row r="318" spans="1:63" ht="14.25" outlineLevel="1">
      <c r="A318" s="152">
        <f t="shared" si="13"/>
        <v>43770</v>
      </c>
      <c r="B318" s="207"/>
      <c r="C318" s="208"/>
      <c r="D318" s="210"/>
      <c r="E318" s="211"/>
      <c r="F318" s="80"/>
      <c r="G318" s="127">
        <f t="shared" si="0"/>
        <v>0</v>
      </c>
      <c r="H318" s="128">
        <f t="shared" si="1"/>
        <v>0</v>
      </c>
      <c r="I318" s="129">
        <v>1</v>
      </c>
      <c r="J318" s="80"/>
      <c r="K318" s="79">
        <f t="shared" si="2"/>
        <v>0</v>
      </c>
      <c r="L318" s="128">
        <f t="shared" si="3"/>
        <v>0</v>
      </c>
      <c r="M318" s="130">
        <v>1</v>
      </c>
      <c r="N318" s="80"/>
      <c r="O318" s="80" t="str">
        <f t="shared" si="4"/>
        <v/>
      </c>
      <c r="P318" s="81">
        <f t="shared" si="5"/>
        <v>0</v>
      </c>
      <c r="Q318" s="213"/>
      <c r="R318" s="113"/>
      <c r="S318" s="127" t="str">
        <f t="shared" si="6"/>
        <v/>
      </c>
      <c r="T318" s="128">
        <f t="shared" si="7"/>
        <v>0</v>
      </c>
      <c r="U318" s="113"/>
      <c r="V318" s="81">
        <f t="shared" si="14"/>
        <v>0</v>
      </c>
      <c r="W318" s="422"/>
      <c r="X318" s="423"/>
      <c r="Y318" s="424"/>
      <c r="Z318" s="422"/>
      <c r="AA318" s="423"/>
      <c r="AB318" s="424"/>
      <c r="AC318" s="81"/>
      <c r="AD318" s="93" t="str">
        <f t="shared" si="8"/>
        <v/>
      </c>
      <c r="AE318" s="94" t="str">
        <f t="shared" si="9"/>
        <v/>
      </c>
      <c r="AF318" s="139"/>
      <c r="AG318" s="215"/>
      <c r="AH318" s="136" t="str">
        <f t="shared" si="10"/>
        <v/>
      </c>
      <c r="AI318" s="80"/>
      <c r="AJ318" s="154"/>
      <c r="AK318" s="100" t="str">
        <f t="shared" si="21"/>
        <v/>
      </c>
      <c r="AL318" s="138"/>
      <c r="AM318" s="113"/>
      <c r="AN318" s="103" t="str">
        <f t="shared" si="12"/>
        <v/>
      </c>
      <c r="AO318" s="139"/>
      <c r="AP318" s="140"/>
      <c r="AQ318" s="141" t="str">
        <f t="shared" si="15"/>
        <v/>
      </c>
      <c r="AR318" s="142"/>
      <c r="AS318" s="140"/>
      <c r="AT318" s="143" t="str">
        <f t="shared" si="16"/>
        <v/>
      </c>
      <c r="AU318" s="139"/>
      <c r="AV318" s="113"/>
      <c r="AW318" s="107" t="str">
        <f t="shared" si="17"/>
        <v/>
      </c>
      <c r="AX318" s="113"/>
      <c r="AY318" s="113"/>
      <c r="AZ318" s="144" t="str">
        <f t="shared" si="18"/>
        <v/>
      </c>
      <c r="BA318" s="80"/>
      <c r="BB318" s="140"/>
      <c r="BC318" s="145" t="str">
        <f t="shared" si="19"/>
        <v/>
      </c>
      <c r="BD318" s="113"/>
      <c r="BE318" s="114"/>
      <c r="BF318" s="146" t="str">
        <f t="shared" si="20"/>
        <v/>
      </c>
      <c r="BG318" s="147" t="s">
        <v>84</v>
      </c>
      <c r="BH318" s="148"/>
      <c r="BI318" s="156"/>
      <c r="BJ318" s="150">
        <f>'Degrémont sortie'!BI318</f>
        <v>0</v>
      </c>
      <c r="BK318" s="151">
        <f>'Degrémont sortie'!BJ318</f>
        <v>0</v>
      </c>
    </row>
    <row r="319" spans="1:63" ht="14.25" outlineLevel="1">
      <c r="A319" s="121">
        <f t="shared" si="13"/>
        <v>43771</v>
      </c>
      <c r="B319" s="207"/>
      <c r="C319" s="208"/>
      <c r="D319" s="210"/>
      <c r="E319" s="211"/>
      <c r="F319" s="80"/>
      <c r="G319" s="127">
        <f t="shared" si="0"/>
        <v>0</v>
      </c>
      <c r="H319" s="128">
        <f t="shared" si="1"/>
        <v>0</v>
      </c>
      <c r="I319" s="129">
        <v>1</v>
      </c>
      <c r="J319" s="80"/>
      <c r="K319" s="79">
        <f t="shared" si="2"/>
        <v>0</v>
      </c>
      <c r="L319" s="128">
        <f t="shared" si="3"/>
        <v>0</v>
      </c>
      <c r="M319" s="130">
        <v>1</v>
      </c>
      <c r="N319" s="80"/>
      <c r="O319" s="80" t="str">
        <f t="shared" si="4"/>
        <v/>
      </c>
      <c r="P319" s="81">
        <f t="shared" si="5"/>
        <v>0</v>
      </c>
      <c r="Q319" s="213"/>
      <c r="R319" s="113"/>
      <c r="S319" s="127" t="str">
        <f t="shared" si="6"/>
        <v/>
      </c>
      <c r="T319" s="128">
        <f t="shared" si="7"/>
        <v>0</v>
      </c>
      <c r="U319" s="113"/>
      <c r="V319" s="81">
        <f t="shared" si="14"/>
        <v>0</v>
      </c>
      <c r="W319" s="422"/>
      <c r="X319" s="423"/>
      <c r="Y319" s="424"/>
      <c r="Z319" s="422"/>
      <c r="AA319" s="423"/>
      <c r="AB319" s="424"/>
      <c r="AC319" s="81"/>
      <c r="AD319" s="93" t="str">
        <f t="shared" si="8"/>
        <v/>
      </c>
      <c r="AE319" s="94" t="str">
        <f t="shared" si="9"/>
        <v/>
      </c>
      <c r="AF319" s="139"/>
      <c r="AG319" s="215"/>
      <c r="AH319" s="136" t="str">
        <f t="shared" si="10"/>
        <v/>
      </c>
      <c r="AI319" s="80"/>
      <c r="AJ319" s="154"/>
      <c r="AK319" s="100" t="str">
        <f t="shared" si="21"/>
        <v/>
      </c>
      <c r="AL319" s="138"/>
      <c r="AM319" s="113"/>
      <c r="AN319" s="103" t="str">
        <f t="shared" si="12"/>
        <v/>
      </c>
      <c r="AO319" s="139"/>
      <c r="AP319" s="140"/>
      <c r="AQ319" s="141" t="str">
        <f t="shared" si="15"/>
        <v/>
      </c>
      <c r="AR319" s="142"/>
      <c r="AS319" s="140"/>
      <c r="AT319" s="143" t="str">
        <f t="shared" si="16"/>
        <v/>
      </c>
      <c r="AU319" s="139"/>
      <c r="AV319" s="113"/>
      <c r="AW319" s="107" t="str">
        <f t="shared" si="17"/>
        <v/>
      </c>
      <c r="AX319" s="113"/>
      <c r="AY319" s="113"/>
      <c r="AZ319" s="144" t="str">
        <f t="shared" si="18"/>
        <v/>
      </c>
      <c r="BA319" s="80"/>
      <c r="BB319" s="140"/>
      <c r="BC319" s="145" t="str">
        <f t="shared" si="19"/>
        <v/>
      </c>
      <c r="BD319" s="113"/>
      <c r="BE319" s="114"/>
      <c r="BF319" s="146" t="str">
        <f t="shared" si="20"/>
        <v/>
      </c>
      <c r="BG319" s="147" t="s">
        <v>84</v>
      </c>
      <c r="BH319" s="148"/>
      <c r="BI319" s="156"/>
      <c r="BJ319" s="150">
        <f>'Degrémont sortie'!BI319</f>
        <v>0</v>
      </c>
      <c r="BK319" s="151">
        <f>'Degrémont sortie'!BJ319</f>
        <v>0</v>
      </c>
    </row>
    <row r="320" spans="1:63" ht="14.25" outlineLevel="1">
      <c r="A320" s="152">
        <f t="shared" si="13"/>
        <v>43772</v>
      </c>
      <c r="B320" s="207"/>
      <c r="C320" s="208"/>
      <c r="D320" s="210"/>
      <c r="E320" s="211"/>
      <c r="F320" s="80"/>
      <c r="G320" s="127">
        <f t="shared" si="0"/>
        <v>0</v>
      </c>
      <c r="H320" s="128">
        <f t="shared" si="1"/>
        <v>0</v>
      </c>
      <c r="I320" s="129">
        <v>1</v>
      </c>
      <c r="J320" s="80"/>
      <c r="K320" s="79">
        <f t="shared" si="2"/>
        <v>0</v>
      </c>
      <c r="L320" s="128">
        <f t="shared" si="3"/>
        <v>0</v>
      </c>
      <c r="M320" s="130">
        <v>1</v>
      </c>
      <c r="N320" s="80"/>
      <c r="O320" s="80" t="str">
        <f t="shared" si="4"/>
        <v/>
      </c>
      <c r="P320" s="81">
        <f t="shared" si="5"/>
        <v>0</v>
      </c>
      <c r="Q320" s="213"/>
      <c r="R320" s="113"/>
      <c r="S320" s="127" t="str">
        <f t="shared" si="6"/>
        <v/>
      </c>
      <c r="T320" s="128">
        <f t="shared" si="7"/>
        <v>0</v>
      </c>
      <c r="U320" s="113"/>
      <c r="V320" s="81">
        <f t="shared" si="14"/>
        <v>0</v>
      </c>
      <c r="W320" s="422"/>
      <c r="X320" s="423"/>
      <c r="Y320" s="424"/>
      <c r="Z320" s="422"/>
      <c r="AA320" s="423"/>
      <c r="AB320" s="424"/>
      <c r="AC320" s="81"/>
      <c r="AD320" s="93" t="str">
        <f t="shared" si="8"/>
        <v/>
      </c>
      <c r="AE320" s="94" t="str">
        <f t="shared" si="9"/>
        <v/>
      </c>
      <c r="AF320" s="139"/>
      <c r="AG320" s="215"/>
      <c r="AH320" s="136" t="str">
        <f t="shared" si="10"/>
        <v/>
      </c>
      <c r="AI320" s="80"/>
      <c r="AJ320" s="154"/>
      <c r="AK320" s="100" t="str">
        <f t="shared" si="21"/>
        <v/>
      </c>
      <c r="AL320" s="138"/>
      <c r="AM320" s="113"/>
      <c r="AN320" s="103" t="str">
        <f t="shared" si="12"/>
        <v/>
      </c>
      <c r="AO320" s="139"/>
      <c r="AP320" s="140"/>
      <c r="AQ320" s="141" t="str">
        <f t="shared" si="15"/>
        <v/>
      </c>
      <c r="AR320" s="142"/>
      <c r="AS320" s="140"/>
      <c r="AT320" s="143" t="str">
        <f t="shared" si="16"/>
        <v/>
      </c>
      <c r="AU320" s="139"/>
      <c r="AV320" s="113"/>
      <c r="AW320" s="107" t="str">
        <f t="shared" si="17"/>
        <v/>
      </c>
      <c r="AX320" s="113"/>
      <c r="AY320" s="113"/>
      <c r="AZ320" s="144" t="str">
        <f t="shared" si="18"/>
        <v/>
      </c>
      <c r="BA320" s="80"/>
      <c r="BB320" s="140"/>
      <c r="BC320" s="145" t="str">
        <f t="shared" si="19"/>
        <v/>
      </c>
      <c r="BD320" s="113"/>
      <c r="BE320" s="114"/>
      <c r="BF320" s="146" t="str">
        <f t="shared" si="20"/>
        <v/>
      </c>
      <c r="BG320" s="147" t="s">
        <v>84</v>
      </c>
      <c r="BH320" s="148"/>
      <c r="BI320" s="156"/>
      <c r="BJ320" s="150">
        <f>'Degrémont sortie'!BI320</f>
        <v>0</v>
      </c>
      <c r="BK320" s="151">
        <f>'Degrémont sortie'!BJ320</f>
        <v>0</v>
      </c>
    </row>
    <row r="321" spans="1:63" ht="15.75" customHeight="1" outlineLevel="1">
      <c r="A321" s="121">
        <f t="shared" si="13"/>
        <v>43773</v>
      </c>
      <c r="B321" s="122">
        <v>598</v>
      </c>
      <c r="C321" s="123">
        <v>7.29</v>
      </c>
      <c r="D321" s="124">
        <v>88.4</v>
      </c>
      <c r="E321" s="125">
        <v>107.8</v>
      </c>
      <c r="F321" s="126">
        <v>30</v>
      </c>
      <c r="G321" s="127">
        <f t="shared" si="0"/>
        <v>646.6666666666664</v>
      </c>
      <c r="H321" s="128">
        <f t="shared" si="1"/>
        <v>386.70666666666654</v>
      </c>
      <c r="I321" s="129">
        <v>1</v>
      </c>
      <c r="J321" s="126">
        <v>736</v>
      </c>
      <c r="K321" s="79">
        <f t="shared" si="2"/>
        <v>736</v>
      </c>
      <c r="L321" s="128">
        <f t="shared" si="3"/>
        <v>440.12799999999999</v>
      </c>
      <c r="M321" s="130">
        <v>1</v>
      </c>
      <c r="N321" s="126">
        <v>189</v>
      </c>
      <c r="O321" s="80">
        <f t="shared" si="4"/>
        <v>189</v>
      </c>
      <c r="P321" s="81">
        <f t="shared" si="5"/>
        <v>113.02200000000001</v>
      </c>
      <c r="Q321" s="129">
        <v>10</v>
      </c>
      <c r="R321" s="131">
        <v>5.08</v>
      </c>
      <c r="S321" s="127">
        <f t="shared" si="6"/>
        <v>50.8</v>
      </c>
      <c r="T321" s="128">
        <f t="shared" si="7"/>
        <v>30.378399999999999</v>
      </c>
      <c r="U321" s="113"/>
      <c r="V321" s="81">
        <f t="shared" si="14"/>
        <v>0</v>
      </c>
      <c r="W321" s="422"/>
      <c r="X321" s="423"/>
      <c r="Y321" s="424"/>
      <c r="Z321" s="422"/>
      <c r="AA321" s="423"/>
      <c r="AB321" s="424"/>
      <c r="AC321" s="81"/>
      <c r="AD321" s="93" t="str">
        <f t="shared" si="8"/>
        <v/>
      </c>
      <c r="AE321" s="94" t="e">
        <f t="shared" si="9"/>
        <v>#VALUE!</v>
      </c>
      <c r="AF321" s="134" t="s">
        <v>85</v>
      </c>
      <c r="AG321" s="135">
        <v>0.01</v>
      </c>
      <c r="AH321" s="136">
        <f t="shared" si="10"/>
        <v>2.99E-3</v>
      </c>
      <c r="AI321" s="80"/>
      <c r="AJ321" s="154"/>
      <c r="AK321" s="100" t="str">
        <f t="shared" si="21"/>
        <v/>
      </c>
      <c r="AL321" s="138"/>
      <c r="AM321" s="113"/>
      <c r="AN321" s="103" t="str">
        <f t="shared" si="12"/>
        <v/>
      </c>
      <c r="AO321" s="139"/>
      <c r="AP321" s="140"/>
      <c r="AQ321" s="141" t="str">
        <f t="shared" si="15"/>
        <v/>
      </c>
      <c r="AR321" s="142"/>
      <c r="AS321" s="140"/>
      <c r="AT321" s="143" t="str">
        <f t="shared" si="16"/>
        <v/>
      </c>
      <c r="AU321" s="139"/>
      <c r="AV321" s="113"/>
      <c r="AW321" s="107" t="str">
        <f t="shared" si="17"/>
        <v/>
      </c>
      <c r="AX321" s="113"/>
      <c r="AY321" s="113"/>
      <c r="AZ321" s="144" t="str">
        <f t="shared" si="18"/>
        <v/>
      </c>
      <c r="BA321" s="80"/>
      <c r="BB321" s="140"/>
      <c r="BC321" s="145" t="str">
        <f t="shared" si="19"/>
        <v/>
      </c>
      <c r="BD321" s="113"/>
      <c r="BE321" s="114"/>
      <c r="BF321" s="146" t="str">
        <f t="shared" si="20"/>
        <v/>
      </c>
      <c r="BG321" s="147" t="s">
        <v>84</v>
      </c>
      <c r="BH321" s="148"/>
      <c r="BI321" s="156"/>
      <c r="BJ321" s="150">
        <f>'Degrémont sortie'!BI321</f>
        <v>0</v>
      </c>
      <c r="BK321" s="151">
        <f>'Degrémont sortie'!BJ321</f>
        <v>0</v>
      </c>
    </row>
    <row r="322" spans="1:63" ht="15.75" customHeight="1" outlineLevel="1">
      <c r="A322" s="152">
        <f t="shared" si="13"/>
        <v>43774</v>
      </c>
      <c r="B322" s="122">
        <v>876</v>
      </c>
      <c r="C322" s="123">
        <v>7.49</v>
      </c>
      <c r="D322" s="124">
        <v>88.1</v>
      </c>
      <c r="E322" s="125">
        <v>123.3</v>
      </c>
      <c r="F322" s="126">
        <v>40</v>
      </c>
      <c r="G322" s="127">
        <f t="shared" si="0"/>
        <v>880</v>
      </c>
      <c r="H322" s="128">
        <f t="shared" si="1"/>
        <v>770.88</v>
      </c>
      <c r="I322" s="129">
        <v>1</v>
      </c>
      <c r="J322" s="126">
        <v>1084</v>
      </c>
      <c r="K322" s="79">
        <f t="shared" si="2"/>
        <v>1084</v>
      </c>
      <c r="L322" s="128">
        <f t="shared" si="3"/>
        <v>949.58399999999995</v>
      </c>
      <c r="M322" s="130">
        <v>1</v>
      </c>
      <c r="N322" s="126">
        <v>239</v>
      </c>
      <c r="O322" s="80">
        <f t="shared" si="4"/>
        <v>239</v>
      </c>
      <c r="P322" s="81">
        <f t="shared" si="5"/>
        <v>209.364</v>
      </c>
      <c r="Q322" s="129">
        <v>10</v>
      </c>
      <c r="R322" s="131">
        <v>4.01</v>
      </c>
      <c r="S322" s="127">
        <f t="shared" si="6"/>
        <v>40.099999999999994</v>
      </c>
      <c r="T322" s="128">
        <f t="shared" si="7"/>
        <v>35.127600000000001</v>
      </c>
      <c r="U322" s="131">
        <v>38</v>
      </c>
      <c r="V322" s="81">
        <f t="shared" si="14"/>
        <v>33.287999999999997</v>
      </c>
      <c r="W322" s="422"/>
      <c r="X322" s="423"/>
      <c r="Y322" s="424"/>
      <c r="Z322" s="422"/>
      <c r="AA322" s="423"/>
      <c r="AB322" s="424"/>
      <c r="AC322" s="81"/>
      <c r="AD322" s="93" t="str">
        <f t="shared" si="8"/>
        <v/>
      </c>
      <c r="AE322" s="94" t="e">
        <f t="shared" si="9"/>
        <v>#VALUE!</v>
      </c>
      <c r="AF322" s="134" t="s">
        <v>85</v>
      </c>
      <c r="AG322" s="135">
        <v>0.01</v>
      </c>
      <c r="AH322" s="136">
        <f t="shared" si="10"/>
        <v>4.3800000000000002E-3</v>
      </c>
      <c r="AI322" s="80"/>
      <c r="AJ322" s="154"/>
      <c r="AK322" s="100" t="str">
        <f t="shared" si="21"/>
        <v/>
      </c>
      <c r="AL322" s="138"/>
      <c r="AM322" s="131">
        <v>17</v>
      </c>
      <c r="AN322" s="103">
        <f t="shared" si="12"/>
        <v>112.625</v>
      </c>
      <c r="AO322" s="139"/>
      <c r="AP322" s="155">
        <v>16.78</v>
      </c>
      <c r="AQ322" s="141">
        <f t="shared" si="15"/>
        <v>111.1675</v>
      </c>
      <c r="AR322" s="142"/>
      <c r="AS322" s="155">
        <v>7.0000000000000007E-2</v>
      </c>
      <c r="AT322" s="143">
        <f t="shared" si="16"/>
        <v>0.46375000000000005</v>
      </c>
      <c r="AU322" s="139"/>
      <c r="AV322" s="131">
        <v>6.26</v>
      </c>
      <c r="AW322" s="107">
        <f t="shared" si="17"/>
        <v>41.472499999999997</v>
      </c>
      <c r="AX322" s="113"/>
      <c r="AY322" s="131">
        <v>60.84</v>
      </c>
      <c r="AZ322" s="144">
        <f t="shared" si="18"/>
        <v>403.065</v>
      </c>
      <c r="BA322" s="80"/>
      <c r="BB322" s="155">
        <v>0.19</v>
      </c>
      <c r="BC322" s="145">
        <f t="shared" si="19"/>
        <v>1.25875</v>
      </c>
      <c r="BD322" s="131" t="s">
        <v>85</v>
      </c>
      <c r="BE322" s="158">
        <v>0.13</v>
      </c>
      <c r="BF322" s="146">
        <f t="shared" si="20"/>
        <v>0.43062500000000004</v>
      </c>
      <c r="BG322" s="147" t="s">
        <v>84</v>
      </c>
      <c r="BH322" s="148"/>
      <c r="BI322" s="156"/>
      <c r="BJ322" s="150">
        <f>'Degrémont sortie'!BI322</f>
        <v>0</v>
      </c>
      <c r="BK322" s="151">
        <f>'Degrémont sortie'!BJ322</f>
        <v>0</v>
      </c>
    </row>
    <row r="323" spans="1:63" ht="15.75" customHeight="1" outlineLevel="1">
      <c r="A323" s="121">
        <f t="shared" si="13"/>
        <v>43775</v>
      </c>
      <c r="B323" s="122">
        <v>997</v>
      </c>
      <c r="C323" s="123">
        <v>7.89</v>
      </c>
      <c r="D323" s="124">
        <v>89.3</v>
      </c>
      <c r="E323" s="125">
        <v>135.4</v>
      </c>
      <c r="F323" s="126">
        <v>30</v>
      </c>
      <c r="G323" s="127">
        <f t="shared" si="0"/>
        <v>1536.666666666667</v>
      </c>
      <c r="H323" s="128">
        <f t="shared" si="1"/>
        <v>1532.0566666666671</v>
      </c>
      <c r="I323" s="129">
        <v>1</v>
      </c>
      <c r="J323" s="126">
        <v>2376</v>
      </c>
      <c r="K323" s="79">
        <f t="shared" si="2"/>
        <v>2376</v>
      </c>
      <c r="L323" s="128">
        <f t="shared" si="3"/>
        <v>2368.8719999999998</v>
      </c>
      <c r="M323" s="130">
        <v>1</v>
      </c>
      <c r="N323" s="126">
        <v>682</v>
      </c>
      <c r="O323" s="80">
        <f t="shared" si="4"/>
        <v>682</v>
      </c>
      <c r="P323" s="81">
        <f t="shared" si="5"/>
        <v>679.95399999999995</v>
      </c>
      <c r="Q323" s="129">
        <v>10</v>
      </c>
      <c r="R323" s="131">
        <v>11.5</v>
      </c>
      <c r="S323" s="127">
        <f t="shared" si="6"/>
        <v>115</v>
      </c>
      <c r="T323" s="128">
        <f t="shared" si="7"/>
        <v>114.655</v>
      </c>
      <c r="U323" s="113"/>
      <c r="V323" s="81">
        <f t="shared" si="14"/>
        <v>0</v>
      </c>
      <c r="W323" s="422"/>
      <c r="X323" s="423"/>
      <c r="Y323" s="424"/>
      <c r="Z323" s="422"/>
      <c r="AA323" s="423"/>
      <c r="AB323" s="424"/>
      <c r="AC323" s="81"/>
      <c r="AD323" s="93" t="str">
        <f t="shared" si="8"/>
        <v/>
      </c>
      <c r="AE323" s="94" t="e">
        <f t="shared" si="9"/>
        <v>#VALUE!</v>
      </c>
      <c r="AF323" s="134" t="s">
        <v>85</v>
      </c>
      <c r="AG323" s="135">
        <v>0.01</v>
      </c>
      <c r="AH323" s="136">
        <f t="shared" si="10"/>
        <v>4.9850000000000007E-3</v>
      </c>
      <c r="AI323" s="80"/>
      <c r="AJ323" s="154"/>
      <c r="AK323" s="100" t="str">
        <f t="shared" si="21"/>
        <v/>
      </c>
      <c r="AL323" s="138"/>
      <c r="AM323" s="113"/>
      <c r="AN323" s="103" t="str">
        <f t="shared" si="12"/>
        <v/>
      </c>
      <c r="AO323" s="139"/>
      <c r="AP323" s="140"/>
      <c r="AQ323" s="141" t="str">
        <f t="shared" si="15"/>
        <v/>
      </c>
      <c r="AR323" s="142"/>
      <c r="AS323" s="140"/>
      <c r="AT323" s="143" t="str">
        <f t="shared" si="16"/>
        <v/>
      </c>
      <c r="AU323" s="139"/>
      <c r="AV323" s="113"/>
      <c r="AW323" s="107" t="str">
        <f t="shared" si="17"/>
        <v/>
      </c>
      <c r="AX323" s="113"/>
      <c r="AY323" s="113"/>
      <c r="AZ323" s="144" t="str">
        <f t="shared" si="18"/>
        <v/>
      </c>
      <c r="BA323" s="80"/>
      <c r="BB323" s="140"/>
      <c r="BC323" s="145" t="str">
        <f t="shared" si="19"/>
        <v/>
      </c>
      <c r="BD323" s="113"/>
      <c r="BE323" s="114"/>
      <c r="BF323" s="146" t="str">
        <f t="shared" si="20"/>
        <v/>
      </c>
      <c r="BG323" s="147" t="s">
        <v>84</v>
      </c>
      <c r="BH323" s="148"/>
      <c r="BI323" s="156"/>
      <c r="BJ323" s="150">
        <f>'Degrémont sortie'!BI323</f>
        <v>0</v>
      </c>
      <c r="BK323" s="151">
        <f>'Degrémont sortie'!BJ323</f>
        <v>0</v>
      </c>
    </row>
    <row r="324" spans="1:63" ht="15.75" customHeight="1" outlineLevel="1">
      <c r="A324" s="152">
        <f t="shared" si="13"/>
        <v>43776</v>
      </c>
      <c r="B324" s="122">
        <v>850</v>
      </c>
      <c r="C324" s="123">
        <v>7.88</v>
      </c>
      <c r="D324" s="124">
        <v>88.6</v>
      </c>
      <c r="E324" s="125">
        <v>368.1</v>
      </c>
      <c r="F324" s="126">
        <v>30</v>
      </c>
      <c r="G324" s="127">
        <f t="shared" si="0"/>
        <v>9316.6666666666661</v>
      </c>
      <c r="H324" s="128">
        <f t="shared" si="1"/>
        <v>7919.1666666666661</v>
      </c>
      <c r="I324" s="129">
        <v>1</v>
      </c>
      <c r="J324" s="126">
        <v>7534</v>
      </c>
      <c r="K324" s="79">
        <f t="shared" si="2"/>
        <v>7534</v>
      </c>
      <c r="L324" s="128">
        <f t="shared" si="3"/>
        <v>6403.9</v>
      </c>
      <c r="M324" s="130">
        <v>1</v>
      </c>
      <c r="N324" s="126">
        <v>380</v>
      </c>
      <c r="O324" s="80">
        <f t="shared" si="4"/>
        <v>380</v>
      </c>
      <c r="P324" s="81">
        <f t="shared" si="5"/>
        <v>323</v>
      </c>
      <c r="Q324" s="129">
        <v>10</v>
      </c>
      <c r="R324" s="131">
        <v>27.5</v>
      </c>
      <c r="S324" s="127">
        <f t="shared" si="6"/>
        <v>275</v>
      </c>
      <c r="T324" s="128">
        <f t="shared" si="7"/>
        <v>233.75</v>
      </c>
      <c r="U324" s="113"/>
      <c r="V324" s="81">
        <f t="shared" si="14"/>
        <v>0</v>
      </c>
      <c r="W324" s="422"/>
      <c r="X324" s="423"/>
      <c r="Y324" s="424"/>
      <c r="Z324" s="422"/>
      <c r="AA324" s="423"/>
      <c r="AB324" s="424"/>
      <c r="AC324" s="81"/>
      <c r="AD324" s="93" t="str">
        <f t="shared" si="8"/>
        <v/>
      </c>
      <c r="AE324" s="94" t="e">
        <f t="shared" si="9"/>
        <v>#VALUE!</v>
      </c>
      <c r="AF324" s="134" t="s">
        <v>85</v>
      </c>
      <c r="AG324" s="135">
        <v>0.01</v>
      </c>
      <c r="AH324" s="136">
        <f t="shared" si="10"/>
        <v>4.2500000000000003E-3</v>
      </c>
      <c r="AI324" s="80"/>
      <c r="AJ324" s="154"/>
      <c r="AK324" s="100" t="str">
        <f t="shared" si="21"/>
        <v/>
      </c>
      <c r="AL324" s="138"/>
      <c r="AM324" s="113"/>
      <c r="AN324" s="103" t="str">
        <f t="shared" si="12"/>
        <v/>
      </c>
      <c r="AO324" s="139"/>
      <c r="AP324" s="140"/>
      <c r="AQ324" s="141" t="str">
        <f t="shared" si="15"/>
        <v/>
      </c>
      <c r="AR324" s="142"/>
      <c r="AS324" s="140"/>
      <c r="AT324" s="143" t="str">
        <f t="shared" si="16"/>
        <v/>
      </c>
      <c r="AU324" s="139"/>
      <c r="AV324" s="113"/>
      <c r="AW324" s="107" t="str">
        <f t="shared" si="17"/>
        <v/>
      </c>
      <c r="AX324" s="113"/>
      <c r="AY324" s="113"/>
      <c r="AZ324" s="144" t="str">
        <f t="shared" si="18"/>
        <v/>
      </c>
      <c r="BA324" s="80"/>
      <c r="BB324" s="140"/>
      <c r="BC324" s="145" t="str">
        <f t="shared" si="19"/>
        <v/>
      </c>
      <c r="BD324" s="113"/>
      <c r="BE324" s="114"/>
      <c r="BF324" s="146" t="str">
        <f t="shared" si="20"/>
        <v/>
      </c>
      <c r="BG324" s="147" t="s">
        <v>84</v>
      </c>
      <c r="BH324" s="148"/>
      <c r="BI324" s="156"/>
      <c r="BJ324" s="150">
        <f>'Degrémont sortie'!BI324</f>
        <v>0</v>
      </c>
      <c r="BK324" s="151">
        <f>'Degrémont sortie'!BJ324</f>
        <v>0</v>
      </c>
    </row>
    <row r="325" spans="1:63" ht="15.75" customHeight="1" outlineLevel="1">
      <c r="A325" s="121">
        <f t="shared" si="13"/>
        <v>43777</v>
      </c>
      <c r="B325" s="122">
        <v>652</v>
      </c>
      <c r="C325" s="123">
        <v>7.41</v>
      </c>
      <c r="D325" s="124">
        <v>87.9</v>
      </c>
      <c r="E325" s="125">
        <v>471.4</v>
      </c>
      <c r="F325" s="126">
        <v>30</v>
      </c>
      <c r="G325" s="127">
        <f t="shared" si="0"/>
        <v>12783.333333333334</v>
      </c>
      <c r="H325" s="128">
        <f t="shared" si="1"/>
        <v>8334.7333333333336</v>
      </c>
      <c r="I325" s="129">
        <v>1</v>
      </c>
      <c r="J325" s="126">
        <v>8705</v>
      </c>
      <c r="K325" s="79">
        <f t="shared" si="2"/>
        <v>8705</v>
      </c>
      <c r="L325" s="128">
        <f t="shared" si="3"/>
        <v>5675.66</v>
      </c>
      <c r="M325" s="130">
        <v>1</v>
      </c>
      <c r="N325" s="126">
        <v>372</v>
      </c>
      <c r="O325" s="80">
        <f t="shared" si="4"/>
        <v>372</v>
      </c>
      <c r="P325" s="81">
        <f t="shared" si="5"/>
        <v>242.54400000000001</v>
      </c>
      <c r="Q325" s="129">
        <v>10</v>
      </c>
      <c r="R325" s="131">
        <v>29.1</v>
      </c>
      <c r="S325" s="127">
        <f t="shared" si="6"/>
        <v>291</v>
      </c>
      <c r="T325" s="128">
        <f t="shared" si="7"/>
        <v>189.732</v>
      </c>
      <c r="U325" s="113"/>
      <c r="V325" s="81">
        <f t="shared" si="14"/>
        <v>0</v>
      </c>
      <c r="W325" s="422"/>
      <c r="X325" s="423"/>
      <c r="Y325" s="424"/>
      <c r="Z325" s="422"/>
      <c r="AA325" s="423"/>
      <c r="AB325" s="424"/>
      <c r="AC325" s="81"/>
      <c r="AD325" s="93" t="str">
        <f t="shared" si="8"/>
        <v/>
      </c>
      <c r="AE325" s="94" t="e">
        <f t="shared" si="9"/>
        <v>#VALUE!</v>
      </c>
      <c r="AF325" s="134" t="s">
        <v>85</v>
      </c>
      <c r="AG325" s="135">
        <v>0.01</v>
      </c>
      <c r="AH325" s="136">
        <f t="shared" si="10"/>
        <v>3.2600000000000003E-3</v>
      </c>
      <c r="AI325" s="80"/>
      <c r="AJ325" s="154"/>
      <c r="AK325" s="100" t="str">
        <f t="shared" si="21"/>
        <v/>
      </c>
      <c r="AL325" s="138"/>
      <c r="AM325" s="113"/>
      <c r="AN325" s="103" t="str">
        <f t="shared" si="12"/>
        <v/>
      </c>
      <c r="AO325" s="139"/>
      <c r="AP325" s="140"/>
      <c r="AQ325" s="141" t="str">
        <f t="shared" si="15"/>
        <v/>
      </c>
      <c r="AR325" s="142"/>
      <c r="AS325" s="140"/>
      <c r="AT325" s="143" t="str">
        <f t="shared" si="16"/>
        <v/>
      </c>
      <c r="AU325" s="139"/>
      <c r="AV325" s="113"/>
      <c r="AW325" s="107" t="str">
        <f t="shared" si="17"/>
        <v/>
      </c>
      <c r="AX325" s="113"/>
      <c r="AY325" s="113"/>
      <c r="AZ325" s="144" t="str">
        <f t="shared" si="18"/>
        <v/>
      </c>
      <c r="BA325" s="80"/>
      <c r="BB325" s="140"/>
      <c r="BC325" s="145" t="str">
        <f t="shared" si="19"/>
        <v/>
      </c>
      <c r="BD325" s="113"/>
      <c r="BE325" s="114"/>
      <c r="BF325" s="146" t="str">
        <f t="shared" si="20"/>
        <v/>
      </c>
      <c r="BG325" s="147" t="s">
        <v>84</v>
      </c>
      <c r="BH325" s="148"/>
      <c r="BI325" s="156"/>
      <c r="BJ325" s="150">
        <f>'Degrémont sortie'!BI325</f>
        <v>0</v>
      </c>
      <c r="BK325" s="151">
        <f>'Degrémont sortie'!BJ325</f>
        <v>0</v>
      </c>
    </row>
    <row r="326" spans="1:63" ht="14.25" outlineLevel="1">
      <c r="A326" s="152">
        <f t="shared" si="13"/>
        <v>43778</v>
      </c>
      <c r="B326" s="122">
        <v>405</v>
      </c>
      <c r="C326" s="123">
        <v>7.58</v>
      </c>
      <c r="D326" s="124">
        <v>88.5</v>
      </c>
      <c r="E326" s="125">
        <v>599.79999999999995</v>
      </c>
      <c r="F326" s="126">
        <v>29</v>
      </c>
      <c r="G326" s="127">
        <f t="shared" si="0"/>
        <v>17631.03448275862</v>
      </c>
      <c r="H326" s="128">
        <f t="shared" si="1"/>
        <v>7140.5689655172409</v>
      </c>
      <c r="I326" s="129">
        <v>1</v>
      </c>
      <c r="J326" s="126">
        <v>10496</v>
      </c>
      <c r="K326" s="79">
        <f t="shared" si="2"/>
        <v>10496</v>
      </c>
      <c r="L326" s="128">
        <f t="shared" si="3"/>
        <v>4250.88</v>
      </c>
      <c r="M326" s="130">
        <v>1</v>
      </c>
      <c r="N326" s="126">
        <v>851</v>
      </c>
      <c r="O326" s="80">
        <f t="shared" si="4"/>
        <v>851</v>
      </c>
      <c r="P326" s="81">
        <f t="shared" si="5"/>
        <v>344.65499999999997</v>
      </c>
      <c r="Q326" s="129">
        <v>10</v>
      </c>
      <c r="R326" s="131">
        <v>27.8</v>
      </c>
      <c r="S326" s="127">
        <f t="shared" si="6"/>
        <v>278</v>
      </c>
      <c r="T326" s="128">
        <f t="shared" si="7"/>
        <v>112.59</v>
      </c>
      <c r="U326" s="113"/>
      <c r="V326" s="81">
        <f t="shared" si="14"/>
        <v>0</v>
      </c>
      <c r="W326" s="422"/>
      <c r="X326" s="423"/>
      <c r="Y326" s="424"/>
      <c r="Z326" s="422"/>
      <c r="AA326" s="423"/>
      <c r="AB326" s="424"/>
      <c r="AC326" s="81"/>
      <c r="AD326" s="93" t="str">
        <f t="shared" si="8"/>
        <v/>
      </c>
      <c r="AE326" s="94" t="e">
        <f t="shared" si="9"/>
        <v>#VALUE!</v>
      </c>
      <c r="AF326" s="134" t="s">
        <v>85</v>
      </c>
      <c r="AG326" s="135">
        <v>0.01</v>
      </c>
      <c r="AH326" s="136">
        <f t="shared" si="10"/>
        <v>2.0249999999999999E-3</v>
      </c>
      <c r="AI326" s="80"/>
      <c r="AJ326" s="154"/>
      <c r="AK326" s="100" t="str">
        <f t="shared" si="21"/>
        <v/>
      </c>
      <c r="AL326" s="138"/>
      <c r="AM326" s="113"/>
      <c r="AN326" s="103" t="str">
        <f t="shared" si="12"/>
        <v/>
      </c>
      <c r="AO326" s="139"/>
      <c r="AP326" s="140"/>
      <c r="AQ326" s="141" t="str">
        <f t="shared" si="15"/>
        <v/>
      </c>
      <c r="AR326" s="142"/>
      <c r="AS326" s="140"/>
      <c r="AT326" s="143" t="str">
        <f t="shared" si="16"/>
        <v/>
      </c>
      <c r="AU326" s="139"/>
      <c r="AV326" s="113"/>
      <c r="AW326" s="107" t="str">
        <f t="shared" si="17"/>
        <v/>
      </c>
      <c r="AX326" s="113"/>
      <c r="AY326" s="113"/>
      <c r="AZ326" s="144" t="str">
        <f t="shared" si="18"/>
        <v/>
      </c>
      <c r="BA326" s="80"/>
      <c r="BB326" s="140"/>
      <c r="BC326" s="145" t="str">
        <f t="shared" si="19"/>
        <v/>
      </c>
      <c r="BD326" s="113"/>
      <c r="BE326" s="114"/>
      <c r="BF326" s="146" t="str">
        <f t="shared" si="20"/>
        <v/>
      </c>
      <c r="BG326" s="147" t="s">
        <v>84</v>
      </c>
      <c r="BH326" s="148"/>
      <c r="BI326" s="156"/>
      <c r="BJ326" s="150">
        <f>'Degrémont sortie'!BI326</f>
        <v>0</v>
      </c>
      <c r="BK326" s="151">
        <f>'Degrémont sortie'!BJ326</f>
        <v>0</v>
      </c>
    </row>
    <row r="327" spans="1:63" ht="14.25" outlineLevel="1">
      <c r="A327" s="121">
        <f t="shared" si="13"/>
        <v>43779</v>
      </c>
      <c r="B327" s="207"/>
      <c r="C327" s="208"/>
      <c r="D327" s="210"/>
      <c r="E327" s="211"/>
      <c r="F327" s="80"/>
      <c r="G327" s="127">
        <f t="shared" si="0"/>
        <v>0</v>
      </c>
      <c r="H327" s="128">
        <f t="shared" si="1"/>
        <v>0</v>
      </c>
      <c r="I327" s="129">
        <v>1</v>
      </c>
      <c r="J327" s="80"/>
      <c r="K327" s="79">
        <f t="shared" si="2"/>
        <v>0</v>
      </c>
      <c r="L327" s="128">
        <f t="shared" si="3"/>
        <v>0</v>
      </c>
      <c r="M327" s="130">
        <v>1</v>
      </c>
      <c r="N327" s="80"/>
      <c r="O327" s="80" t="str">
        <f t="shared" si="4"/>
        <v/>
      </c>
      <c r="P327" s="81">
        <f t="shared" si="5"/>
        <v>0</v>
      </c>
      <c r="Q327" s="213"/>
      <c r="R327" s="113"/>
      <c r="S327" s="127" t="str">
        <f t="shared" si="6"/>
        <v/>
      </c>
      <c r="T327" s="128">
        <f t="shared" si="7"/>
        <v>0</v>
      </c>
      <c r="U327" s="113"/>
      <c r="V327" s="81">
        <f t="shared" si="14"/>
        <v>0</v>
      </c>
      <c r="W327" s="422"/>
      <c r="X327" s="423"/>
      <c r="Y327" s="424"/>
      <c r="Z327" s="422"/>
      <c r="AA327" s="423"/>
      <c r="AB327" s="424"/>
      <c r="AC327" s="81"/>
      <c r="AD327" s="93" t="str">
        <f t="shared" si="8"/>
        <v/>
      </c>
      <c r="AE327" s="94" t="str">
        <f t="shared" si="9"/>
        <v/>
      </c>
      <c r="AF327" s="139"/>
      <c r="AG327" s="215"/>
      <c r="AH327" s="136" t="str">
        <f t="shared" si="10"/>
        <v/>
      </c>
      <c r="AI327" s="80"/>
      <c r="AJ327" s="154"/>
      <c r="AK327" s="100" t="str">
        <f t="shared" si="21"/>
        <v/>
      </c>
      <c r="AL327" s="138"/>
      <c r="AM327" s="113"/>
      <c r="AN327" s="103" t="str">
        <f t="shared" si="12"/>
        <v/>
      </c>
      <c r="AO327" s="139"/>
      <c r="AP327" s="140"/>
      <c r="AQ327" s="141" t="str">
        <f t="shared" si="15"/>
        <v/>
      </c>
      <c r="AR327" s="142"/>
      <c r="AS327" s="140"/>
      <c r="AT327" s="143" t="str">
        <f t="shared" si="16"/>
        <v/>
      </c>
      <c r="AU327" s="139"/>
      <c r="AV327" s="113"/>
      <c r="AW327" s="107" t="str">
        <f t="shared" si="17"/>
        <v/>
      </c>
      <c r="AX327" s="113"/>
      <c r="AY327" s="113"/>
      <c r="AZ327" s="144" t="str">
        <f t="shared" si="18"/>
        <v/>
      </c>
      <c r="BA327" s="80"/>
      <c r="BB327" s="140"/>
      <c r="BC327" s="145" t="str">
        <f t="shared" si="19"/>
        <v/>
      </c>
      <c r="BD327" s="113"/>
      <c r="BE327" s="114"/>
      <c r="BF327" s="146" t="str">
        <f t="shared" si="20"/>
        <v/>
      </c>
      <c r="BG327" s="147" t="s">
        <v>84</v>
      </c>
      <c r="BH327" s="148"/>
      <c r="BI327" s="156"/>
      <c r="BJ327" s="150">
        <f>'Degrémont sortie'!BI327</f>
        <v>0</v>
      </c>
      <c r="BK327" s="151">
        <f>'Degrémont sortie'!BJ327</f>
        <v>0</v>
      </c>
    </row>
    <row r="328" spans="1:63" ht="14.25" outlineLevel="1">
      <c r="A328" s="152">
        <f t="shared" si="13"/>
        <v>43780</v>
      </c>
      <c r="B328" s="207"/>
      <c r="C328" s="208"/>
      <c r="D328" s="210"/>
      <c r="E328" s="211"/>
      <c r="F328" s="80"/>
      <c r="G328" s="127">
        <f t="shared" si="0"/>
        <v>0</v>
      </c>
      <c r="H328" s="128">
        <f t="shared" si="1"/>
        <v>0</v>
      </c>
      <c r="I328" s="129">
        <v>1</v>
      </c>
      <c r="J328" s="80"/>
      <c r="K328" s="79">
        <f t="shared" si="2"/>
        <v>0</v>
      </c>
      <c r="L328" s="128">
        <f t="shared" si="3"/>
        <v>0</v>
      </c>
      <c r="M328" s="130">
        <v>1</v>
      </c>
      <c r="N328" s="80"/>
      <c r="O328" s="80" t="str">
        <f t="shared" si="4"/>
        <v/>
      </c>
      <c r="P328" s="81">
        <f t="shared" si="5"/>
        <v>0</v>
      </c>
      <c r="Q328" s="213"/>
      <c r="R328" s="113"/>
      <c r="S328" s="127" t="str">
        <f t="shared" si="6"/>
        <v/>
      </c>
      <c r="T328" s="128">
        <f t="shared" si="7"/>
        <v>0</v>
      </c>
      <c r="U328" s="113"/>
      <c r="V328" s="81">
        <f t="shared" si="14"/>
        <v>0</v>
      </c>
      <c r="W328" s="422"/>
      <c r="X328" s="423"/>
      <c r="Y328" s="424"/>
      <c r="Z328" s="422"/>
      <c r="AA328" s="423"/>
      <c r="AB328" s="424"/>
      <c r="AC328" s="81"/>
      <c r="AD328" s="93" t="str">
        <f t="shared" si="8"/>
        <v/>
      </c>
      <c r="AE328" s="94" t="str">
        <f t="shared" si="9"/>
        <v/>
      </c>
      <c r="AF328" s="139"/>
      <c r="AG328" s="215"/>
      <c r="AH328" s="136" t="str">
        <f t="shared" si="10"/>
        <v/>
      </c>
      <c r="AI328" s="80"/>
      <c r="AJ328" s="154"/>
      <c r="AK328" s="100" t="str">
        <f t="shared" si="21"/>
        <v/>
      </c>
      <c r="AL328" s="138"/>
      <c r="AM328" s="113"/>
      <c r="AN328" s="103" t="str">
        <f t="shared" si="12"/>
        <v/>
      </c>
      <c r="AO328" s="139"/>
      <c r="AP328" s="140"/>
      <c r="AQ328" s="141" t="str">
        <f t="shared" si="15"/>
        <v/>
      </c>
      <c r="AR328" s="142"/>
      <c r="AS328" s="140"/>
      <c r="AT328" s="143" t="str">
        <f t="shared" si="16"/>
        <v/>
      </c>
      <c r="AU328" s="139"/>
      <c r="AV328" s="113"/>
      <c r="AW328" s="107" t="str">
        <f t="shared" si="17"/>
        <v/>
      </c>
      <c r="AX328" s="113"/>
      <c r="AY328" s="113"/>
      <c r="AZ328" s="144" t="str">
        <f t="shared" si="18"/>
        <v/>
      </c>
      <c r="BA328" s="80"/>
      <c r="BB328" s="140"/>
      <c r="BC328" s="145" t="str">
        <f t="shared" si="19"/>
        <v/>
      </c>
      <c r="BD328" s="113"/>
      <c r="BE328" s="114"/>
      <c r="BF328" s="146" t="str">
        <f t="shared" si="20"/>
        <v/>
      </c>
      <c r="BG328" s="147" t="s">
        <v>84</v>
      </c>
      <c r="BH328" s="148"/>
      <c r="BI328" s="156"/>
      <c r="BJ328" s="150">
        <f>'Degrémont sortie'!BI328</f>
        <v>0</v>
      </c>
      <c r="BK328" s="151">
        <f>'Degrémont sortie'!BJ328</f>
        <v>0</v>
      </c>
    </row>
    <row r="329" spans="1:63" ht="25.5" outlineLevel="1">
      <c r="A329" s="121">
        <f t="shared" si="13"/>
        <v>43781</v>
      </c>
      <c r="B329" s="122"/>
      <c r="C329" s="208"/>
      <c r="D329" s="210"/>
      <c r="E329" s="211"/>
      <c r="F329" s="80"/>
      <c r="G329" s="127">
        <f t="shared" si="0"/>
        <v>0</v>
      </c>
      <c r="H329" s="128">
        <f t="shared" si="1"/>
        <v>0</v>
      </c>
      <c r="I329" s="129">
        <v>1</v>
      </c>
      <c r="J329" s="80"/>
      <c r="K329" s="79">
        <f t="shared" si="2"/>
        <v>0</v>
      </c>
      <c r="L329" s="128">
        <f t="shared" si="3"/>
        <v>0</v>
      </c>
      <c r="M329" s="130">
        <v>1</v>
      </c>
      <c r="N329" s="80"/>
      <c r="O329" s="80" t="str">
        <f t="shared" si="4"/>
        <v/>
      </c>
      <c r="P329" s="81">
        <f t="shared" si="5"/>
        <v>0</v>
      </c>
      <c r="Q329" s="213"/>
      <c r="R329" s="113"/>
      <c r="S329" s="127" t="str">
        <f t="shared" si="6"/>
        <v/>
      </c>
      <c r="T329" s="128">
        <f t="shared" si="7"/>
        <v>0</v>
      </c>
      <c r="U329" s="131">
        <v>84</v>
      </c>
      <c r="V329" s="81">
        <f t="shared" si="14"/>
        <v>0</v>
      </c>
      <c r="W329" s="422"/>
      <c r="X329" s="423"/>
      <c r="Y329" s="424"/>
      <c r="Z329" s="422"/>
      <c r="AA329" s="423"/>
      <c r="AB329" s="424"/>
      <c r="AC329" s="81"/>
      <c r="AD329" s="93" t="str">
        <f t="shared" si="8"/>
        <v/>
      </c>
      <c r="AE329" s="94" t="str">
        <f t="shared" si="9"/>
        <v/>
      </c>
      <c r="AF329" s="139"/>
      <c r="AG329" s="215"/>
      <c r="AH329" s="136" t="str">
        <f t="shared" si="10"/>
        <v/>
      </c>
      <c r="AI329" s="80"/>
      <c r="AJ329" s="137">
        <v>1.9019999999999999</v>
      </c>
      <c r="AK329" s="100">
        <f t="shared" si="21"/>
        <v>5.5234079999999999</v>
      </c>
      <c r="AL329" s="138"/>
      <c r="AM329" s="131">
        <v>198</v>
      </c>
      <c r="AN329" s="103">
        <f t="shared" si="12"/>
        <v>759.92399999999998</v>
      </c>
      <c r="AO329" s="139"/>
      <c r="AP329" s="155">
        <v>21.97</v>
      </c>
      <c r="AQ329" s="141">
        <f t="shared" si="15"/>
        <v>84.320859999999996</v>
      </c>
      <c r="AR329" s="393" t="s">
        <v>85</v>
      </c>
      <c r="AS329" s="155">
        <v>0.03</v>
      </c>
      <c r="AT329" s="143">
        <f t="shared" si="16"/>
        <v>5.7569999999999996E-2</v>
      </c>
      <c r="AU329" s="139"/>
      <c r="AV329" s="131">
        <v>26.46</v>
      </c>
      <c r="AW329" s="107">
        <f t="shared" si="17"/>
        <v>101.55348000000001</v>
      </c>
      <c r="AX329" s="113"/>
      <c r="AY329" s="131">
        <v>70.010000000000005</v>
      </c>
      <c r="AZ329" s="144">
        <f t="shared" si="18"/>
        <v>268.69838000000004</v>
      </c>
      <c r="BA329" s="80"/>
      <c r="BB329" s="155">
        <v>0.39</v>
      </c>
      <c r="BC329" s="145">
        <f t="shared" si="19"/>
        <v>1.49682</v>
      </c>
      <c r="BD329" s="131" t="s">
        <v>85</v>
      </c>
      <c r="BE329" s="158">
        <v>0.13</v>
      </c>
      <c r="BF329" s="146">
        <f t="shared" si="20"/>
        <v>0.24947000000000003</v>
      </c>
      <c r="BG329" s="147" t="s">
        <v>84</v>
      </c>
      <c r="BH329" s="392" t="s">
        <v>209</v>
      </c>
      <c r="BI329" s="156"/>
      <c r="BJ329" s="150">
        <f>'Degrémont sortie'!BI329</f>
        <v>0</v>
      </c>
      <c r="BK329" s="151">
        <f>'Degrémont sortie'!BJ329</f>
        <v>0</v>
      </c>
    </row>
    <row r="330" spans="1:63" ht="14.25" outlineLevel="1">
      <c r="A330" s="152">
        <f t="shared" si="13"/>
        <v>43782</v>
      </c>
      <c r="B330" s="122">
        <v>58</v>
      </c>
      <c r="C330" s="123">
        <v>7.72</v>
      </c>
      <c r="D330" s="124">
        <v>87.7</v>
      </c>
      <c r="E330" s="125">
        <v>406.9</v>
      </c>
      <c r="F330" s="126">
        <v>30</v>
      </c>
      <c r="G330" s="127">
        <f t="shared" si="0"/>
        <v>10640</v>
      </c>
      <c r="H330" s="128">
        <f t="shared" si="1"/>
        <v>617.12</v>
      </c>
      <c r="I330" s="129">
        <v>1</v>
      </c>
      <c r="J330" s="126">
        <v>8189</v>
      </c>
      <c r="K330" s="79">
        <f t="shared" si="2"/>
        <v>8189</v>
      </c>
      <c r="L330" s="128">
        <f t="shared" si="3"/>
        <v>474.96199999999999</v>
      </c>
      <c r="M330" s="130">
        <v>1</v>
      </c>
      <c r="N330" s="126">
        <v>290</v>
      </c>
      <c r="O330" s="80">
        <f t="shared" si="4"/>
        <v>290</v>
      </c>
      <c r="P330" s="81">
        <f t="shared" si="5"/>
        <v>16.82</v>
      </c>
      <c r="Q330" s="129">
        <v>10</v>
      </c>
      <c r="R330" s="131">
        <v>37</v>
      </c>
      <c r="S330" s="127">
        <f t="shared" si="6"/>
        <v>370</v>
      </c>
      <c r="T330" s="128">
        <f t="shared" si="7"/>
        <v>21.46</v>
      </c>
      <c r="U330" s="113"/>
      <c r="V330" s="81">
        <f t="shared" si="14"/>
        <v>0</v>
      </c>
      <c r="W330" s="422"/>
      <c r="X330" s="423"/>
      <c r="Y330" s="424"/>
      <c r="Z330" s="422"/>
      <c r="AA330" s="423"/>
      <c r="AB330" s="424"/>
      <c r="AC330" s="81"/>
      <c r="AD330" s="93" t="str">
        <f t="shared" si="8"/>
        <v/>
      </c>
      <c r="AE330" s="94" t="e">
        <f t="shared" si="9"/>
        <v>#VALUE!</v>
      </c>
      <c r="AF330" s="134" t="s">
        <v>85</v>
      </c>
      <c r="AG330" s="135">
        <v>0.01</v>
      </c>
      <c r="AH330" s="136">
        <f t="shared" si="10"/>
        <v>2.9E-4</v>
      </c>
      <c r="AI330" s="80"/>
      <c r="AJ330" s="154"/>
      <c r="AK330" s="100" t="str">
        <f t="shared" si="21"/>
        <v/>
      </c>
      <c r="AL330" s="138"/>
      <c r="AM330" s="113"/>
      <c r="AN330" s="103" t="str">
        <f t="shared" si="12"/>
        <v/>
      </c>
      <c r="AO330" s="139"/>
      <c r="AP330" s="140"/>
      <c r="AQ330" s="141" t="str">
        <f t="shared" si="15"/>
        <v/>
      </c>
      <c r="AR330" s="142"/>
      <c r="AS330" s="140"/>
      <c r="AT330" s="143" t="str">
        <f t="shared" si="16"/>
        <v/>
      </c>
      <c r="AU330" s="139"/>
      <c r="AV330" s="113"/>
      <c r="AW330" s="107" t="str">
        <f t="shared" si="17"/>
        <v/>
      </c>
      <c r="AX330" s="113"/>
      <c r="AY330" s="113"/>
      <c r="AZ330" s="144" t="str">
        <f t="shared" si="18"/>
        <v/>
      </c>
      <c r="BA330" s="80"/>
      <c r="BB330" s="140"/>
      <c r="BC330" s="145" t="str">
        <f t="shared" si="19"/>
        <v/>
      </c>
      <c r="BD330" s="113"/>
      <c r="BE330" s="114"/>
      <c r="BF330" s="146" t="str">
        <f t="shared" si="20"/>
        <v/>
      </c>
      <c r="BG330" s="147" t="s">
        <v>84</v>
      </c>
      <c r="BH330" s="148"/>
      <c r="BI330" s="156"/>
      <c r="BJ330" s="150">
        <f>'Degrémont sortie'!BI330</f>
        <v>0</v>
      </c>
      <c r="BK330" s="151">
        <f>'Degrémont sortie'!BJ330</f>
        <v>0</v>
      </c>
    </row>
    <row r="331" spans="1:63" ht="14.25" outlineLevel="1">
      <c r="A331" s="121">
        <f t="shared" si="13"/>
        <v>43783</v>
      </c>
      <c r="B331" s="122">
        <v>279</v>
      </c>
      <c r="C331" s="123">
        <v>7.85</v>
      </c>
      <c r="D331" s="124">
        <v>88.8</v>
      </c>
      <c r="E331" s="125">
        <v>467.6</v>
      </c>
      <c r="F331" s="126">
        <v>29</v>
      </c>
      <c r="G331" s="127">
        <f t="shared" si="0"/>
        <v>13062.068965517241</v>
      </c>
      <c r="H331" s="128">
        <f t="shared" si="1"/>
        <v>3644.3172413793104</v>
      </c>
      <c r="I331" s="129">
        <v>1</v>
      </c>
      <c r="J331" s="126">
        <v>10903</v>
      </c>
      <c r="K331" s="79">
        <f t="shared" si="2"/>
        <v>10903</v>
      </c>
      <c r="L331" s="128">
        <f t="shared" si="3"/>
        <v>3041.9369999999999</v>
      </c>
      <c r="M331" s="130">
        <v>1</v>
      </c>
      <c r="N331" s="126">
        <v>1183</v>
      </c>
      <c r="O331" s="80">
        <f t="shared" si="4"/>
        <v>1183</v>
      </c>
      <c r="P331" s="81">
        <f t="shared" si="5"/>
        <v>330.05700000000002</v>
      </c>
      <c r="Q331" s="129">
        <v>10</v>
      </c>
      <c r="R331" s="131">
        <v>34.1</v>
      </c>
      <c r="S331" s="127">
        <f t="shared" si="6"/>
        <v>341</v>
      </c>
      <c r="T331" s="128">
        <f t="shared" si="7"/>
        <v>95.138999999999996</v>
      </c>
      <c r="U331" s="113"/>
      <c r="V331" s="81">
        <f t="shared" si="14"/>
        <v>0</v>
      </c>
      <c r="W331" s="422"/>
      <c r="X331" s="423"/>
      <c r="Y331" s="424"/>
      <c r="Z331" s="422"/>
      <c r="AA331" s="423"/>
      <c r="AB331" s="424"/>
      <c r="AC331" s="81"/>
      <c r="AD331" s="93" t="str">
        <f t="shared" si="8"/>
        <v/>
      </c>
      <c r="AE331" s="94" t="e">
        <f t="shared" si="9"/>
        <v>#VALUE!</v>
      </c>
      <c r="AF331" s="134" t="s">
        <v>85</v>
      </c>
      <c r="AG331" s="135">
        <v>0.01</v>
      </c>
      <c r="AH331" s="136">
        <f t="shared" si="10"/>
        <v>1.395E-3</v>
      </c>
      <c r="AI331" s="80"/>
      <c r="AJ331" s="154"/>
      <c r="AK331" s="100" t="str">
        <f t="shared" si="21"/>
        <v/>
      </c>
      <c r="AL331" s="138"/>
      <c r="AM331" s="113"/>
      <c r="AN331" s="103" t="str">
        <f t="shared" si="12"/>
        <v/>
      </c>
      <c r="AO331" s="139"/>
      <c r="AP331" s="140"/>
      <c r="AQ331" s="141" t="str">
        <f t="shared" si="15"/>
        <v/>
      </c>
      <c r="AR331" s="142"/>
      <c r="AS331" s="140"/>
      <c r="AT331" s="143" t="str">
        <f t="shared" si="16"/>
        <v/>
      </c>
      <c r="AU331" s="139"/>
      <c r="AV331" s="113"/>
      <c r="AW331" s="107" t="str">
        <f t="shared" si="17"/>
        <v/>
      </c>
      <c r="AX331" s="113"/>
      <c r="AY331" s="113"/>
      <c r="AZ331" s="144" t="str">
        <f t="shared" si="18"/>
        <v/>
      </c>
      <c r="BA331" s="80"/>
      <c r="BB331" s="140"/>
      <c r="BC331" s="145" t="str">
        <f t="shared" si="19"/>
        <v/>
      </c>
      <c r="BD331" s="113"/>
      <c r="BE331" s="114"/>
      <c r="BF331" s="146" t="str">
        <f t="shared" si="20"/>
        <v/>
      </c>
      <c r="BG331" s="147" t="s">
        <v>84</v>
      </c>
      <c r="BH331" s="148"/>
      <c r="BI331" s="156"/>
      <c r="BJ331" s="150">
        <f>'Degrémont sortie'!BI331</f>
        <v>0</v>
      </c>
      <c r="BK331" s="151">
        <f>'Degrémont sortie'!BJ331</f>
        <v>0</v>
      </c>
    </row>
    <row r="332" spans="1:63" ht="14.25" outlineLevel="1">
      <c r="A332" s="152">
        <f t="shared" si="13"/>
        <v>43784</v>
      </c>
      <c r="B332" s="122">
        <v>405</v>
      </c>
      <c r="C332" s="208"/>
      <c r="D332" s="210"/>
      <c r="E332" s="211"/>
      <c r="F332" s="80"/>
      <c r="G332" s="127">
        <f t="shared" si="0"/>
        <v>0</v>
      </c>
      <c r="H332" s="128">
        <f t="shared" si="1"/>
        <v>0</v>
      </c>
      <c r="I332" s="129">
        <v>1</v>
      </c>
      <c r="J332" s="80"/>
      <c r="K332" s="79">
        <f t="shared" si="2"/>
        <v>0</v>
      </c>
      <c r="L332" s="128">
        <f t="shared" si="3"/>
        <v>0</v>
      </c>
      <c r="M332" s="130">
        <v>1</v>
      </c>
      <c r="N332" s="80"/>
      <c r="O332" s="80" t="str">
        <f t="shared" si="4"/>
        <v/>
      </c>
      <c r="P332" s="81" t="e">
        <f t="shared" si="5"/>
        <v>#VALUE!</v>
      </c>
      <c r="Q332" s="213"/>
      <c r="R332" s="113"/>
      <c r="S332" s="127" t="str">
        <f t="shared" si="6"/>
        <v/>
      </c>
      <c r="T332" s="128" t="e">
        <f t="shared" si="7"/>
        <v>#VALUE!</v>
      </c>
      <c r="U332" s="113"/>
      <c r="V332" s="81">
        <f t="shared" si="14"/>
        <v>0</v>
      </c>
      <c r="W332" s="422"/>
      <c r="X332" s="423"/>
      <c r="Y332" s="424"/>
      <c r="Z332" s="422"/>
      <c r="AA332" s="423"/>
      <c r="AB332" s="424"/>
      <c r="AC332" s="81"/>
      <c r="AD332" s="93" t="str">
        <f t="shared" si="8"/>
        <v/>
      </c>
      <c r="AE332" s="94" t="e">
        <f t="shared" si="9"/>
        <v>#VALUE!</v>
      </c>
      <c r="AF332" s="139"/>
      <c r="AG332" s="215"/>
      <c r="AH332" s="136">
        <f t="shared" si="10"/>
        <v>0</v>
      </c>
      <c r="AI332" s="80"/>
      <c r="AJ332" s="154"/>
      <c r="AK332" s="100" t="str">
        <f t="shared" si="21"/>
        <v/>
      </c>
      <c r="AL332" s="138"/>
      <c r="AM332" s="113"/>
      <c r="AN332" s="103" t="str">
        <f t="shared" si="12"/>
        <v/>
      </c>
      <c r="AO332" s="139"/>
      <c r="AP332" s="140"/>
      <c r="AQ332" s="141" t="str">
        <f t="shared" si="15"/>
        <v/>
      </c>
      <c r="AR332" s="142"/>
      <c r="AS332" s="140"/>
      <c r="AT332" s="143" t="str">
        <f t="shared" si="16"/>
        <v/>
      </c>
      <c r="AU332" s="139"/>
      <c r="AV332" s="113"/>
      <c r="AW332" s="107" t="str">
        <f t="shared" si="17"/>
        <v/>
      </c>
      <c r="AX332" s="113"/>
      <c r="AY332" s="113"/>
      <c r="AZ332" s="144" t="str">
        <f t="shared" si="18"/>
        <v/>
      </c>
      <c r="BA332" s="80"/>
      <c r="BB332" s="140"/>
      <c r="BC332" s="145" t="str">
        <f t="shared" si="19"/>
        <v/>
      </c>
      <c r="BD332" s="113"/>
      <c r="BE332" s="114"/>
      <c r="BF332" s="146" t="str">
        <f t="shared" si="20"/>
        <v/>
      </c>
      <c r="BG332" s="147" t="s">
        <v>84</v>
      </c>
      <c r="BH332" s="148"/>
      <c r="BI332" s="156"/>
      <c r="BJ332" s="150">
        <f>'Degrémont sortie'!BI332</f>
        <v>0</v>
      </c>
      <c r="BK332" s="151">
        <f>'Degrémont sortie'!BJ332</f>
        <v>0</v>
      </c>
    </row>
    <row r="333" spans="1:63" ht="15.75" customHeight="1" outlineLevel="1">
      <c r="A333" s="121">
        <f t="shared" si="13"/>
        <v>43785</v>
      </c>
      <c r="B333" s="207"/>
      <c r="C333" s="208"/>
      <c r="D333" s="210"/>
      <c r="E333" s="211"/>
      <c r="F333" s="80"/>
      <c r="G333" s="127">
        <f t="shared" si="0"/>
        <v>0</v>
      </c>
      <c r="H333" s="128">
        <f t="shared" si="1"/>
        <v>0</v>
      </c>
      <c r="I333" s="129">
        <v>1</v>
      </c>
      <c r="J333" s="80"/>
      <c r="K333" s="79">
        <f t="shared" si="2"/>
        <v>0</v>
      </c>
      <c r="L333" s="128">
        <f t="shared" si="3"/>
        <v>0</v>
      </c>
      <c r="M333" s="130">
        <v>1</v>
      </c>
      <c r="N333" s="80"/>
      <c r="O333" s="80" t="str">
        <f t="shared" si="4"/>
        <v/>
      </c>
      <c r="P333" s="81">
        <f t="shared" si="5"/>
        <v>0</v>
      </c>
      <c r="Q333" s="213"/>
      <c r="R333" s="113"/>
      <c r="S333" s="127" t="str">
        <f t="shared" si="6"/>
        <v/>
      </c>
      <c r="T333" s="128">
        <f t="shared" si="7"/>
        <v>0</v>
      </c>
      <c r="U333" s="113"/>
      <c r="V333" s="81">
        <f t="shared" si="14"/>
        <v>0</v>
      </c>
      <c r="W333" s="422"/>
      <c r="X333" s="423"/>
      <c r="Y333" s="424"/>
      <c r="Z333" s="422"/>
      <c r="AA333" s="423"/>
      <c r="AB333" s="424"/>
      <c r="AC333" s="81"/>
      <c r="AD333" s="93" t="str">
        <f t="shared" si="8"/>
        <v/>
      </c>
      <c r="AE333" s="94" t="str">
        <f t="shared" si="9"/>
        <v/>
      </c>
      <c r="AF333" s="139"/>
      <c r="AG333" s="215"/>
      <c r="AH333" s="136" t="str">
        <f t="shared" si="10"/>
        <v/>
      </c>
      <c r="AI333" s="80"/>
      <c r="AJ333" s="154"/>
      <c r="AK333" s="100" t="str">
        <f t="shared" si="21"/>
        <v/>
      </c>
      <c r="AL333" s="138"/>
      <c r="AM333" s="113"/>
      <c r="AN333" s="103" t="str">
        <f t="shared" si="12"/>
        <v/>
      </c>
      <c r="AO333" s="139"/>
      <c r="AP333" s="140"/>
      <c r="AQ333" s="141" t="str">
        <f t="shared" si="15"/>
        <v/>
      </c>
      <c r="AR333" s="142"/>
      <c r="AS333" s="140"/>
      <c r="AT333" s="143" t="str">
        <f t="shared" si="16"/>
        <v/>
      </c>
      <c r="AU333" s="139"/>
      <c r="AV333" s="113"/>
      <c r="AW333" s="107" t="str">
        <f t="shared" si="17"/>
        <v/>
      </c>
      <c r="AX333" s="113"/>
      <c r="AY333" s="113"/>
      <c r="AZ333" s="144" t="str">
        <f t="shared" si="18"/>
        <v/>
      </c>
      <c r="BA333" s="80"/>
      <c r="BB333" s="140"/>
      <c r="BC333" s="145" t="str">
        <f t="shared" si="19"/>
        <v/>
      </c>
      <c r="BD333" s="113"/>
      <c r="BE333" s="114"/>
      <c r="BF333" s="146" t="str">
        <f t="shared" si="20"/>
        <v/>
      </c>
      <c r="BG333" s="147" t="s">
        <v>84</v>
      </c>
      <c r="BH333" s="148"/>
      <c r="BI333" s="156"/>
      <c r="BJ333" s="150">
        <f>'Degrémont sortie'!BI333</f>
        <v>0</v>
      </c>
      <c r="BK333" s="151">
        <f>'Degrémont sortie'!BJ333</f>
        <v>0</v>
      </c>
    </row>
    <row r="334" spans="1:63" ht="15.75" customHeight="1" outlineLevel="1">
      <c r="A334" s="152">
        <f t="shared" si="13"/>
        <v>43786</v>
      </c>
      <c r="B334" s="122">
        <v>380</v>
      </c>
      <c r="C334" s="208"/>
      <c r="D334" s="210"/>
      <c r="E334" s="211"/>
      <c r="F334" s="80"/>
      <c r="G334" s="127">
        <f t="shared" si="0"/>
        <v>0</v>
      </c>
      <c r="H334" s="128">
        <f t="shared" si="1"/>
        <v>0</v>
      </c>
      <c r="I334" s="129">
        <v>1</v>
      </c>
      <c r="J334" s="80"/>
      <c r="K334" s="79">
        <f t="shared" si="2"/>
        <v>0</v>
      </c>
      <c r="L334" s="128">
        <f t="shared" si="3"/>
        <v>0</v>
      </c>
      <c r="M334" s="130">
        <v>1</v>
      </c>
      <c r="N334" s="80"/>
      <c r="O334" s="80" t="str">
        <f t="shared" si="4"/>
        <v/>
      </c>
      <c r="P334" s="81" t="e">
        <f t="shared" si="5"/>
        <v>#VALUE!</v>
      </c>
      <c r="Q334" s="213"/>
      <c r="R334" s="113"/>
      <c r="S334" s="127" t="str">
        <f t="shared" si="6"/>
        <v/>
      </c>
      <c r="T334" s="128" t="e">
        <f t="shared" si="7"/>
        <v>#VALUE!</v>
      </c>
      <c r="U334" s="113"/>
      <c r="V334" s="81">
        <f t="shared" si="14"/>
        <v>0</v>
      </c>
      <c r="W334" s="422"/>
      <c r="X334" s="423"/>
      <c r="Y334" s="424"/>
      <c r="Z334" s="422"/>
      <c r="AA334" s="423"/>
      <c r="AB334" s="424"/>
      <c r="AC334" s="81"/>
      <c r="AD334" s="93" t="str">
        <f t="shared" si="8"/>
        <v/>
      </c>
      <c r="AE334" s="94" t="e">
        <f t="shared" si="9"/>
        <v>#VALUE!</v>
      </c>
      <c r="AF334" s="139"/>
      <c r="AG334" s="215"/>
      <c r="AH334" s="136">
        <f t="shared" si="10"/>
        <v>0</v>
      </c>
      <c r="AI334" s="80"/>
      <c r="AJ334" s="154"/>
      <c r="AK334" s="100" t="str">
        <f t="shared" si="21"/>
        <v/>
      </c>
      <c r="AL334" s="138"/>
      <c r="AM334" s="113"/>
      <c r="AN334" s="103" t="str">
        <f t="shared" si="12"/>
        <v/>
      </c>
      <c r="AO334" s="139"/>
      <c r="AP334" s="140"/>
      <c r="AQ334" s="141" t="str">
        <f t="shared" si="15"/>
        <v/>
      </c>
      <c r="AR334" s="142"/>
      <c r="AS334" s="140"/>
      <c r="AT334" s="143" t="str">
        <f t="shared" si="16"/>
        <v/>
      </c>
      <c r="AU334" s="139"/>
      <c r="AV334" s="113"/>
      <c r="AW334" s="107" t="str">
        <f t="shared" si="17"/>
        <v/>
      </c>
      <c r="AX334" s="113"/>
      <c r="AY334" s="113"/>
      <c r="AZ334" s="144" t="str">
        <f t="shared" si="18"/>
        <v/>
      </c>
      <c r="BA334" s="80"/>
      <c r="BB334" s="140"/>
      <c r="BC334" s="145" t="str">
        <f t="shared" si="19"/>
        <v/>
      </c>
      <c r="BD334" s="113"/>
      <c r="BE334" s="114"/>
      <c r="BF334" s="146" t="str">
        <f t="shared" si="20"/>
        <v/>
      </c>
      <c r="BG334" s="147" t="s">
        <v>84</v>
      </c>
      <c r="BH334" s="148"/>
      <c r="BI334" s="156"/>
      <c r="BJ334" s="150">
        <f>'Degrémont sortie'!BI334</f>
        <v>0</v>
      </c>
      <c r="BK334" s="151">
        <f>'Degrémont sortie'!BJ334</f>
        <v>0</v>
      </c>
    </row>
    <row r="335" spans="1:63" ht="15.75" customHeight="1" outlineLevel="1">
      <c r="A335" s="121">
        <f t="shared" si="13"/>
        <v>43787</v>
      </c>
      <c r="B335" s="207"/>
      <c r="C335" s="208"/>
      <c r="D335" s="210"/>
      <c r="E335" s="211"/>
      <c r="F335" s="80"/>
      <c r="G335" s="127">
        <f t="shared" si="0"/>
        <v>0</v>
      </c>
      <c r="H335" s="128">
        <f t="shared" si="1"/>
        <v>0</v>
      </c>
      <c r="I335" s="129">
        <v>1</v>
      </c>
      <c r="J335" s="80"/>
      <c r="K335" s="79">
        <f t="shared" si="2"/>
        <v>0</v>
      </c>
      <c r="L335" s="128">
        <f t="shared" si="3"/>
        <v>0</v>
      </c>
      <c r="M335" s="130">
        <v>1</v>
      </c>
      <c r="N335" s="80"/>
      <c r="O335" s="80" t="str">
        <f t="shared" si="4"/>
        <v/>
      </c>
      <c r="P335" s="81">
        <f t="shared" si="5"/>
        <v>0</v>
      </c>
      <c r="Q335" s="213"/>
      <c r="R335" s="113"/>
      <c r="S335" s="127" t="str">
        <f t="shared" si="6"/>
        <v/>
      </c>
      <c r="T335" s="128">
        <f t="shared" si="7"/>
        <v>0</v>
      </c>
      <c r="U335" s="113"/>
      <c r="V335" s="81">
        <f t="shared" si="14"/>
        <v>0</v>
      </c>
      <c r="W335" s="422"/>
      <c r="X335" s="423"/>
      <c r="Y335" s="424"/>
      <c r="Z335" s="422"/>
      <c r="AA335" s="423"/>
      <c r="AB335" s="424"/>
      <c r="AC335" s="81"/>
      <c r="AD335" s="93" t="str">
        <f t="shared" si="8"/>
        <v/>
      </c>
      <c r="AE335" s="94" t="str">
        <f t="shared" si="9"/>
        <v/>
      </c>
      <c r="AF335" s="139"/>
      <c r="AG335" s="215"/>
      <c r="AH335" s="136" t="str">
        <f t="shared" si="10"/>
        <v/>
      </c>
      <c r="AI335" s="80"/>
      <c r="AJ335" s="154"/>
      <c r="AK335" s="100" t="str">
        <f t="shared" si="21"/>
        <v/>
      </c>
      <c r="AL335" s="138"/>
      <c r="AM335" s="113"/>
      <c r="AN335" s="103" t="str">
        <f t="shared" si="12"/>
        <v/>
      </c>
      <c r="AO335" s="139"/>
      <c r="AP335" s="140"/>
      <c r="AQ335" s="141" t="str">
        <f t="shared" si="15"/>
        <v/>
      </c>
      <c r="AR335" s="142"/>
      <c r="AS335" s="140"/>
      <c r="AT335" s="143" t="str">
        <f t="shared" si="16"/>
        <v/>
      </c>
      <c r="AU335" s="139"/>
      <c r="AV335" s="113"/>
      <c r="AW335" s="107" t="str">
        <f t="shared" si="17"/>
        <v/>
      </c>
      <c r="AX335" s="113"/>
      <c r="AY335" s="113"/>
      <c r="AZ335" s="144" t="str">
        <f t="shared" si="18"/>
        <v/>
      </c>
      <c r="BA335" s="80"/>
      <c r="BB335" s="140"/>
      <c r="BC335" s="145" t="str">
        <f t="shared" si="19"/>
        <v/>
      </c>
      <c r="BD335" s="113"/>
      <c r="BE335" s="114"/>
      <c r="BF335" s="146" t="str">
        <f t="shared" si="20"/>
        <v/>
      </c>
      <c r="BG335" s="147" t="s">
        <v>84</v>
      </c>
      <c r="BH335" s="148"/>
      <c r="BI335" s="156"/>
      <c r="BJ335" s="150">
        <f>'Degrémont sortie'!BI335</f>
        <v>0</v>
      </c>
      <c r="BK335" s="151">
        <f>'Degrémont sortie'!BJ335</f>
        <v>0</v>
      </c>
    </row>
    <row r="336" spans="1:63" ht="15.75" customHeight="1" outlineLevel="1">
      <c r="A336" s="152">
        <f t="shared" si="13"/>
        <v>43788</v>
      </c>
      <c r="B336" s="122">
        <v>572</v>
      </c>
      <c r="C336" s="123">
        <v>7.89</v>
      </c>
      <c r="D336" s="124">
        <v>90.3</v>
      </c>
      <c r="E336" s="125">
        <v>523.9</v>
      </c>
      <c r="F336" s="126">
        <v>30</v>
      </c>
      <c r="G336" s="127">
        <f t="shared" si="0"/>
        <v>14453.333333333332</v>
      </c>
      <c r="H336" s="128">
        <f t="shared" si="1"/>
        <v>8267.3066666666655</v>
      </c>
      <c r="I336" s="129">
        <v>1</v>
      </c>
      <c r="J336" s="126">
        <v>106999</v>
      </c>
      <c r="K336" s="79">
        <f t="shared" si="2"/>
        <v>106999</v>
      </c>
      <c r="L336" s="128">
        <f t="shared" si="3"/>
        <v>61203.428</v>
      </c>
      <c r="M336" s="130">
        <v>1</v>
      </c>
      <c r="N336" s="126">
        <v>1182</v>
      </c>
      <c r="O336" s="80">
        <f t="shared" si="4"/>
        <v>1182</v>
      </c>
      <c r="P336" s="81">
        <f t="shared" si="5"/>
        <v>676.10400000000004</v>
      </c>
      <c r="Q336" s="129">
        <v>10</v>
      </c>
      <c r="R336" s="131">
        <v>33.200000000000003</v>
      </c>
      <c r="S336" s="127">
        <f t="shared" si="6"/>
        <v>332</v>
      </c>
      <c r="T336" s="128">
        <f t="shared" si="7"/>
        <v>189.904</v>
      </c>
      <c r="U336" s="131">
        <v>176</v>
      </c>
      <c r="V336" s="81">
        <f t="shared" si="14"/>
        <v>100.672</v>
      </c>
      <c r="W336" s="422"/>
      <c r="X336" s="423"/>
      <c r="Y336" s="424"/>
      <c r="Z336" s="422"/>
      <c r="AA336" s="423"/>
      <c r="AB336" s="424"/>
      <c r="AC336" s="81"/>
      <c r="AD336" s="93" t="str">
        <f t="shared" si="8"/>
        <v/>
      </c>
      <c r="AE336" s="94" t="e">
        <f t="shared" si="9"/>
        <v>#VALUE!</v>
      </c>
      <c r="AF336" s="134" t="s">
        <v>85</v>
      </c>
      <c r="AG336" s="135">
        <v>0.05</v>
      </c>
      <c r="AH336" s="136">
        <f t="shared" si="10"/>
        <v>1.43E-2</v>
      </c>
      <c r="AI336" s="80"/>
      <c r="AJ336" s="137">
        <v>3.43</v>
      </c>
      <c r="AK336" s="100">
        <f t="shared" si="21"/>
        <v>5.8104199999999997</v>
      </c>
      <c r="AL336" s="138"/>
      <c r="AM336" s="131">
        <v>275</v>
      </c>
      <c r="AN336" s="103">
        <f t="shared" si="12"/>
        <v>689.42500000000007</v>
      </c>
      <c r="AO336" s="139"/>
      <c r="AP336" s="155">
        <v>501.62</v>
      </c>
      <c r="AQ336" s="141">
        <f t="shared" si="15"/>
        <v>1257.56134</v>
      </c>
      <c r="AR336" s="142"/>
      <c r="AS336" s="155">
        <v>3.55</v>
      </c>
      <c r="AT336" s="143">
        <f t="shared" si="16"/>
        <v>8.8998500000000007</v>
      </c>
      <c r="AU336" s="139"/>
      <c r="AV336" s="131">
        <v>33.409999999999997</v>
      </c>
      <c r="AW336" s="107">
        <f t="shared" si="17"/>
        <v>83.758870000000002</v>
      </c>
      <c r="AX336" s="113"/>
      <c r="AY336" s="131">
        <v>649</v>
      </c>
      <c r="AZ336" s="144">
        <f t="shared" si="18"/>
        <v>1627.0430000000001</v>
      </c>
      <c r="BA336" s="80"/>
      <c r="BB336" s="155">
        <v>1.02</v>
      </c>
      <c r="BC336" s="145">
        <f t="shared" si="19"/>
        <v>2.55714</v>
      </c>
      <c r="BD336" s="131"/>
      <c r="BE336" s="158">
        <v>0.22</v>
      </c>
      <c r="BF336" s="146">
        <f t="shared" si="20"/>
        <v>0.55154000000000003</v>
      </c>
      <c r="BG336" s="147" t="s">
        <v>84</v>
      </c>
      <c r="BH336" s="148"/>
      <c r="BI336" s="156"/>
      <c r="BJ336" s="150">
        <f>'Degrémont sortie'!BI336</f>
        <v>0</v>
      </c>
      <c r="BK336" s="151">
        <f>'Degrémont sortie'!BJ336</f>
        <v>0</v>
      </c>
    </row>
    <row r="337" spans="1:63" ht="15.75" customHeight="1" outlineLevel="1">
      <c r="A337" s="121">
        <f t="shared" si="13"/>
        <v>43789</v>
      </c>
      <c r="B337" s="122">
        <v>813</v>
      </c>
      <c r="C337" s="123">
        <v>7.93</v>
      </c>
      <c r="D337" s="124">
        <v>88.5</v>
      </c>
      <c r="E337" s="125">
        <v>441.3</v>
      </c>
      <c r="F337" s="126">
        <v>30</v>
      </c>
      <c r="G337" s="127">
        <f t="shared" si="0"/>
        <v>11760</v>
      </c>
      <c r="H337" s="128">
        <f t="shared" si="1"/>
        <v>9560.8799999999992</v>
      </c>
      <c r="I337" s="129">
        <v>1</v>
      </c>
      <c r="J337" s="126">
        <v>9473</v>
      </c>
      <c r="K337" s="79">
        <f t="shared" si="2"/>
        <v>9473</v>
      </c>
      <c r="L337" s="128">
        <f t="shared" si="3"/>
        <v>7701.549</v>
      </c>
      <c r="M337" s="130">
        <v>1</v>
      </c>
      <c r="N337" s="126">
        <v>734</v>
      </c>
      <c r="O337" s="80">
        <f t="shared" si="4"/>
        <v>734</v>
      </c>
      <c r="P337" s="81">
        <f t="shared" si="5"/>
        <v>596.74199999999996</v>
      </c>
      <c r="Q337" s="129">
        <v>10</v>
      </c>
      <c r="R337" s="131">
        <v>31.9</v>
      </c>
      <c r="S337" s="127">
        <f t="shared" si="6"/>
        <v>319</v>
      </c>
      <c r="T337" s="128">
        <f t="shared" si="7"/>
        <v>259.34699999999998</v>
      </c>
      <c r="U337" s="113"/>
      <c r="V337" s="81">
        <f t="shared" si="14"/>
        <v>0</v>
      </c>
      <c r="W337" s="422"/>
      <c r="X337" s="423"/>
      <c r="Y337" s="424"/>
      <c r="Z337" s="422"/>
      <c r="AA337" s="423"/>
      <c r="AB337" s="424"/>
      <c r="AC337" s="81"/>
      <c r="AD337" s="93" t="str">
        <f t="shared" si="8"/>
        <v/>
      </c>
      <c r="AE337" s="94" t="e">
        <f t="shared" si="9"/>
        <v>#VALUE!</v>
      </c>
      <c r="AF337" s="134" t="s">
        <v>85</v>
      </c>
      <c r="AG337" s="135">
        <v>0.01</v>
      </c>
      <c r="AH337" s="136">
        <f t="shared" si="10"/>
        <v>4.065E-3</v>
      </c>
      <c r="AI337" s="80"/>
      <c r="AJ337" s="154"/>
      <c r="AK337" s="100" t="str">
        <f t="shared" si="21"/>
        <v/>
      </c>
      <c r="AL337" s="138"/>
      <c r="AM337" s="113"/>
      <c r="AN337" s="103" t="str">
        <f t="shared" si="12"/>
        <v/>
      </c>
      <c r="AO337" s="139"/>
      <c r="AP337" s="140"/>
      <c r="AQ337" s="141" t="str">
        <f t="shared" si="15"/>
        <v/>
      </c>
      <c r="AR337" s="142"/>
      <c r="AS337" s="140"/>
      <c r="AT337" s="143" t="str">
        <f t="shared" si="16"/>
        <v/>
      </c>
      <c r="AU337" s="139"/>
      <c r="AV337" s="113"/>
      <c r="AW337" s="107" t="str">
        <f t="shared" si="17"/>
        <v/>
      </c>
      <c r="AX337" s="113"/>
      <c r="AY337" s="113"/>
      <c r="AZ337" s="144" t="str">
        <f t="shared" si="18"/>
        <v/>
      </c>
      <c r="BA337" s="80"/>
      <c r="BB337" s="140"/>
      <c r="BC337" s="145" t="str">
        <f t="shared" si="19"/>
        <v/>
      </c>
      <c r="BD337" s="113"/>
      <c r="BE337" s="114"/>
      <c r="BF337" s="146" t="str">
        <f t="shared" si="20"/>
        <v/>
      </c>
      <c r="BG337" s="147" t="s">
        <v>84</v>
      </c>
      <c r="BH337" s="148"/>
      <c r="BI337" s="156"/>
      <c r="BJ337" s="150">
        <f>'Degrémont sortie'!BI337</f>
        <v>0</v>
      </c>
      <c r="BK337" s="151">
        <f>'Degrémont sortie'!BJ337</f>
        <v>0</v>
      </c>
    </row>
    <row r="338" spans="1:63" ht="14.25" outlineLevel="1">
      <c r="A338" s="152">
        <f t="shared" si="13"/>
        <v>43790</v>
      </c>
      <c r="B338" s="183">
        <v>972</v>
      </c>
      <c r="C338" s="184">
        <v>8.1199999999999992</v>
      </c>
      <c r="D338" s="185">
        <v>87.4</v>
      </c>
      <c r="E338" s="186">
        <v>489.4</v>
      </c>
      <c r="F338" s="187">
        <v>30</v>
      </c>
      <c r="G338" s="127">
        <f t="shared" si="0"/>
        <v>13400</v>
      </c>
      <c r="H338" s="128">
        <f t="shared" si="1"/>
        <v>13024.8</v>
      </c>
      <c r="I338" s="188">
        <v>1</v>
      </c>
      <c r="J338" s="187">
        <v>9724</v>
      </c>
      <c r="K338" s="79">
        <f t="shared" si="2"/>
        <v>9724</v>
      </c>
      <c r="L338" s="128">
        <f t="shared" si="3"/>
        <v>9451.7279999999992</v>
      </c>
      <c r="M338" s="189">
        <v>1</v>
      </c>
      <c r="N338" s="187">
        <v>514</v>
      </c>
      <c r="O338" s="80">
        <f t="shared" si="4"/>
        <v>514</v>
      </c>
      <c r="P338" s="81">
        <f t="shared" si="5"/>
        <v>499.608</v>
      </c>
      <c r="Q338" s="188">
        <v>10</v>
      </c>
      <c r="R338" s="190">
        <v>36</v>
      </c>
      <c r="S338" s="127">
        <f t="shared" si="6"/>
        <v>360</v>
      </c>
      <c r="T338" s="128">
        <f t="shared" si="7"/>
        <v>349.92</v>
      </c>
      <c r="U338" s="191"/>
      <c r="V338" s="81">
        <f t="shared" si="14"/>
        <v>0</v>
      </c>
      <c r="W338" s="422"/>
      <c r="X338" s="423"/>
      <c r="Y338" s="424"/>
      <c r="Z338" s="422"/>
      <c r="AA338" s="423"/>
      <c r="AB338" s="424"/>
      <c r="AC338" s="81"/>
      <c r="AD338" s="93" t="str">
        <f t="shared" si="8"/>
        <v/>
      </c>
      <c r="AE338" s="94" t="e">
        <f t="shared" si="9"/>
        <v>#VALUE!</v>
      </c>
      <c r="AF338" s="192" t="s">
        <v>85</v>
      </c>
      <c r="AG338" s="193">
        <v>0.01</v>
      </c>
      <c r="AH338" s="136">
        <f t="shared" si="10"/>
        <v>4.8600000000000006E-3</v>
      </c>
      <c r="AI338" s="80"/>
      <c r="AJ338" s="154"/>
      <c r="AK338" s="100" t="str">
        <f t="shared" si="21"/>
        <v/>
      </c>
      <c r="AL338" s="194"/>
      <c r="AM338" s="191"/>
      <c r="AN338" s="103" t="str">
        <f t="shared" si="12"/>
        <v/>
      </c>
      <c r="AO338" s="195"/>
      <c r="AP338" s="196"/>
      <c r="AQ338" s="141" t="str">
        <f t="shared" si="15"/>
        <v/>
      </c>
      <c r="AR338" s="197"/>
      <c r="AS338" s="196"/>
      <c r="AT338" s="143" t="str">
        <f t="shared" si="16"/>
        <v/>
      </c>
      <c r="AU338" s="195"/>
      <c r="AV338" s="191"/>
      <c r="AW338" s="107" t="str">
        <f t="shared" si="17"/>
        <v/>
      </c>
      <c r="AX338" s="191"/>
      <c r="AY338" s="191"/>
      <c r="AZ338" s="144" t="str">
        <f t="shared" si="18"/>
        <v/>
      </c>
      <c r="BA338" s="198"/>
      <c r="BB338" s="196"/>
      <c r="BC338" s="145" t="str">
        <f t="shared" si="19"/>
        <v/>
      </c>
      <c r="BD338" s="191"/>
      <c r="BE338" s="199"/>
      <c r="BF338" s="146" t="str">
        <f t="shared" si="20"/>
        <v/>
      </c>
      <c r="BG338" s="147" t="s">
        <v>84</v>
      </c>
      <c r="BH338" s="200"/>
      <c r="BI338" s="391"/>
      <c r="BJ338" s="150">
        <f>'Degrémont sortie'!BI338</f>
        <v>0</v>
      </c>
      <c r="BK338" s="151">
        <f>'Degrémont sortie'!BJ338</f>
        <v>0</v>
      </c>
    </row>
    <row r="339" spans="1:63" ht="14.25" outlineLevel="1">
      <c r="A339" s="121">
        <f t="shared" si="13"/>
        <v>43791</v>
      </c>
      <c r="B339" s="122">
        <v>819</v>
      </c>
      <c r="C339" s="123">
        <v>8</v>
      </c>
      <c r="D339" s="124">
        <v>89.1</v>
      </c>
      <c r="E339" s="125">
        <v>483.7</v>
      </c>
      <c r="F339" s="126">
        <v>30</v>
      </c>
      <c r="G339" s="127">
        <f t="shared" si="0"/>
        <v>13153.333333333334</v>
      </c>
      <c r="H339" s="128">
        <f t="shared" si="1"/>
        <v>10772.58</v>
      </c>
      <c r="I339" s="129">
        <v>1</v>
      </c>
      <c r="J339" s="126">
        <v>9887</v>
      </c>
      <c r="K339" s="79">
        <f t="shared" si="2"/>
        <v>9887</v>
      </c>
      <c r="L339" s="128">
        <f t="shared" si="3"/>
        <v>8097.4530000000004</v>
      </c>
      <c r="M339" s="130">
        <v>1</v>
      </c>
      <c r="N339" s="126">
        <v>582</v>
      </c>
      <c r="O339" s="80">
        <f t="shared" si="4"/>
        <v>582</v>
      </c>
      <c r="P339" s="81">
        <f t="shared" si="5"/>
        <v>476.65800000000002</v>
      </c>
      <c r="Q339" s="129">
        <v>10</v>
      </c>
      <c r="R339" s="131">
        <v>35.799999999999997</v>
      </c>
      <c r="S339" s="127">
        <f t="shared" si="6"/>
        <v>358</v>
      </c>
      <c r="T339" s="128">
        <f t="shared" si="7"/>
        <v>293.202</v>
      </c>
      <c r="U339" s="113"/>
      <c r="V339" s="81">
        <f t="shared" si="14"/>
        <v>0</v>
      </c>
      <c r="W339" s="422"/>
      <c r="X339" s="423"/>
      <c r="Y339" s="424"/>
      <c r="Z339" s="422"/>
      <c r="AA339" s="423"/>
      <c r="AB339" s="424"/>
      <c r="AC339" s="81"/>
      <c r="AD339" s="93" t="str">
        <f t="shared" si="8"/>
        <v/>
      </c>
      <c r="AE339" s="94" t="e">
        <f t="shared" si="9"/>
        <v>#VALUE!</v>
      </c>
      <c r="AF339" s="134" t="s">
        <v>85</v>
      </c>
      <c r="AG339" s="135">
        <v>0.01</v>
      </c>
      <c r="AH339" s="136">
        <f t="shared" si="10"/>
        <v>4.0949999999999997E-3</v>
      </c>
      <c r="AI339" s="80"/>
      <c r="AJ339" s="154"/>
      <c r="AK339" s="100" t="str">
        <f t="shared" si="21"/>
        <v/>
      </c>
      <c r="AL339" s="138"/>
      <c r="AM339" s="113"/>
      <c r="AN339" s="103" t="str">
        <f t="shared" si="12"/>
        <v/>
      </c>
      <c r="AO339" s="139"/>
      <c r="AP339" s="140"/>
      <c r="AQ339" s="141" t="str">
        <f t="shared" si="15"/>
        <v/>
      </c>
      <c r="AR339" s="142"/>
      <c r="AS339" s="140"/>
      <c r="AT339" s="143" t="str">
        <f t="shared" si="16"/>
        <v/>
      </c>
      <c r="AU339" s="139"/>
      <c r="AV339" s="113"/>
      <c r="AW339" s="107" t="str">
        <f t="shared" si="17"/>
        <v/>
      </c>
      <c r="AX339" s="113"/>
      <c r="AY339" s="113"/>
      <c r="AZ339" s="144" t="str">
        <f t="shared" si="18"/>
        <v/>
      </c>
      <c r="BA339" s="80"/>
      <c r="BB339" s="140"/>
      <c r="BC339" s="145" t="str">
        <f t="shared" si="19"/>
        <v/>
      </c>
      <c r="BD339" s="113"/>
      <c r="BE339" s="114"/>
      <c r="BF339" s="146" t="str">
        <f t="shared" si="20"/>
        <v/>
      </c>
      <c r="BG339" s="147" t="s">
        <v>84</v>
      </c>
      <c r="BH339" s="148"/>
      <c r="BI339" s="156"/>
      <c r="BJ339" s="150">
        <f>'Degrémont sortie'!BI339</f>
        <v>0</v>
      </c>
      <c r="BK339" s="151">
        <f>'Degrémont sortie'!BJ339</f>
        <v>0</v>
      </c>
    </row>
    <row r="340" spans="1:63" ht="14.25" outlineLevel="1">
      <c r="A340" s="152">
        <f t="shared" si="13"/>
        <v>43792</v>
      </c>
      <c r="B340" s="122">
        <v>391</v>
      </c>
      <c r="C340" s="123">
        <v>8.15</v>
      </c>
      <c r="D340" s="124">
        <v>89.3</v>
      </c>
      <c r="E340" s="125">
        <v>714.4</v>
      </c>
      <c r="F340" s="126">
        <v>30</v>
      </c>
      <c r="G340" s="127">
        <f t="shared" si="0"/>
        <v>20836.666666666668</v>
      </c>
      <c r="H340" s="128">
        <f t="shared" si="1"/>
        <v>8147.1366666666672</v>
      </c>
      <c r="I340" s="129">
        <v>1</v>
      </c>
      <c r="J340" s="126">
        <v>12902</v>
      </c>
      <c r="K340" s="79">
        <f t="shared" si="2"/>
        <v>12902</v>
      </c>
      <c r="L340" s="128">
        <f t="shared" si="3"/>
        <v>5044.6819999999998</v>
      </c>
      <c r="M340" s="130">
        <v>1</v>
      </c>
      <c r="N340" s="126">
        <v>645</v>
      </c>
      <c r="O340" s="80">
        <f t="shared" si="4"/>
        <v>645</v>
      </c>
      <c r="P340" s="81">
        <f t="shared" si="5"/>
        <v>252.19499999999999</v>
      </c>
      <c r="Q340" s="129">
        <v>10</v>
      </c>
      <c r="R340" s="131">
        <v>47.9</v>
      </c>
      <c r="S340" s="127">
        <f t="shared" si="6"/>
        <v>479</v>
      </c>
      <c r="T340" s="128">
        <f t="shared" si="7"/>
        <v>187.28899999999999</v>
      </c>
      <c r="U340" s="113"/>
      <c r="V340" s="81">
        <f t="shared" si="14"/>
        <v>0</v>
      </c>
      <c r="W340" s="422"/>
      <c r="X340" s="423"/>
      <c r="Y340" s="424"/>
      <c r="Z340" s="422"/>
      <c r="AA340" s="423"/>
      <c r="AB340" s="424"/>
      <c r="AC340" s="81"/>
      <c r="AD340" s="93" t="str">
        <f t="shared" si="8"/>
        <v/>
      </c>
      <c r="AE340" s="94" t="e">
        <f t="shared" si="9"/>
        <v>#VALUE!</v>
      </c>
      <c r="AF340" s="134" t="s">
        <v>85</v>
      </c>
      <c r="AG340" s="135">
        <v>0.01</v>
      </c>
      <c r="AH340" s="136">
        <f t="shared" si="10"/>
        <v>1.9550000000000001E-3</v>
      </c>
      <c r="AI340" s="80"/>
      <c r="AJ340" s="154"/>
      <c r="AK340" s="100" t="str">
        <f t="shared" si="21"/>
        <v/>
      </c>
      <c r="AL340" s="138"/>
      <c r="AM340" s="113"/>
      <c r="AN340" s="103" t="str">
        <f t="shared" si="12"/>
        <v/>
      </c>
      <c r="AO340" s="139"/>
      <c r="AP340" s="140"/>
      <c r="AQ340" s="141" t="str">
        <f t="shared" si="15"/>
        <v/>
      </c>
      <c r="AR340" s="142"/>
      <c r="AS340" s="140"/>
      <c r="AT340" s="143" t="str">
        <f t="shared" si="16"/>
        <v/>
      </c>
      <c r="AU340" s="139"/>
      <c r="AV340" s="113"/>
      <c r="AW340" s="107" t="str">
        <f t="shared" si="17"/>
        <v/>
      </c>
      <c r="AX340" s="113"/>
      <c r="AY340" s="113"/>
      <c r="AZ340" s="144" t="str">
        <f t="shared" si="18"/>
        <v/>
      </c>
      <c r="BA340" s="80"/>
      <c r="BB340" s="140"/>
      <c r="BC340" s="145" t="str">
        <f t="shared" si="19"/>
        <v/>
      </c>
      <c r="BD340" s="113"/>
      <c r="BE340" s="114"/>
      <c r="BF340" s="146" t="str">
        <f t="shared" si="20"/>
        <v/>
      </c>
      <c r="BG340" s="147" t="s">
        <v>84</v>
      </c>
      <c r="BH340" s="148"/>
      <c r="BI340" s="156"/>
      <c r="BJ340" s="150">
        <f>'Degrémont sortie'!BI340</f>
        <v>0</v>
      </c>
      <c r="BK340" s="151">
        <f>'Degrémont sortie'!BJ340</f>
        <v>0</v>
      </c>
    </row>
    <row r="341" spans="1:63" ht="14.25" outlineLevel="1">
      <c r="A341" s="121">
        <f t="shared" si="13"/>
        <v>43793</v>
      </c>
      <c r="B341" s="207"/>
      <c r="C341" s="208"/>
      <c r="D341" s="210"/>
      <c r="E341" s="211"/>
      <c r="F341" s="80"/>
      <c r="G341" s="127">
        <f t="shared" si="0"/>
        <v>0</v>
      </c>
      <c r="H341" s="128">
        <f t="shared" si="1"/>
        <v>0</v>
      </c>
      <c r="I341" s="129">
        <v>1</v>
      </c>
      <c r="J341" s="80"/>
      <c r="K341" s="79">
        <f t="shared" si="2"/>
        <v>0</v>
      </c>
      <c r="L341" s="128">
        <f t="shared" si="3"/>
        <v>0</v>
      </c>
      <c r="M341" s="130">
        <v>1</v>
      </c>
      <c r="N341" s="80"/>
      <c r="O341" s="80" t="str">
        <f t="shared" si="4"/>
        <v/>
      </c>
      <c r="P341" s="81">
        <f t="shared" si="5"/>
        <v>0</v>
      </c>
      <c r="Q341" s="213"/>
      <c r="R341" s="113"/>
      <c r="S341" s="127" t="str">
        <f t="shared" si="6"/>
        <v/>
      </c>
      <c r="T341" s="128">
        <f t="shared" si="7"/>
        <v>0</v>
      </c>
      <c r="U341" s="113"/>
      <c r="V341" s="81">
        <f t="shared" si="14"/>
        <v>0</v>
      </c>
      <c r="W341" s="422"/>
      <c r="X341" s="423"/>
      <c r="Y341" s="424"/>
      <c r="Z341" s="422"/>
      <c r="AA341" s="423"/>
      <c r="AB341" s="424"/>
      <c r="AC341" s="81"/>
      <c r="AD341" s="93" t="str">
        <f t="shared" si="8"/>
        <v/>
      </c>
      <c r="AE341" s="94" t="str">
        <f t="shared" si="9"/>
        <v/>
      </c>
      <c r="AF341" s="139"/>
      <c r="AG341" s="215"/>
      <c r="AH341" s="136" t="str">
        <f t="shared" si="10"/>
        <v/>
      </c>
      <c r="AI341" s="80"/>
      <c r="AJ341" s="154"/>
      <c r="AK341" s="100" t="str">
        <f t="shared" si="21"/>
        <v/>
      </c>
      <c r="AL341" s="138"/>
      <c r="AM341" s="113"/>
      <c r="AN341" s="103" t="str">
        <f t="shared" si="12"/>
        <v/>
      </c>
      <c r="AO341" s="139"/>
      <c r="AP341" s="140"/>
      <c r="AQ341" s="141" t="str">
        <f t="shared" si="15"/>
        <v/>
      </c>
      <c r="AR341" s="142"/>
      <c r="AS341" s="140"/>
      <c r="AT341" s="143" t="str">
        <f t="shared" si="16"/>
        <v/>
      </c>
      <c r="AU341" s="139"/>
      <c r="AV341" s="113"/>
      <c r="AW341" s="107" t="str">
        <f t="shared" si="17"/>
        <v/>
      </c>
      <c r="AX341" s="113"/>
      <c r="AY341" s="113"/>
      <c r="AZ341" s="144" t="str">
        <f t="shared" si="18"/>
        <v/>
      </c>
      <c r="BA341" s="80"/>
      <c r="BB341" s="140"/>
      <c r="BC341" s="145" t="str">
        <f t="shared" si="19"/>
        <v/>
      </c>
      <c r="BD341" s="113"/>
      <c r="BE341" s="114"/>
      <c r="BF341" s="146" t="str">
        <f t="shared" si="20"/>
        <v/>
      </c>
      <c r="BG341" s="147" t="s">
        <v>84</v>
      </c>
      <c r="BH341" s="148"/>
      <c r="BI341" s="156"/>
      <c r="BJ341" s="150">
        <f>'Degrémont sortie'!BI341</f>
        <v>0</v>
      </c>
      <c r="BK341" s="151">
        <f>'Degrémont sortie'!BJ341</f>
        <v>0</v>
      </c>
    </row>
    <row r="342" spans="1:63" ht="14.25" outlineLevel="1">
      <c r="A342" s="152">
        <f t="shared" si="13"/>
        <v>43794</v>
      </c>
      <c r="B342" s="122">
        <v>758</v>
      </c>
      <c r="C342" s="123">
        <v>7.84</v>
      </c>
      <c r="D342" s="124">
        <v>87.4</v>
      </c>
      <c r="E342" s="125">
        <v>400.1</v>
      </c>
      <c r="F342" s="126">
        <v>30</v>
      </c>
      <c r="G342" s="127">
        <f t="shared" si="0"/>
        <v>10423.333333333336</v>
      </c>
      <c r="H342" s="128">
        <f t="shared" si="1"/>
        <v>7900.886666666669</v>
      </c>
      <c r="I342" s="129">
        <v>1</v>
      </c>
      <c r="J342" s="126">
        <v>8566</v>
      </c>
      <c r="K342" s="79">
        <f t="shared" si="2"/>
        <v>8566</v>
      </c>
      <c r="L342" s="128">
        <f t="shared" si="3"/>
        <v>6493.0280000000002</v>
      </c>
      <c r="M342" s="130">
        <v>1</v>
      </c>
      <c r="N342" s="126">
        <v>677</v>
      </c>
      <c r="O342" s="80">
        <f t="shared" si="4"/>
        <v>677</v>
      </c>
      <c r="P342" s="81">
        <f t="shared" si="5"/>
        <v>513.16600000000005</v>
      </c>
      <c r="Q342" s="129">
        <v>20</v>
      </c>
      <c r="R342" s="131">
        <v>23.8</v>
      </c>
      <c r="S342" s="127">
        <f t="shared" si="6"/>
        <v>476</v>
      </c>
      <c r="T342" s="128">
        <f t="shared" si="7"/>
        <v>360.80799999999999</v>
      </c>
      <c r="U342" s="113"/>
      <c r="V342" s="81">
        <f t="shared" si="14"/>
        <v>0</v>
      </c>
      <c r="W342" s="422"/>
      <c r="X342" s="423"/>
      <c r="Y342" s="424"/>
      <c r="Z342" s="422"/>
      <c r="AA342" s="423"/>
      <c r="AB342" s="424"/>
      <c r="AC342" s="81"/>
      <c r="AD342" s="93" t="str">
        <f t="shared" si="8"/>
        <v/>
      </c>
      <c r="AE342" s="94" t="e">
        <f t="shared" si="9"/>
        <v>#VALUE!</v>
      </c>
      <c r="AF342" s="134" t="s">
        <v>85</v>
      </c>
      <c r="AG342" s="135">
        <v>0.02</v>
      </c>
      <c r="AH342" s="136">
        <f t="shared" si="10"/>
        <v>7.5799999999999999E-3</v>
      </c>
      <c r="AI342" s="80"/>
      <c r="AJ342" s="154"/>
      <c r="AK342" s="100" t="str">
        <f t="shared" si="21"/>
        <v/>
      </c>
      <c r="AL342" s="138"/>
      <c r="AM342" s="113"/>
      <c r="AN342" s="103" t="str">
        <f t="shared" si="12"/>
        <v/>
      </c>
      <c r="AO342" s="139"/>
      <c r="AP342" s="140"/>
      <c r="AQ342" s="141" t="str">
        <f t="shared" si="15"/>
        <v/>
      </c>
      <c r="AR342" s="142"/>
      <c r="AS342" s="140"/>
      <c r="AT342" s="143" t="str">
        <f t="shared" si="16"/>
        <v/>
      </c>
      <c r="AU342" s="139"/>
      <c r="AV342" s="113"/>
      <c r="AW342" s="107" t="str">
        <f t="shared" si="17"/>
        <v/>
      </c>
      <c r="AX342" s="113"/>
      <c r="AY342" s="113"/>
      <c r="AZ342" s="144" t="str">
        <f t="shared" si="18"/>
        <v/>
      </c>
      <c r="BA342" s="80"/>
      <c r="BB342" s="140"/>
      <c r="BC342" s="145" t="str">
        <f t="shared" si="19"/>
        <v/>
      </c>
      <c r="BD342" s="113"/>
      <c r="BE342" s="114"/>
      <c r="BF342" s="146" t="str">
        <f t="shared" si="20"/>
        <v/>
      </c>
      <c r="BG342" s="147" t="s">
        <v>84</v>
      </c>
      <c r="BH342" s="148"/>
      <c r="BI342" s="156"/>
      <c r="BJ342" s="150">
        <f>'Degrémont sortie'!BI342</f>
        <v>0</v>
      </c>
      <c r="BK342" s="151">
        <f>'Degrémont sortie'!BJ342</f>
        <v>0</v>
      </c>
    </row>
    <row r="343" spans="1:63" ht="14.25" outlineLevel="1">
      <c r="A343" s="121">
        <f t="shared" si="13"/>
        <v>43795</v>
      </c>
      <c r="B343" s="122">
        <v>725</v>
      </c>
      <c r="C343" s="123">
        <v>7.94</v>
      </c>
      <c r="D343" s="124">
        <v>87.7</v>
      </c>
      <c r="E343" s="125">
        <v>293.60000000000002</v>
      </c>
      <c r="F343" s="126">
        <v>30</v>
      </c>
      <c r="G343" s="127">
        <f t="shared" si="0"/>
        <v>6863.3333333333339</v>
      </c>
      <c r="H343" s="128">
        <f t="shared" si="1"/>
        <v>4975.916666666667</v>
      </c>
      <c r="I343" s="129">
        <v>1</v>
      </c>
      <c r="J343" s="126">
        <v>5752</v>
      </c>
      <c r="K343" s="79">
        <f t="shared" si="2"/>
        <v>5752</v>
      </c>
      <c r="L343" s="128">
        <f t="shared" si="3"/>
        <v>4170.2</v>
      </c>
      <c r="M343" s="130">
        <v>1</v>
      </c>
      <c r="N343" s="126">
        <v>356</v>
      </c>
      <c r="O343" s="80">
        <f t="shared" si="4"/>
        <v>356</v>
      </c>
      <c r="P343" s="81">
        <f t="shared" si="5"/>
        <v>258.10000000000002</v>
      </c>
      <c r="Q343" s="129">
        <v>20</v>
      </c>
      <c r="R343" s="131">
        <v>18.899999999999999</v>
      </c>
      <c r="S343" s="127">
        <f t="shared" si="6"/>
        <v>378</v>
      </c>
      <c r="T343" s="128">
        <f t="shared" si="7"/>
        <v>274.05</v>
      </c>
      <c r="U343" s="131">
        <v>82</v>
      </c>
      <c r="V343" s="81">
        <f t="shared" si="14"/>
        <v>59.45</v>
      </c>
      <c r="W343" s="422"/>
      <c r="X343" s="423"/>
      <c r="Y343" s="424"/>
      <c r="Z343" s="422"/>
      <c r="AA343" s="423"/>
      <c r="AB343" s="424"/>
      <c r="AC343" s="81"/>
      <c r="AD343" s="93" t="str">
        <f t="shared" si="8"/>
        <v/>
      </c>
      <c r="AE343" s="94" t="e">
        <f t="shared" si="9"/>
        <v>#VALUE!</v>
      </c>
      <c r="AF343" s="134" t="s">
        <v>85</v>
      </c>
      <c r="AG343" s="135">
        <v>0.01</v>
      </c>
      <c r="AH343" s="136">
        <f t="shared" si="10"/>
        <v>3.6250000000000002E-3</v>
      </c>
      <c r="AI343" s="80"/>
      <c r="AJ343" s="137">
        <v>1.38</v>
      </c>
      <c r="AK343" s="100">
        <f t="shared" si="21"/>
        <v>6.1796399999999991</v>
      </c>
      <c r="AL343" s="138"/>
      <c r="AM343" s="131">
        <v>103</v>
      </c>
      <c r="AN343" s="103">
        <f t="shared" si="12"/>
        <v>605.74300000000005</v>
      </c>
      <c r="AO343" s="139"/>
      <c r="AP343" s="155">
        <v>424</v>
      </c>
      <c r="AQ343" s="141">
        <f t="shared" si="15"/>
        <v>2493.5439999999999</v>
      </c>
      <c r="AR343" s="142"/>
      <c r="AS343" s="155">
        <v>2.39</v>
      </c>
      <c r="AT343" s="143">
        <f t="shared" si="16"/>
        <v>14.05559</v>
      </c>
      <c r="AU343" s="139"/>
      <c r="AV343" s="131">
        <v>31.9</v>
      </c>
      <c r="AW343" s="107">
        <f t="shared" si="17"/>
        <v>187.60390000000001</v>
      </c>
      <c r="AX343" s="113"/>
      <c r="AY343" s="131">
        <v>544</v>
      </c>
      <c r="AZ343" s="144">
        <f t="shared" si="18"/>
        <v>3199.2640000000001</v>
      </c>
      <c r="BA343" s="80"/>
      <c r="BB343" s="155">
        <v>1.05</v>
      </c>
      <c r="BC343" s="145">
        <f t="shared" si="19"/>
        <v>6.1750500000000006</v>
      </c>
      <c r="BD343" s="113"/>
      <c r="BE343" s="158">
        <v>0.15</v>
      </c>
      <c r="BF343" s="146">
        <f t="shared" si="20"/>
        <v>0.88214999999999999</v>
      </c>
      <c r="BG343" s="147" t="s">
        <v>84</v>
      </c>
      <c r="BH343" s="148"/>
      <c r="BI343" s="156"/>
      <c r="BJ343" s="150">
        <f>'Degrémont sortie'!BI343</f>
        <v>0</v>
      </c>
      <c r="BK343" s="151">
        <f>'Degrémont sortie'!BJ343</f>
        <v>0</v>
      </c>
    </row>
    <row r="344" spans="1:63" ht="14.25" outlineLevel="1">
      <c r="A344" s="152">
        <f t="shared" si="13"/>
        <v>43796</v>
      </c>
      <c r="B344" s="122">
        <v>831</v>
      </c>
      <c r="C344" s="123">
        <v>8.0500000000000007</v>
      </c>
      <c r="D344" s="124">
        <v>86.3</v>
      </c>
      <c r="E344" s="125">
        <v>603.5</v>
      </c>
      <c r="F344" s="126">
        <v>30</v>
      </c>
      <c r="G344" s="127">
        <f t="shared" si="0"/>
        <v>17240.000000000004</v>
      </c>
      <c r="H344" s="128">
        <f t="shared" si="1"/>
        <v>14326.440000000004</v>
      </c>
      <c r="I344" s="129">
        <v>1</v>
      </c>
      <c r="J344" s="126">
        <v>15200</v>
      </c>
      <c r="K344" s="79">
        <f t="shared" si="2"/>
        <v>15200</v>
      </c>
      <c r="L344" s="128">
        <f t="shared" si="3"/>
        <v>12631.2</v>
      </c>
      <c r="M344" s="130">
        <v>1</v>
      </c>
      <c r="N344" s="126">
        <v>283</v>
      </c>
      <c r="O344" s="80">
        <f t="shared" si="4"/>
        <v>283</v>
      </c>
      <c r="P344" s="81">
        <f t="shared" si="5"/>
        <v>235.173</v>
      </c>
      <c r="Q344" s="129">
        <v>20</v>
      </c>
      <c r="R344" s="131">
        <v>30.8</v>
      </c>
      <c r="S344" s="127">
        <f t="shared" si="6"/>
        <v>616</v>
      </c>
      <c r="T344" s="128">
        <f t="shared" si="7"/>
        <v>511.89600000000002</v>
      </c>
      <c r="U344" s="113"/>
      <c r="V344" s="81">
        <f t="shared" si="14"/>
        <v>0</v>
      </c>
      <c r="W344" s="422"/>
      <c r="X344" s="423"/>
      <c r="Y344" s="424"/>
      <c r="Z344" s="422"/>
      <c r="AA344" s="423"/>
      <c r="AB344" s="424"/>
      <c r="AC344" s="81"/>
      <c r="AD344" s="93" t="str">
        <f t="shared" si="8"/>
        <v/>
      </c>
      <c r="AE344" s="94" t="e">
        <f t="shared" si="9"/>
        <v>#VALUE!</v>
      </c>
      <c r="AF344" s="134" t="s">
        <v>85</v>
      </c>
      <c r="AG344" s="135">
        <v>0.01</v>
      </c>
      <c r="AH344" s="136">
        <f t="shared" si="10"/>
        <v>4.1549999999999998E-3</v>
      </c>
      <c r="AI344" s="80"/>
      <c r="AJ344" s="154"/>
      <c r="AK344" s="100" t="str">
        <f t="shared" si="21"/>
        <v/>
      </c>
      <c r="AL344" s="138"/>
      <c r="AM344" s="113"/>
      <c r="AN344" s="103" t="str">
        <f t="shared" si="12"/>
        <v/>
      </c>
      <c r="AO344" s="139"/>
      <c r="AP344" s="140"/>
      <c r="AQ344" s="141" t="str">
        <f t="shared" si="15"/>
        <v/>
      </c>
      <c r="AR344" s="142"/>
      <c r="AS344" s="140"/>
      <c r="AT344" s="143" t="str">
        <f t="shared" si="16"/>
        <v/>
      </c>
      <c r="AU344" s="139"/>
      <c r="AV344" s="113"/>
      <c r="AW344" s="107" t="str">
        <f t="shared" si="17"/>
        <v/>
      </c>
      <c r="AX344" s="113"/>
      <c r="AY344" s="113"/>
      <c r="AZ344" s="144" t="str">
        <f t="shared" si="18"/>
        <v/>
      </c>
      <c r="BA344" s="80"/>
      <c r="BB344" s="140"/>
      <c r="BC344" s="145" t="str">
        <f t="shared" si="19"/>
        <v/>
      </c>
      <c r="BD344" s="113"/>
      <c r="BE344" s="114"/>
      <c r="BF344" s="146" t="str">
        <f t="shared" si="20"/>
        <v/>
      </c>
      <c r="BG344" s="147" t="s">
        <v>84</v>
      </c>
      <c r="BH344" s="148"/>
      <c r="BI344" s="156"/>
      <c r="BJ344" s="150">
        <f>'Degrémont sortie'!BI344</f>
        <v>0</v>
      </c>
      <c r="BK344" s="151">
        <f>'Degrémont sortie'!BJ344</f>
        <v>0</v>
      </c>
    </row>
    <row r="345" spans="1:63" ht="15.75" customHeight="1" outlineLevel="1">
      <c r="A345" s="121">
        <f t="shared" si="13"/>
        <v>43797</v>
      </c>
      <c r="B345" s="122">
        <v>772</v>
      </c>
      <c r="C345" s="123">
        <v>6.99</v>
      </c>
      <c r="D345" s="124">
        <v>85.9</v>
      </c>
      <c r="E345" s="125">
        <v>572</v>
      </c>
      <c r="F345" s="126">
        <v>31</v>
      </c>
      <c r="G345" s="127">
        <f t="shared" si="0"/>
        <v>15680.645161290322</v>
      </c>
      <c r="H345" s="128">
        <f t="shared" si="1"/>
        <v>12105.45806451613</v>
      </c>
      <c r="I345" s="129">
        <v>1</v>
      </c>
      <c r="J345" s="126">
        <v>16900</v>
      </c>
      <c r="K345" s="79">
        <f t="shared" si="2"/>
        <v>16900</v>
      </c>
      <c r="L345" s="128">
        <f t="shared" si="3"/>
        <v>13046.8</v>
      </c>
      <c r="M345" s="130">
        <v>1</v>
      </c>
      <c r="N345" s="126">
        <v>238</v>
      </c>
      <c r="O345" s="80">
        <f t="shared" si="4"/>
        <v>238</v>
      </c>
      <c r="P345" s="81">
        <f t="shared" si="5"/>
        <v>183.73599999999999</v>
      </c>
      <c r="Q345" s="129">
        <v>20</v>
      </c>
      <c r="R345" s="131">
        <v>30.8</v>
      </c>
      <c r="S345" s="127">
        <f t="shared" si="6"/>
        <v>616</v>
      </c>
      <c r="T345" s="128">
        <f t="shared" si="7"/>
        <v>475.55200000000002</v>
      </c>
      <c r="U345" s="113"/>
      <c r="V345" s="81">
        <f t="shared" si="14"/>
        <v>0</v>
      </c>
      <c r="W345" s="422"/>
      <c r="X345" s="423"/>
      <c r="Y345" s="424"/>
      <c r="Z345" s="422"/>
      <c r="AA345" s="423"/>
      <c r="AB345" s="424"/>
      <c r="AC345" s="81"/>
      <c r="AD345" s="93" t="str">
        <f t="shared" si="8"/>
        <v/>
      </c>
      <c r="AE345" s="94" t="e">
        <f t="shared" si="9"/>
        <v>#VALUE!</v>
      </c>
      <c r="AF345" s="134" t="s">
        <v>85</v>
      </c>
      <c r="AG345" s="135">
        <v>4.0000000000000001E-3</v>
      </c>
      <c r="AH345" s="136">
        <f t="shared" si="10"/>
        <v>1.544E-3</v>
      </c>
      <c r="AI345" s="80"/>
      <c r="AJ345" s="154"/>
      <c r="AK345" s="100" t="str">
        <f t="shared" si="21"/>
        <v/>
      </c>
      <c r="AL345" s="138"/>
      <c r="AM345" s="113"/>
      <c r="AN345" s="103" t="str">
        <f t="shared" si="12"/>
        <v/>
      </c>
      <c r="AO345" s="139"/>
      <c r="AP345" s="140"/>
      <c r="AQ345" s="141" t="str">
        <f t="shared" si="15"/>
        <v/>
      </c>
      <c r="AR345" s="142"/>
      <c r="AS345" s="140"/>
      <c r="AT345" s="143" t="str">
        <f t="shared" si="16"/>
        <v/>
      </c>
      <c r="AU345" s="139"/>
      <c r="AV345" s="113"/>
      <c r="AW345" s="107" t="str">
        <f t="shared" si="17"/>
        <v/>
      </c>
      <c r="AX345" s="113"/>
      <c r="AY345" s="113"/>
      <c r="AZ345" s="144" t="str">
        <f t="shared" si="18"/>
        <v/>
      </c>
      <c r="BA345" s="80"/>
      <c r="BB345" s="140"/>
      <c r="BC345" s="145" t="str">
        <f t="shared" si="19"/>
        <v/>
      </c>
      <c r="BD345" s="113"/>
      <c r="BE345" s="114"/>
      <c r="BF345" s="146" t="str">
        <f t="shared" si="20"/>
        <v/>
      </c>
      <c r="BG345" s="147" t="s">
        <v>84</v>
      </c>
      <c r="BH345" s="148"/>
      <c r="BI345" s="156"/>
      <c r="BJ345" s="150">
        <f>'Degrémont sortie'!BI345</f>
        <v>0</v>
      </c>
      <c r="BK345" s="151">
        <f>'Degrémont sortie'!BJ345</f>
        <v>0</v>
      </c>
    </row>
    <row r="346" spans="1:63" ht="15.75" customHeight="1" outlineLevel="1">
      <c r="A346" s="152">
        <f t="shared" si="13"/>
        <v>43798</v>
      </c>
      <c r="B346" s="122">
        <v>695</v>
      </c>
      <c r="C346" s="123">
        <v>7.88</v>
      </c>
      <c r="D346" s="124">
        <v>88.2</v>
      </c>
      <c r="E346" s="125">
        <v>261.7</v>
      </c>
      <c r="F346" s="126">
        <v>30</v>
      </c>
      <c r="G346" s="127">
        <f t="shared" si="0"/>
        <v>5783.333333333333</v>
      </c>
      <c r="H346" s="128">
        <f t="shared" si="1"/>
        <v>4019.4166666666665</v>
      </c>
      <c r="I346" s="129">
        <v>1</v>
      </c>
      <c r="J346" s="126">
        <v>6130</v>
      </c>
      <c r="K346" s="79">
        <f t="shared" si="2"/>
        <v>6130</v>
      </c>
      <c r="L346" s="128">
        <f t="shared" si="3"/>
        <v>4260.3500000000004</v>
      </c>
      <c r="M346" s="130">
        <v>1</v>
      </c>
      <c r="N346" s="126">
        <v>245</v>
      </c>
      <c r="O346" s="80">
        <f t="shared" si="4"/>
        <v>245</v>
      </c>
      <c r="P346" s="81">
        <f t="shared" si="5"/>
        <v>170.27500000000001</v>
      </c>
      <c r="Q346" s="129">
        <v>20</v>
      </c>
      <c r="R346" s="131">
        <v>20.9</v>
      </c>
      <c r="S346" s="127">
        <f t="shared" si="6"/>
        <v>418</v>
      </c>
      <c r="T346" s="128">
        <f t="shared" si="7"/>
        <v>290.51</v>
      </c>
      <c r="U346" s="113"/>
      <c r="V346" s="81">
        <f t="shared" si="14"/>
        <v>0</v>
      </c>
      <c r="W346" s="422"/>
      <c r="X346" s="423"/>
      <c r="Y346" s="424"/>
      <c r="Z346" s="422"/>
      <c r="AA346" s="423"/>
      <c r="AB346" s="424"/>
      <c r="AC346" s="81"/>
      <c r="AD346" s="93" t="str">
        <f t="shared" si="8"/>
        <v/>
      </c>
      <c r="AE346" s="94" t="e">
        <f t="shared" si="9"/>
        <v>#VALUE!</v>
      </c>
      <c r="AF346" s="134" t="s">
        <v>85</v>
      </c>
      <c r="AG346" s="135">
        <v>0.02</v>
      </c>
      <c r="AH346" s="136">
        <f t="shared" si="10"/>
        <v>6.9500000000000004E-3</v>
      </c>
      <c r="AI346" s="80"/>
      <c r="AJ346" s="154"/>
      <c r="AK346" s="100" t="str">
        <f t="shared" si="21"/>
        <v/>
      </c>
      <c r="AL346" s="138"/>
      <c r="AM346" s="113"/>
      <c r="AN346" s="103" t="str">
        <f t="shared" si="12"/>
        <v/>
      </c>
      <c r="AO346" s="139"/>
      <c r="AP346" s="140"/>
      <c r="AQ346" s="141" t="str">
        <f t="shared" si="15"/>
        <v/>
      </c>
      <c r="AR346" s="142"/>
      <c r="AS346" s="140"/>
      <c r="AT346" s="143" t="str">
        <f t="shared" si="16"/>
        <v/>
      </c>
      <c r="AU346" s="139"/>
      <c r="AV346" s="113"/>
      <c r="AW346" s="107" t="str">
        <f t="shared" si="17"/>
        <v/>
      </c>
      <c r="AX346" s="113"/>
      <c r="AY346" s="113"/>
      <c r="AZ346" s="144" t="str">
        <f t="shared" si="18"/>
        <v/>
      </c>
      <c r="BA346" s="80"/>
      <c r="BB346" s="140"/>
      <c r="BC346" s="145" t="str">
        <f t="shared" si="19"/>
        <v/>
      </c>
      <c r="BD346" s="113"/>
      <c r="BE346" s="114"/>
      <c r="BF346" s="146" t="str">
        <f t="shared" si="20"/>
        <v/>
      </c>
      <c r="BG346" s="147" t="s">
        <v>84</v>
      </c>
      <c r="BH346" s="148"/>
      <c r="BI346" s="156"/>
      <c r="BJ346" s="150">
        <f>'Degrémont sortie'!BI346</f>
        <v>0</v>
      </c>
      <c r="BK346" s="151">
        <f>'Degrémont sortie'!BJ346</f>
        <v>0</v>
      </c>
    </row>
    <row r="347" spans="1:63" ht="15.75" customHeight="1" outlineLevel="1">
      <c r="A347" s="121">
        <f t="shared" si="13"/>
        <v>43799</v>
      </c>
      <c r="B347" s="122">
        <v>624</v>
      </c>
      <c r="C347" s="123">
        <v>7.9</v>
      </c>
      <c r="D347" s="124">
        <v>88.1</v>
      </c>
      <c r="E347" s="125">
        <v>760.8</v>
      </c>
      <c r="F347" s="126">
        <v>30</v>
      </c>
      <c r="G347" s="127">
        <f t="shared" si="0"/>
        <v>22423.333333333328</v>
      </c>
      <c r="H347" s="128">
        <f t="shared" si="1"/>
        <v>13992.159999999996</v>
      </c>
      <c r="I347" s="129">
        <v>1</v>
      </c>
      <c r="J347" s="126">
        <v>21700</v>
      </c>
      <c r="K347" s="79">
        <f t="shared" si="2"/>
        <v>21700</v>
      </c>
      <c r="L347" s="128">
        <f t="shared" si="3"/>
        <v>13540.8</v>
      </c>
      <c r="M347" s="130">
        <v>1</v>
      </c>
      <c r="N347" s="126">
        <v>609</v>
      </c>
      <c r="O347" s="80">
        <f t="shared" si="4"/>
        <v>609</v>
      </c>
      <c r="P347" s="81">
        <f t="shared" si="5"/>
        <v>380.01600000000002</v>
      </c>
      <c r="Q347" s="129">
        <v>20</v>
      </c>
      <c r="R347" s="131">
        <v>35.5</v>
      </c>
      <c r="S347" s="127">
        <f t="shared" si="6"/>
        <v>710</v>
      </c>
      <c r="T347" s="128">
        <f t="shared" si="7"/>
        <v>443.04</v>
      </c>
      <c r="U347" s="113"/>
      <c r="V347" s="81">
        <f t="shared" si="14"/>
        <v>0</v>
      </c>
      <c r="W347" s="422"/>
      <c r="X347" s="423"/>
      <c r="Y347" s="424"/>
      <c r="Z347" s="422"/>
      <c r="AA347" s="423"/>
      <c r="AB347" s="424"/>
      <c r="AC347" s="81"/>
      <c r="AD347" s="93" t="str">
        <f t="shared" si="8"/>
        <v/>
      </c>
      <c r="AE347" s="94" t="e">
        <f t="shared" si="9"/>
        <v>#VALUE!</v>
      </c>
      <c r="AF347" s="134" t="s">
        <v>85</v>
      </c>
      <c r="AG347" s="135">
        <v>0.05</v>
      </c>
      <c r="AH347" s="136">
        <f t="shared" si="10"/>
        <v>1.5600000000000001E-2</v>
      </c>
      <c r="AI347" s="80"/>
      <c r="AJ347" s="154"/>
      <c r="AK347" s="100" t="str">
        <f t="shared" si="21"/>
        <v/>
      </c>
      <c r="AL347" s="138"/>
      <c r="AM347" s="113"/>
      <c r="AN347" s="103" t="str">
        <f t="shared" si="12"/>
        <v/>
      </c>
      <c r="AO347" s="139"/>
      <c r="AP347" s="140"/>
      <c r="AQ347" s="141" t="str">
        <f t="shared" si="15"/>
        <v/>
      </c>
      <c r="AR347" s="142"/>
      <c r="AS347" s="140"/>
      <c r="AT347" s="143" t="str">
        <f t="shared" si="16"/>
        <v/>
      </c>
      <c r="AU347" s="139"/>
      <c r="AV347" s="113"/>
      <c r="AW347" s="107" t="str">
        <f t="shared" si="17"/>
        <v/>
      </c>
      <c r="AX347" s="113"/>
      <c r="AY347" s="113"/>
      <c r="AZ347" s="144" t="str">
        <f t="shared" si="18"/>
        <v/>
      </c>
      <c r="BA347" s="80"/>
      <c r="BB347" s="140"/>
      <c r="BC347" s="145" t="str">
        <f t="shared" si="19"/>
        <v/>
      </c>
      <c r="BD347" s="113"/>
      <c r="BE347" s="114"/>
      <c r="BF347" s="146" t="str">
        <f t="shared" si="20"/>
        <v/>
      </c>
      <c r="BG347" s="147" t="s">
        <v>84</v>
      </c>
      <c r="BH347" s="148"/>
      <c r="BI347" s="156"/>
      <c r="BJ347" s="150">
        <f>'Degrémont sortie'!BI347</f>
        <v>0</v>
      </c>
      <c r="BK347" s="151">
        <f>'Degrémont sortie'!BJ347</f>
        <v>0</v>
      </c>
    </row>
    <row r="348" spans="1:63" ht="15.75" customHeight="1" outlineLevel="1">
      <c r="A348" s="152">
        <f t="shared" si="13"/>
        <v>43800</v>
      </c>
      <c r="B348" s="207"/>
      <c r="C348" s="208"/>
      <c r="D348" s="210"/>
      <c r="E348" s="211"/>
      <c r="F348" s="80"/>
      <c r="G348" s="127">
        <f t="shared" si="0"/>
        <v>0</v>
      </c>
      <c r="H348" s="128">
        <f t="shared" si="1"/>
        <v>0</v>
      </c>
      <c r="I348" s="129">
        <v>1</v>
      </c>
      <c r="J348" s="80"/>
      <c r="K348" s="79">
        <f t="shared" si="2"/>
        <v>0</v>
      </c>
      <c r="L348" s="128">
        <f t="shared" si="3"/>
        <v>0</v>
      </c>
      <c r="M348" s="130">
        <v>1</v>
      </c>
      <c r="N348" s="80"/>
      <c r="O348" s="80" t="str">
        <f t="shared" si="4"/>
        <v/>
      </c>
      <c r="P348" s="81">
        <f t="shared" si="5"/>
        <v>0</v>
      </c>
      <c r="Q348" s="213"/>
      <c r="R348" s="113"/>
      <c r="S348" s="127" t="str">
        <f t="shared" si="6"/>
        <v/>
      </c>
      <c r="T348" s="128">
        <f t="shared" si="7"/>
        <v>0</v>
      </c>
      <c r="U348" s="113"/>
      <c r="V348" s="81">
        <f t="shared" si="14"/>
        <v>0</v>
      </c>
      <c r="W348" s="422"/>
      <c r="X348" s="423"/>
      <c r="Y348" s="424"/>
      <c r="Z348" s="422"/>
      <c r="AA348" s="423"/>
      <c r="AB348" s="424"/>
      <c r="AC348" s="81"/>
      <c r="AD348" s="93" t="str">
        <f t="shared" si="8"/>
        <v/>
      </c>
      <c r="AE348" s="94" t="str">
        <f t="shared" si="9"/>
        <v/>
      </c>
      <c r="AF348" s="139"/>
      <c r="AG348" s="215"/>
      <c r="AH348" s="136" t="str">
        <f t="shared" si="10"/>
        <v/>
      </c>
      <c r="AI348" s="80"/>
      <c r="AJ348" s="154"/>
      <c r="AK348" s="100" t="str">
        <f t="shared" si="21"/>
        <v/>
      </c>
      <c r="AL348" s="138"/>
      <c r="AM348" s="113"/>
      <c r="AN348" s="103" t="str">
        <f t="shared" si="12"/>
        <v/>
      </c>
      <c r="AO348" s="139"/>
      <c r="AP348" s="140"/>
      <c r="AQ348" s="141" t="str">
        <f t="shared" si="15"/>
        <v/>
      </c>
      <c r="AR348" s="142"/>
      <c r="AS348" s="140"/>
      <c r="AT348" s="143" t="str">
        <f t="shared" si="16"/>
        <v/>
      </c>
      <c r="AU348" s="139"/>
      <c r="AV348" s="113"/>
      <c r="AW348" s="107" t="str">
        <f t="shared" si="17"/>
        <v/>
      </c>
      <c r="AX348" s="113"/>
      <c r="AY348" s="113"/>
      <c r="AZ348" s="144" t="str">
        <f t="shared" si="18"/>
        <v/>
      </c>
      <c r="BA348" s="80"/>
      <c r="BB348" s="140"/>
      <c r="BC348" s="145" t="str">
        <f t="shared" si="19"/>
        <v/>
      </c>
      <c r="BD348" s="113"/>
      <c r="BE348" s="114"/>
      <c r="BF348" s="146" t="str">
        <f t="shared" si="20"/>
        <v/>
      </c>
      <c r="BG348" s="147"/>
      <c r="BH348" s="148"/>
      <c r="BI348" s="156"/>
      <c r="BJ348" s="150">
        <f>'Degrémont sortie'!BI348</f>
        <v>0</v>
      </c>
      <c r="BK348" s="151">
        <f>'Degrémont sortie'!BJ348</f>
        <v>0</v>
      </c>
    </row>
    <row r="349" spans="1:63" ht="15.75" customHeight="1" outlineLevel="1">
      <c r="A349" s="121">
        <f t="shared" si="13"/>
        <v>43801</v>
      </c>
      <c r="B349" s="122">
        <v>879</v>
      </c>
      <c r="C349" s="123">
        <v>7.56</v>
      </c>
      <c r="D349" s="124">
        <v>88.6</v>
      </c>
      <c r="E349" s="125">
        <v>316.2</v>
      </c>
      <c r="F349" s="126">
        <v>30</v>
      </c>
      <c r="G349" s="127">
        <f t="shared" si="0"/>
        <v>7586.666666666667</v>
      </c>
      <c r="H349" s="128">
        <f t="shared" si="1"/>
        <v>6668.68</v>
      </c>
      <c r="I349" s="129">
        <v>1</v>
      </c>
      <c r="J349" s="126">
        <v>6443</v>
      </c>
      <c r="K349" s="79">
        <f t="shared" si="2"/>
        <v>6443</v>
      </c>
      <c r="L349" s="128">
        <f t="shared" si="3"/>
        <v>5663.3969999999999</v>
      </c>
      <c r="M349" s="130">
        <v>1</v>
      </c>
      <c r="N349" s="126">
        <v>493</v>
      </c>
      <c r="O349" s="80">
        <f t="shared" si="4"/>
        <v>493</v>
      </c>
      <c r="P349" s="81">
        <f t="shared" si="5"/>
        <v>433.34699999999998</v>
      </c>
      <c r="Q349" s="129">
        <v>20</v>
      </c>
      <c r="R349" s="131">
        <v>21.1</v>
      </c>
      <c r="S349" s="127">
        <f t="shared" si="6"/>
        <v>422</v>
      </c>
      <c r="T349" s="128">
        <f t="shared" si="7"/>
        <v>370.93799999999999</v>
      </c>
      <c r="U349" s="131">
        <v>90</v>
      </c>
      <c r="V349" s="81">
        <f t="shared" si="14"/>
        <v>79.11</v>
      </c>
      <c r="W349" s="422"/>
      <c r="X349" s="423"/>
      <c r="Y349" s="424"/>
      <c r="Z349" s="422"/>
      <c r="AA349" s="423"/>
      <c r="AB349" s="424"/>
      <c r="AC349" s="81"/>
      <c r="AD349" s="93" t="str">
        <f t="shared" si="8"/>
        <v/>
      </c>
      <c r="AE349" s="94" t="e">
        <f t="shared" si="9"/>
        <v>#VALUE!</v>
      </c>
      <c r="AF349" s="134" t="s">
        <v>85</v>
      </c>
      <c r="AG349" s="135">
        <v>0.01</v>
      </c>
      <c r="AH349" s="136">
        <f t="shared" si="10"/>
        <v>4.3950000000000005E-3</v>
      </c>
      <c r="AI349" s="80"/>
      <c r="AJ349" s="154"/>
      <c r="AK349" s="100" t="str">
        <f t="shared" si="21"/>
        <v/>
      </c>
      <c r="AL349" s="138"/>
      <c r="AM349" s="113"/>
      <c r="AN349" s="103" t="str">
        <f t="shared" si="12"/>
        <v/>
      </c>
      <c r="AO349" s="139"/>
      <c r="AP349" s="140"/>
      <c r="AQ349" s="141" t="str">
        <f t="shared" si="15"/>
        <v/>
      </c>
      <c r="AR349" s="142"/>
      <c r="AS349" s="140"/>
      <c r="AT349" s="143" t="str">
        <f t="shared" si="16"/>
        <v/>
      </c>
      <c r="AU349" s="139"/>
      <c r="AV349" s="113"/>
      <c r="AW349" s="107" t="str">
        <f t="shared" si="17"/>
        <v/>
      </c>
      <c r="AX349" s="113"/>
      <c r="AY349" s="113"/>
      <c r="AZ349" s="144" t="str">
        <f t="shared" si="18"/>
        <v/>
      </c>
      <c r="BA349" s="80"/>
      <c r="BB349" s="140"/>
      <c r="BC349" s="145" t="str">
        <f t="shared" si="19"/>
        <v/>
      </c>
      <c r="BD349" s="113"/>
      <c r="BE349" s="114"/>
      <c r="BF349" s="146" t="str">
        <f t="shared" si="20"/>
        <v/>
      </c>
      <c r="BG349" s="147"/>
      <c r="BH349" s="148"/>
      <c r="BI349" s="156"/>
      <c r="BJ349" s="150">
        <f>'Degrémont sortie'!BI349</f>
        <v>0</v>
      </c>
      <c r="BK349" s="151">
        <f>'Degrémont sortie'!BJ349</f>
        <v>0</v>
      </c>
    </row>
    <row r="350" spans="1:63" ht="14.25" outlineLevel="1">
      <c r="A350" s="152">
        <f t="shared" si="13"/>
        <v>43802</v>
      </c>
      <c r="B350" s="122">
        <v>752</v>
      </c>
      <c r="C350" s="123">
        <v>8.02</v>
      </c>
      <c r="D350" s="124">
        <v>88.9</v>
      </c>
      <c r="E350" s="125">
        <v>486.7</v>
      </c>
      <c r="F350" s="126">
        <v>30</v>
      </c>
      <c r="G350" s="127">
        <f t="shared" si="0"/>
        <v>13259.999999999998</v>
      </c>
      <c r="H350" s="128">
        <f t="shared" si="1"/>
        <v>9971.5199999999986</v>
      </c>
      <c r="I350" s="129">
        <v>1</v>
      </c>
      <c r="J350" s="126">
        <v>9502</v>
      </c>
      <c r="K350" s="79">
        <f t="shared" si="2"/>
        <v>9502</v>
      </c>
      <c r="L350" s="128">
        <f t="shared" si="3"/>
        <v>7145.5039999999999</v>
      </c>
      <c r="M350" s="130">
        <v>1</v>
      </c>
      <c r="N350" s="126">
        <v>685</v>
      </c>
      <c r="O350" s="80">
        <f t="shared" si="4"/>
        <v>685</v>
      </c>
      <c r="P350" s="81">
        <f t="shared" si="5"/>
        <v>515.12</v>
      </c>
      <c r="Q350" s="129">
        <v>20</v>
      </c>
      <c r="R350" s="131">
        <v>27.9</v>
      </c>
      <c r="S350" s="127">
        <f t="shared" si="6"/>
        <v>558</v>
      </c>
      <c r="T350" s="128">
        <f t="shared" si="7"/>
        <v>419.61599999999999</v>
      </c>
      <c r="U350" s="131">
        <v>138</v>
      </c>
      <c r="V350" s="81">
        <f t="shared" si="14"/>
        <v>103.776</v>
      </c>
      <c r="W350" s="422"/>
      <c r="X350" s="423"/>
      <c r="Y350" s="424"/>
      <c r="Z350" s="422"/>
      <c r="AA350" s="423"/>
      <c r="AB350" s="424"/>
      <c r="AC350" s="81"/>
      <c r="AD350" s="93" t="str">
        <f t="shared" si="8"/>
        <v/>
      </c>
      <c r="AE350" s="94" t="e">
        <f t="shared" si="9"/>
        <v>#VALUE!</v>
      </c>
      <c r="AF350" s="134" t="s">
        <v>85</v>
      </c>
      <c r="AG350" s="135">
        <v>0.01</v>
      </c>
      <c r="AH350" s="136">
        <f t="shared" si="10"/>
        <v>3.7600000000000003E-3</v>
      </c>
      <c r="AI350" s="80"/>
      <c r="AJ350" s="137">
        <v>1.96</v>
      </c>
      <c r="AK350" s="100">
        <f t="shared" si="21"/>
        <v>8.9238800000000005</v>
      </c>
      <c r="AL350" s="138"/>
      <c r="AM350" s="131">
        <v>187</v>
      </c>
      <c r="AN350" s="103">
        <f t="shared" si="12"/>
        <v>1155.0989999999999</v>
      </c>
      <c r="AO350" s="139"/>
      <c r="AP350" s="155">
        <v>553</v>
      </c>
      <c r="AQ350" s="141">
        <f t="shared" si="15"/>
        <v>3415.8809999999999</v>
      </c>
      <c r="AR350" s="142"/>
      <c r="AS350" s="155">
        <v>2.73</v>
      </c>
      <c r="AT350" s="143">
        <f t="shared" si="16"/>
        <v>16.863209999999999</v>
      </c>
      <c r="AU350" s="139"/>
      <c r="AV350" s="131">
        <v>48.8</v>
      </c>
      <c r="AW350" s="107">
        <f t="shared" si="17"/>
        <v>301.43759999999997</v>
      </c>
      <c r="AX350" s="113"/>
      <c r="AY350" s="131">
        <v>823</v>
      </c>
      <c r="AZ350" s="144">
        <f t="shared" si="18"/>
        <v>5083.6709999999994</v>
      </c>
      <c r="BA350" s="80"/>
      <c r="BB350" s="155">
        <v>1.45</v>
      </c>
      <c r="BC350" s="145">
        <f t="shared" si="19"/>
        <v>8.9566499999999998</v>
      </c>
      <c r="BD350" s="113"/>
      <c r="BE350" s="158">
        <v>0.21</v>
      </c>
      <c r="BF350" s="146">
        <f t="shared" si="20"/>
        <v>1.2971699999999999</v>
      </c>
      <c r="BG350" s="147"/>
      <c r="BH350" s="148"/>
      <c r="BI350" s="156"/>
      <c r="BJ350" s="150">
        <f>'Degrémont sortie'!BI350</f>
        <v>0</v>
      </c>
      <c r="BK350" s="151">
        <f>'Degrémont sortie'!BJ350</f>
        <v>0</v>
      </c>
    </row>
    <row r="351" spans="1:63" ht="14.25" outlineLevel="1">
      <c r="A351" s="121">
        <f t="shared" si="13"/>
        <v>43803</v>
      </c>
      <c r="B351" s="122">
        <v>899</v>
      </c>
      <c r="C351" s="123">
        <v>7.96</v>
      </c>
      <c r="D351" s="124">
        <v>88.9</v>
      </c>
      <c r="E351" s="125">
        <v>568.70000000000005</v>
      </c>
      <c r="F351" s="126">
        <v>30</v>
      </c>
      <c r="G351" s="127">
        <f t="shared" si="0"/>
        <v>15993.333333333336</v>
      </c>
      <c r="H351" s="128">
        <f t="shared" si="1"/>
        <v>14378.00666666667</v>
      </c>
      <c r="I351" s="129">
        <v>1</v>
      </c>
      <c r="J351" s="126">
        <v>16900</v>
      </c>
      <c r="K351" s="79">
        <f t="shared" si="2"/>
        <v>16900</v>
      </c>
      <c r="L351" s="128">
        <f t="shared" si="3"/>
        <v>15193.1</v>
      </c>
      <c r="M351" s="130">
        <v>1</v>
      </c>
      <c r="N351" s="126">
        <v>460</v>
      </c>
      <c r="O351" s="80">
        <f t="shared" si="4"/>
        <v>460</v>
      </c>
      <c r="P351" s="81">
        <f t="shared" si="5"/>
        <v>413.54</v>
      </c>
      <c r="Q351" s="129">
        <v>20</v>
      </c>
      <c r="R351" s="131">
        <v>27</v>
      </c>
      <c r="S351" s="127">
        <f t="shared" si="6"/>
        <v>540</v>
      </c>
      <c r="T351" s="128">
        <f t="shared" si="7"/>
        <v>485.46</v>
      </c>
      <c r="U351" s="131">
        <v>162</v>
      </c>
      <c r="V351" s="81">
        <f t="shared" si="14"/>
        <v>145.63800000000001</v>
      </c>
      <c r="W351" s="422"/>
      <c r="X351" s="423"/>
      <c r="Y351" s="424"/>
      <c r="Z351" s="422"/>
      <c r="AA351" s="423"/>
      <c r="AB351" s="424"/>
      <c r="AC351" s="81"/>
      <c r="AD351" s="93" t="str">
        <f t="shared" si="8"/>
        <v/>
      </c>
      <c r="AE351" s="94" t="e">
        <f t="shared" si="9"/>
        <v>#VALUE!</v>
      </c>
      <c r="AF351" s="134" t="s">
        <v>85</v>
      </c>
      <c r="AG351" s="135">
        <v>0.01</v>
      </c>
      <c r="AH351" s="136">
        <f t="shared" si="10"/>
        <v>4.4949999999999999E-3</v>
      </c>
      <c r="AI351" s="80"/>
      <c r="AJ351" s="154"/>
      <c r="AK351" s="100" t="str">
        <f t="shared" si="21"/>
        <v/>
      </c>
      <c r="AL351" s="138"/>
      <c r="AM351" s="113"/>
      <c r="AN351" s="103" t="str">
        <f t="shared" si="12"/>
        <v/>
      </c>
      <c r="AO351" s="139"/>
      <c r="AP351" s="140"/>
      <c r="AQ351" s="141" t="str">
        <f t="shared" si="15"/>
        <v/>
      </c>
      <c r="AR351" s="142"/>
      <c r="AS351" s="140"/>
      <c r="AT351" s="143" t="str">
        <f t="shared" si="16"/>
        <v/>
      </c>
      <c r="AU351" s="139"/>
      <c r="AV351" s="113"/>
      <c r="AW351" s="107" t="str">
        <f t="shared" si="17"/>
        <v/>
      </c>
      <c r="AX351" s="113"/>
      <c r="AY351" s="113"/>
      <c r="AZ351" s="144" t="str">
        <f t="shared" si="18"/>
        <v/>
      </c>
      <c r="BA351" s="80"/>
      <c r="BB351" s="140"/>
      <c r="BC351" s="145" t="str">
        <f t="shared" si="19"/>
        <v/>
      </c>
      <c r="BD351" s="113"/>
      <c r="BE351" s="114"/>
      <c r="BF351" s="146" t="str">
        <f t="shared" si="20"/>
        <v/>
      </c>
      <c r="BG351" s="147"/>
      <c r="BH351" s="148"/>
      <c r="BI351" s="156"/>
      <c r="BJ351" s="150">
        <f>'Degrémont sortie'!BI351</f>
        <v>0</v>
      </c>
      <c r="BK351" s="151">
        <f>'Degrémont sortie'!BJ351</f>
        <v>0</v>
      </c>
    </row>
    <row r="352" spans="1:63" ht="14.25" outlineLevel="1">
      <c r="A352" s="152">
        <f t="shared" si="13"/>
        <v>43804</v>
      </c>
      <c r="B352" s="122">
        <v>599</v>
      </c>
      <c r="C352" s="123">
        <v>8.09</v>
      </c>
      <c r="D352" s="124">
        <v>88.7</v>
      </c>
      <c r="E352" s="125">
        <v>496.8</v>
      </c>
      <c r="F352" s="126">
        <v>30</v>
      </c>
      <c r="G352" s="127">
        <f t="shared" si="0"/>
        <v>13603.333333333334</v>
      </c>
      <c r="H352" s="128">
        <f t="shared" si="1"/>
        <v>8148.3966666666665</v>
      </c>
      <c r="I352" s="129">
        <v>1</v>
      </c>
      <c r="J352" s="126">
        <v>14500</v>
      </c>
      <c r="K352" s="79">
        <f t="shared" si="2"/>
        <v>14500</v>
      </c>
      <c r="L352" s="128">
        <f t="shared" si="3"/>
        <v>8685.5</v>
      </c>
      <c r="M352" s="130">
        <v>1</v>
      </c>
      <c r="N352" s="126">
        <v>264</v>
      </c>
      <c r="O352" s="80">
        <f t="shared" si="4"/>
        <v>264</v>
      </c>
      <c r="P352" s="81">
        <f t="shared" si="5"/>
        <v>158.136</v>
      </c>
      <c r="Q352" s="129">
        <v>20</v>
      </c>
      <c r="R352" s="131">
        <v>26.4</v>
      </c>
      <c r="S352" s="127">
        <f t="shared" si="6"/>
        <v>528</v>
      </c>
      <c r="T352" s="128">
        <f t="shared" si="7"/>
        <v>316.27199999999999</v>
      </c>
      <c r="U352" s="131">
        <v>122</v>
      </c>
      <c r="V352" s="81">
        <f t="shared" si="14"/>
        <v>73.078000000000003</v>
      </c>
      <c r="W352" s="422"/>
      <c r="X352" s="423"/>
      <c r="Y352" s="424"/>
      <c r="Z352" s="422"/>
      <c r="AA352" s="423"/>
      <c r="AB352" s="424"/>
      <c r="AC352" s="81"/>
      <c r="AD352" s="93" t="str">
        <f t="shared" si="8"/>
        <v/>
      </c>
      <c r="AE352" s="94" t="e">
        <f t="shared" si="9"/>
        <v>#VALUE!</v>
      </c>
      <c r="AF352" s="134" t="s">
        <v>85</v>
      </c>
      <c r="AG352" s="135">
        <v>0.01</v>
      </c>
      <c r="AH352" s="136">
        <f t="shared" si="10"/>
        <v>2.9950000000000003E-3</v>
      </c>
      <c r="AI352" s="80"/>
      <c r="AJ352" s="154"/>
      <c r="AK352" s="100" t="str">
        <f t="shared" si="21"/>
        <v/>
      </c>
      <c r="AL352" s="138"/>
      <c r="AM352" s="113"/>
      <c r="AN352" s="103" t="str">
        <f t="shared" si="12"/>
        <v/>
      </c>
      <c r="AO352" s="139"/>
      <c r="AP352" s="140"/>
      <c r="AQ352" s="141" t="str">
        <f t="shared" si="15"/>
        <v/>
      </c>
      <c r="AR352" s="142"/>
      <c r="AS352" s="140"/>
      <c r="AT352" s="143" t="str">
        <f t="shared" si="16"/>
        <v/>
      </c>
      <c r="AU352" s="139"/>
      <c r="AV352" s="113"/>
      <c r="AW352" s="107" t="str">
        <f t="shared" si="17"/>
        <v/>
      </c>
      <c r="AX352" s="113"/>
      <c r="AY352" s="113"/>
      <c r="AZ352" s="144" t="str">
        <f t="shared" si="18"/>
        <v/>
      </c>
      <c r="BA352" s="80"/>
      <c r="BB352" s="140"/>
      <c r="BC352" s="145" t="str">
        <f t="shared" si="19"/>
        <v/>
      </c>
      <c r="BD352" s="113"/>
      <c r="BE352" s="114"/>
      <c r="BF352" s="146" t="str">
        <f t="shared" si="20"/>
        <v/>
      </c>
      <c r="BG352" s="147"/>
      <c r="BH352" s="148"/>
      <c r="BI352" s="156"/>
      <c r="BJ352" s="150">
        <f>'Degrémont sortie'!BI352</f>
        <v>0</v>
      </c>
      <c r="BK352" s="151">
        <f>'Degrémont sortie'!BJ352</f>
        <v>0</v>
      </c>
    </row>
    <row r="353" spans="1:63" ht="14.25" outlineLevel="1">
      <c r="A353" s="121">
        <f t="shared" si="13"/>
        <v>43805</v>
      </c>
      <c r="B353" s="122">
        <v>952</v>
      </c>
      <c r="C353" s="123">
        <v>8.2799999999999994</v>
      </c>
      <c r="D353" s="124">
        <v>88.4</v>
      </c>
      <c r="E353" s="125">
        <v>565.70000000000005</v>
      </c>
      <c r="F353" s="126">
        <v>30</v>
      </c>
      <c r="G353" s="127">
        <f t="shared" si="0"/>
        <v>15910.000000000002</v>
      </c>
      <c r="H353" s="128">
        <f t="shared" si="1"/>
        <v>15146.320000000002</v>
      </c>
      <c r="I353" s="129">
        <v>1</v>
      </c>
      <c r="J353" s="126">
        <v>15200</v>
      </c>
      <c r="K353" s="79">
        <f t="shared" si="2"/>
        <v>15200</v>
      </c>
      <c r="L353" s="128">
        <f t="shared" si="3"/>
        <v>14470.4</v>
      </c>
      <c r="M353" s="130">
        <v>1</v>
      </c>
      <c r="N353" s="126">
        <v>362</v>
      </c>
      <c r="O353" s="80">
        <f t="shared" si="4"/>
        <v>362</v>
      </c>
      <c r="P353" s="81">
        <f t="shared" si="5"/>
        <v>344.62400000000002</v>
      </c>
      <c r="Q353" s="129">
        <v>20</v>
      </c>
      <c r="R353" s="131">
        <v>24.8</v>
      </c>
      <c r="S353" s="127">
        <f t="shared" si="6"/>
        <v>496</v>
      </c>
      <c r="T353" s="128">
        <f t="shared" si="7"/>
        <v>472.19200000000001</v>
      </c>
      <c r="U353" s="131">
        <v>131</v>
      </c>
      <c r="V353" s="81">
        <f t="shared" si="14"/>
        <v>124.712</v>
      </c>
      <c r="W353" s="434" t="s">
        <v>85</v>
      </c>
      <c r="X353" s="435">
        <v>0.02</v>
      </c>
      <c r="Y353" s="424"/>
      <c r="Z353" s="434" t="s">
        <v>85</v>
      </c>
      <c r="AA353" s="435">
        <v>0.22</v>
      </c>
      <c r="AB353" s="424"/>
      <c r="AC353" s="81"/>
      <c r="AD353" s="93">
        <f t="shared" si="8"/>
        <v>131.12</v>
      </c>
      <c r="AE353" s="94">
        <f t="shared" si="9"/>
        <v>124.82624</v>
      </c>
      <c r="AF353" s="134" t="s">
        <v>85</v>
      </c>
      <c r="AG353" s="135">
        <v>0.01</v>
      </c>
      <c r="AH353" s="136">
        <f t="shared" si="10"/>
        <v>4.7599999999999995E-3</v>
      </c>
      <c r="AI353" s="80"/>
      <c r="AJ353" s="154"/>
      <c r="AK353" s="100" t="str">
        <f t="shared" si="21"/>
        <v/>
      </c>
      <c r="AL353" s="138"/>
      <c r="AM353" s="113"/>
      <c r="AN353" s="103" t="str">
        <f t="shared" si="12"/>
        <v/>
      </c>
      <c r="AO353" s="139"/>
      <c r="AP353" s="140"/>
      <c r="AQ353" s="141" t="str">
        <f t="shared" si="15"/>
        <v/>
      </c>
      <c r="AR353" s="142"/>
      <c r="AS353" s="140"/>
      <c r="AT353" s="143" t="str">
        <f t="shared" si="16"/>
        <v/>
      </c>
      <c r="AU353" s="139"/>
      <c r="AV353" s="113"/>
      <c r="AW353" s="107" t="str">
        <f t="shared" si="17"/>
        <v/>
      </c>
      <c r="AX353" s="113"/>
      <c r="AY353" s="113"/>
      <c r="AZ353" s="144" t="str">
        <f t="shared" si="18"/>
        <v/>
      </c>
      <c r="BA353" s="80"/>
      <c r="BB353" s="140"/>
      <c r="BC353" s="145" t="str">
        <f t="shared" si="19"/>
        <v/>
      </c>
      <c r="BD353" s="113"/>
      <c r="BE353" s="114"/>
      <c r="BF353" s="146" t="str">
        <f t="shared" si="20"/>
        <v/>
      </c>
      <c r="BG353" s="436"/>
      <c r="BH353" s="148"/>
      <c r="BI353" s="156"/>
      <c r="BJ353" s="150">
        <f>'Degrémont sortie'!BI353</f>
        <v>0</v>
      </c>
      <c r="BK353" s="151">
        <f>'Degrémont sortie'!BJ353</f>
        <v>0</v>
      </c>
    </row>
    <row r="354" spans="1:63" ht="14.25" outlineLevel="1">
      <c r="A354" s="152">
        <f t="shared" si="13"/>
        <v>43806</v>
      </c>
      <c r="B354" s="207"/>
      <c r="C354" s="208"/>
      <c r="D354" s="210"/>
      <c r="E354" s="211"/>
      <c r="F354" s="80"/>
      <c r="G354" s="127">
        <f t="shared" si="0"/>
        <v>0</v>
      </c>
      <c r="H354" s="128">
        <f t="shared" si="1"/>
        <v>0</v>
      </c>
      <c r="I354" s="129">
        <v>1</v>
      </c>
      <c r="J354" s="80"/>
      <c r="K354" s="79">
        <f t="shared" si="2"/>
        <v>0</v>
      </c>
      <c r="L354" s="128">
        <f t="shared" si="3"/>
        <v>0</v>
      </c>
      <c r="M354" s="130">
        <v>1</v>
      </c>
      <c r="N354" s="80"/>
      <c r="O354" s="80" t="str">
        <f t="shared" si="4"/>
        <v/>
      </c>
      <c r="P354" s="81">
        <f t="shared" si="5"/>
        <v>0</v>
      </c>
      <c r="Q354" s="213"/>
      <c r="R354" s="113"/>
      <c r="S354" s="127" t="str">
        <f t="shared" si="6"/>
        <v/>
      </c>
      <c r="T354" s="128">
        <f t="shared" si="7"/>
        <v>0</v>
      </c>
      <c r="U354" s="113"/>
      <c r="V354" s="81">
        <f t="shared" si="14"/>
        <v>0</v>
      </c>
      <c r="W354" s="422"/>
      <c r="X354" s="423"/>
      <c r="Y354" s="424"/>
      <c r="Z354" s="422"/>
      <c r="AA354" s="423"/>
      <c r="AB354" s="424"/>
      <c r="AC354" s="81"/>
      <c r="AD354" s="93" t="str">
        <f t="shared" si="8"/>
        <v/>
      </c>
      <c r="AE354" s="94" t="str">
        <f t="shared" si="9"/>
        <v/>
      </c>
      <c r="AF354" s="139"/>
      <c r="AG354" s="215"/>
      <c r="AH354" s="136" t="str">
        <f t="shared" si="10"/>
        <v/>
      </c>
      <c r="AI354" s="80"/>
      <c r="AJ354" s="154"/>
      <c r="AK354" s="100" t="str">
        <f t="shared" si="21"/>
        <v/>
      </c>
      <c r="AL354" s="138"/>
      <c r="AM354" s="113"/>
      <c r="AN354" s="103" t="str">
        <f t="shared" si="12"/>
        <v/>
      </c>
      <c r="AO354" s="139"/>
      <c r="AP354" s="140"/>
      <c r="AQ354" s="141" t="str">
        <f t="shared" si="15"/>
        <v/>
      </c>
      <c r="AR354" s="142"/>
      <c r="AS354" s="140"/>
      <c r="AT354" s="143" t="str">
        <f t="shared" si="16"/>
        <v/>
      </c>
      <c r="AU354" s="139"/>
      <c r="AV354" s="113"/>
      <c r="AW354" s="107" t="str">
        <f t="shared" si="17"/>
        <v/>
      </c>
      <c r="AX354" s="113"/>
      <c r="AY354" s="113"/>
      <c r="AZ354" s="144" t="str">
        <f t="shared" si="18"/>
        <v/>
      </c>
      <c r="BA354" s="80"/>
      <c r="BB354" s="140"/>
      <c r="BC354" s="145" t="str">
        <f t="shared" si="19"/>
        <v/>
      </c>
      <c r="BD354" s="113"/>
      <c r="BE354" s="114"/>
      <c r="BF354" s="146" t="str">
        <f t="shared" si="20"/>
        <v/>
      </c>
      <c r="BG354" s="436"/>
      <c r="BH354" s="148"/>
      <c r="BI354" s="156"/>
      <c r="BJ354" s="150">
        <f>'Degrémont sortie'!BI354</f>
        <v>0</v>
      </c>
      <c r="BK354" s="151">
        <f>'Degrémont sortie'!BJ354</f>
        <v>0</v>
      </c>
    </row>
    <row r="355" spans="1:63" ht="14.25" outlineLevel="1">
      <c r="A355" s="121">
        <f t="shared" si="13"/>
        <v>43807</v>
      </c>
      <c r="B355" s="207"/>
      <c r="C355" s="208"/>
      <c r="D355" s="210"/>
      <c r="E355" s="211"/>
      <c r="F355" s="80"/>
      <c r="G355" s="127">
        <f t="shared" si="0"/>
        <v>0</v>
      </c>
      <c r="H355" s="128">
        <f t="shared" si="1"/>
        <v>0</v>
      </c>
      <c r="I355" s="129">
        <v>1</v>
      </c>
      <c r="J355" s="80"/>
      <c r="K355" s="79">
        <f t="shared" si="2"/>
        <v>0</v>
      </c>
      <c r="L355" s="128">
        <f t="shared" si="3"/>
        <v>0</v>
      </c>
      <c r="M355" s="130">
        <v>1</v>
      </c>
      <c r="N355" s="80"/>
      <c r="O355" s="80" t="str">
        <f t="shared" si="4"/>
        <v/>
      </c>
      <c r="P355" s="81">
        <f t="shared" si="5"/>
        <v>0</v>
      </c>
      <c r="Q355" s="213"/>
      <c r="R355" s="113"/>
      <c r="S355" s="127" t="str">
        <f t="shared" si="6"/>
        <v/>
      </c>
      <c r="T355" s="128">
        <f t="shared" si="7"/>
        <v>0</v>
      </c>
      <c r="U355" s="113"/>
      <c r="V355" s="81">
        <f t="shared" si="14"/>
        <v>0</v>
      </c>
      <c r="W355" s="422"/>
      <c r="X355" s="423"/>
      <c r="Y355" s="424"/>
      <c r="Z355" s="422"/>
      <c r="AA355" s="423"/>
      <c r="AB355" s="424"/>
      <c r="AC355" s="81"/>
      <c r="AD355" s="93" t="str">
        <f t="shared" si="8"/>
        <v/>
      </c>
      <c r="AE355" s="94" t="str">
        <f t="shared" si="9"/>
        <v/>
      </c>
      <c r="AF355" s="139"/>
      <c r="AG355" s="215"/>
      <c r="AH355" s="136" t="str">
        <f t="shared" si="10"/>
        <v/>
      </c>
      <c r="AI355" s="80"/>
      <c r="AJ355" s="154"/>
      <c r="AK355" s="100" t="str">
        <f t="shared" si="21"/>
        <v/>
      </c>
      <c r="AL355" s="138"/>
      <c r="AM355" s="113"/>
      <c r="AN355" s="103" t="str">
        <f t="shared" si="12"/>
        <v/>
      </c>
      <c r="AO355" s="139"/>
      <c r="AP355" s="140"/>
      <c r="AQ355" s="141" t="str">
        <f t="shared" si="15"/>
        <v/>
      </c>
      <c r="AR355" s="142"/>
      <c r="AS355" s="140"/>
      <c r="AT355" s="143" t="str">
        <f t="shared" si="16"/>
        <v/>
      </c>
      <c r="AU355" s="139"/>
      <c r="AV355" s="113"/>
      <c r="AW355" s="107" t="str">
        <f t="shared" si="17"/>
        <v/>
      </c>
      <c r="AX355" s="113"/>
      <c r="AY355" s="113"/>
      <c r="AZ355" s="144" t="str">
        <f t="shared" si="18"/>
        <v/>
      </c>
      <c r="BA355" s="80"/>
      <c r="BB355" s="140"/>
      <c r="BC355" s="145" t="str">
        <f t="shared" si="19"/>
        <v/>
      </c>
      <c r="BD355" s="113"/>
      <c r="BE355" s="114"/>
      <c r="BF355" s="146" t="str">
        <f t="shared" si="20"/>
        <v/>
      </c>
      <c r="BG355" s="436"/>
      <c r="BH355" s="148"/>
      <c r="BI355" s="156"/>
      <c r="BJ355" s="150">
        <f>'Degrémont sortie'!BI355</f>
        <v>0</v>
      </c>
      <c r="BK355" s="151">
        <f>'Degrémont sortie'!BJ355</f>
        <v>0</v>
      </c>
    </row>
    <row r="356" spans="1:63" ht="14.25" outlineLevel="1">
      <c r="A356" s="152">
        <f t="shared" si="13"/>
        <v>43808</v>
      </c>
      <c r="B356" s="122">
        <v>879</v>
      </c>
      <c r="C356" s="123">
        <v>7.99</v>
      </c>
      <c r="D356" s="124">
        <v>88</v>
      </c>
      <c r="E356" s="125">
        <v>302.7</v>
      </c>
      <c r="F356" s="126">
        <v>30</v>
      </c>
      <c r="G356" s="127">
        <f t="shared" si="0"/>
        <v>7156.666666666667</v>
      </c>
      <c r="H356" s="128">
        <f t="shared" si="1"/>
        <v>6290.71</v>
      </c>
      <c r="I356" s="129">
        <v>1</v>
      </c>
      <c r="J356" s="126">
        <v>7700</v>
      </c>
      <c r="K356" s="79">
        <f t="shared" si="2"/>
        <v>7700</v>
      </c>
      <c r="L356" s="128">
        <f t="shared" si="3"/>
        <v>6768.3</v>
      </c>
      <c r="M356" s="130">
        <v>1</v>
      </c>
      <c r="N356" s="126">
        <v>665</v>
      </c>
      <c r="O356" s="80">
        <f t="shared" si="4"/>
        <v>665</v>
      </c>
      <c r="P356" s="81">
        <f t="shared" si="5"/>
        <v>584.53499999999997</v>
      </c>
      <c r="Q356" s="129">
        <v>20</v>
      </c>
      <c r="R356" s="131">
        <v>21.8</v>
      </c>
      <c r="S356" s="127">
        <f t="shared" si="6"/>
        <v>436</v>
      </c>
      <c r="T356" s="128">
        <f t="shared" si="7"/>
        <v>383.24400000000003</v>
      </c>
      <c r="U356" s="131">
        <v>80</v>
      </c>
      <c r="V356" s="81">
        <f t="shared" si="14"/>
        <v>70.319999999999993</v>
      </c>
      <c r="W356" s="434" t="s">
        <v>85</v>
      </c>
      <c r="X356" s="435">
        <v>0.02</v>
      </c>
      <c r="Y356" s="424"/>
      <c r="Z356" s="434"/>
      <c r="AA356" s="435">
        <v>0.23</v>
      </c>
      <c r="AB356" s="424"/>
      <c r="AC356" s="81"/>
      <c r="AD356" s="93">
        <f t="shared" si="8"/>
        <v>80.239999999999995</v>
      </c>
      <c r="AE356" s="94">
        <f t="shared" si="9"/>
        <v>70.530959999999993</v>
      </c>
      <c r="AF356" s="134" t="s">
        <v>85</v>
      </c>
      <c r="AG356" s="135">
        <v>0.01</v>
      </c>
      <c r="AH356" s="136">
        <f t="shared" si="10"/>
        <v>4.3950000000000005E-3</v>
      </c>
      <c r="AI356" s="80"/>
      <c r="AJ356" s="154"/>
      <c r="AK356" s="100" t="str">
        <f t="shared" si="21"/>
        <v/>
      </c>
      <c r="AL356" s="138"/>
      <c r="AM356" s="113"/>
      <c r="AN356" s="103" t="str">
        <f t="shared" si="12"/>
        <v/>
      </c>
      <c r="AO356" s="139"/>
      <c r="AP356" s="140"/>
      <c r="AQ356" s="141" t="str">
        <f t="shared" si="15"/>
        <v/>
      </c>
      <c r="AR356" s="142"/>
      <c r="AS356" s="140"/>
      <c r="AT356" s="143" t="str">
        <f t="shared" si="16"/>
        <v/>
      </c>
      <c r="AU356" s="139"/>
      <c r="AV356" s="113"/>
      <c r="AW356" s="107" t="str">
        <f t="shared" si="17"/>
        <v/>
      </c>
      <c r="AX356" s="113"/>
      <c r="AY356" s="113"/>
      <c r="AZ356" s="144" t="str">
        <f t="shared" si="18"/>
        <v/>
      </c>
      <c r="BA356" s="80"/>
      <c r="BB356" s="140"/>
      <c r="BC356" s="145" t="str">
        <f t="shared" si="19"/>
        <v/>
      </c>
      <c r="BD356" s="113"/>
      <c r="BE356" s="114"/>
      <c r="BF356" s="146" t="str">
        <f t="shared" si="20"/>
        <v/>
      </c>
      <c r="BG356" s="436"/>
      <c r="BH356" s="148"/>
      <c r="BI356" s="156"/>
      <c r="BJ356" s="150">
        <f>'Degrémont sortie'!BI356</f>
        <v>0</v>
      </c>
      <c r="BK356" s="151">
        <f>'Degrémont sortie'!BJ356</f>
        <v>0</v>
      </c>
    </row>
    <row r="357" spans="1:63" ht="15.75" customHeight="1" outlineLevel="1">
      <c r="A357" s="121">
        <f t="shared" si="13"/>
        <v>43809</v>
      </c>
      <c r="B357" s="122">
        <v>776</v>
      </c>
      <c r="C357" s="123">
        <v>7.94</v>
      </c>
      <c r="D357" s="124">
        <v>88</v>
      </c>
      <c r="E357" s="125">
        <v>191.7</v>
      </c>
      <c r="F357" s="126">
        <v>30</v>
      </c>
      <c r="G357" s="127">
        <f t="shared" si="0"/>
        <v>3456.6666666666661</v>
      </c>
      <c r="H357" s="128">
        <f t="shared" si="1"/>
        <v>2682.373333333333</v>
      </c>
      <c r="I357" s="129">
        <v>1</v>
      </c>
      <c r="J357" s="126">
        <v>3559</v>
      </c>
      <c r="K357" s="79">
        <f t="shared" si="2"/>
        <v>3559</v>
      </c>
      <c r="L357" s="128">
        <f t="shared" si="3"/>
        <v>2761.7840000000001</v>
      </c>
      <c r="M357" s="130">
        <v>1</v>
      </c>
      <c r="N357" s="126">
        <v>266</v>
      </c>
      <c r="O357" s="80">
        <f t="shared" si="4"/>
        <v>266</v>
      </c>
      <c r="P357" s="81">
        <f t="shared" si="5"/>
        <v>206.416</v>
      </c>
      <c r="Q357" s="129">
        <v>20</v>
      </c>
      <c r="R357" s="131">
        <v>11.7</v>
      </c>
      <c r="S357" s="127">
        <f t="shared" si="6"/>
        <v>234</v>
      </c>
      <c r="T357" s="128">
        <f t="shared" si="7"/>
        <v>181.584</v>
      </c>
      <c r="U357" s="131">
        <v>50</v>
      </c>
      <c r="V357" s="81">
        <f t="shared" si="14"/>
        <v>38.799999999999997</v>
      </c>
      <c r="W357" s="434" t="s">
        <v>85</v>
      </c>
      <c r="X357" s="435">
        <v>0.02</v>
      </c>
      <c r="Y357" s="424"/>
      <c r="Z357" s="434" t="s">
        <v>85</v>
      </c>
      <c r="AA357" s="435">
        <v>0.22</v>
      </c>
      <c r="AB357" s="424"/>
      <c r="AC357" s="81"/>
      <c r="AD357" s="93">
        <f t="shared" si="8"/>
        <v>50.12</v>
      </c>
      <c r="AE357" s="94">
        <f t="shared" si="9"/>
        <v>38.893119999999996</v>
      </c>
      <c r="AF357" s="134" t="s">
        <v>85</v>
      </c>
      <c r="AG357" s="135">
        <v>0.02</v>
      </c>
      <c r="AH357" s="136">
        <f t="shared" si="10"/>
        <v>7.7599999999999995E-3</v>
      </c>
      <c r="AI357" s="126"/>
      <c r="AJ357" s="137">
        <v>1.29</v>
      </c>
      <c r="AK357" s="100">
        <f t="shared" si="21"/>
        <v>5.2954500000000007</v>
      </c>
      <c r="AL357" s="138"/>
      <c r="AM357" s="131">
        <v>147</v>
      </c>
      <c r="AN357" s="103">
        <f t="shared" si="12"/>
        <v>855.09900000000005</v>
      </c>
      <c r="AO357" s="139"/>
      <c r="AP357" s="155">
        <v>386</v>
      </c>
      <c r="AQ357" s="141">
        <f t="shared" si="15"/>
        <v>2245.3620000000001</v>
      </c>
      <c r="AR357" s="142"/>
      <c r="AS357" s="155">
        <v>2.39</v>
      </c>
      <c r="AT357" s="143">
        <f t="shared" si="16"/>
        <v>13.90263</v>
      </c>
      <c r="AU357" s="139"/>
      <c r="AV357" s="131">
        <v>36.6</v>
      </c>
      <c r="AW357" s="107">
        <f t="shared" si="17"/>
        <v>212.90220000000002</v>
      </c>
      <c r="AX357" s="113"/>
      <c r="AY357" s="131">
        <v>552</v>
      </c>
      <c r="AZ357" s="144">
        <f t="shared" si="18"/>
        <v>3210.9839999999999</v>
      </c>
      <c r="BA357" s="80"/>
      <c r="BB357" s="155">
        <v>1.02</v>
      </c>
      <c r="BC357" s="145">
        <f t="shared" si="19"/>
        <v>5.9333400000000003</v>
      </c>
      <c r="BD357" s="113"/>
      <c r="BE357" s="158">
        <v>0.24</v>
      </c>
      <c r="BF357" s="146">
        <f t="shared" si="20"/>
        <v>1.39608</v>
      </c>
      <c r="BG357" s="436"/>
      <c r="BH357" s="148"/>
      <c r="BI357" s="156"/>
      <c r="BJ357" s="150" t="str">
        <f>'Degrémont sortie'!BI357</f>
        <v>Al = 0,29 mg/ et Fer = 0,065 mg/l</v>
      </c>
      <c r="BK357" s="151">
        <f>'Degrémont sortie'!BJ357</f>
        <v>0</v>
      </c>
    </row>
    <row r="358" spans="1:63" ht="15.75" customHeight="1" outlineLevel="1">
      <c r="A358" s="152">
        <f t="shared" si="13"/>
        <v>43810</v>
      </c>
      <c r="B358" s="122">
        <v>960</v>
      </c>
      <c r="C358" s="123">
        <v>8.09</v>
      </c>
      <c r="D358" s="124">
        <v>88.3</v>
      </c>
      <c r="E358" s="125">
        <v>131.6</v>
      </c>
      <c r="F358" s="126">
        <v>36</v>
      </c>
      <c r="G358" s="127">
        <f t="shared" si="0"/>
        <v>1202.7777777777778</v>
      </c>
      <c r="H358" s="128">
        <f t="shared" si="1"/>
        <v>1154.6666666666667</v>
      </c>
      <c r="I358" s="129">
        <v>1</v>
      </c>
      <c r="J358" s="126">
        <v>1311</v>
      </c>
      <c r="K358" s="79">
        <f t="shared" si="2"/>
        <v>1311</v>
      </c>
      <c r="L358" s="128">
        <f t="shared" si="3"/>
        <v>1258.56</v>
      </c>
      <c r="M358" s="130">
        <v>1</v>
      </c>
      <c r="N358" s="126">
        <v>178</v>
      </c>
      <c r="O358" s="80">
        <f t="shared" si="4"/>
        <v>178</v>
      </c>
      <c r="P358" s="81">
        <f t="shared" si="5"/>
        <v>170.88</v>
      </c>
      <c r="Q358" s="129">
        <v>20</v>
      </c>
      <c r="R358" s="131">
        <v>4.3</v>
      </c>
      <c r="S358" s="127">
        <f t="shared" si="6"/>
        <v>86</v>
      </c>
      <c r="T358" s="128">
        <f t="shared" si="7"/>
        <v>82.56</v>
      </c>
      <c r="U358" s="131">
        <v>20</v>
      </c>
      <c r="V358" s="81">
        <f t="shared" si="14"/>
        <v>19.2</v>
      </c>
      <c r="W358" s="434" t="s">
        <v>85</v>
      </c>
      <c r="X358" s="435">
        <v>0.02</v>
      </c>
      <c r="Y358" s="424"/>
      <c r="Z358" s="434" t="s">
        <v>85</v>
      </c>
      <c r="AA358" s="435">
        <v>0.22</v>
      </c>
      <c r="AB358" s="424"/>
      <c r="AC358" s="81"/>
      <c r="AD358" s="93">
        <f t="shared" si="8"/>
        <v>20.12</v>
      </c>
      <c r="AE358" s="94">
        <f t="shared" si="9"/>
        <v>19.315200000000001</v>
      </c>
      <c r="AF358" s="134" t="s">
        <v>85</v>
      </c>
      <c r="AG358" s="135">
        <v>0.01</v>
      </c>
      <c r="AH358" s="136">
        <f t="shared" si="10"/>
        <v>4.7999999999999996E-3</v>
      </c>
      <c r="AI358" s="80"/>
      <c r="AJ358" s="154"/>
      <c r="AK358" s="100" t="str">
        <f t="shared" si="21"/>
        <v/>
      </c>
      <c r="AL358" s="138"/>
      <c r="AM358" s="131"/>
      <c r="AN358" s="103" t="str">
        <f t="shared" si="12"/>
        <v/>
      </c>
      <c r="AO358" s="139"/>
      <c r="AP358" s="155"/>
      <c r="AQ358" s="141" t="str">
        <f t="shared" si="15"/>
        <v/>
      </c>
      <c r="AR358" s="142"/>
      <c r="AS358" s="155"/>
      <c r="AT358" s="143" t="str">
        <f t="shared" si="16"/>
        <v/>
      </c>
      <c r="AU358" s="139"/>
      <c r="AV358" s="131"/>
      <c r="AW358" s="107" t="str">
        <f t="shared" si="17"/>
        <v/>
      </c>
      <c r="AX358" s="113"/>
      <c r="AY358" s="131"/>
      <c r="AZ358" s="144" t="str">
        <f t="shared" si="18"/>
        <v/>
      </c>
      <c r="BA358" s="80"/>
      <c r="BB358" s="155"/>
      <c r="BC358" s="145" t="str">
        <f t="shared" si="19"/>
        <v/>
      </c>
      <c r="BD358" s="113"/>
      <c r="BE358" s="158"/>
      <c r="BF358" s="146" t="str">
        <f t="shared" si="20"/>
        <v/>
      </c>
      <c r="BG358" s="436"/>
      <c r="BH358" s="148"/>
      <c r="BI358" s="156"/>
      <c r="BJ358" s="150" t="str">
        <f>'Degrémont sortie'!BI358</f>
        <v>Al = 0,291 mg/ et Fer = 0,054 mg/l</v>
      </c>
      <c r="BK358" s="151">
        <f>'Degrémont sortie'!BJ358</f>
        <v>0</v>
      </c>
    </row>
    <row r="359" spans="1:63" ht="15.75" customHeight="1" outlineLevel="1">
      <c r="A359" s="121">
        <f t="shared" si="13"/>
        <v>43811</v>
      </c>
      <c r="B359" s="122">
        <v>849</v>
      </c>
      <c r="C359" s="123">
        <v>7.99</v>
      </c>
      <c r="D359" s="124">
        <v>88.1</v>
      </c>
      <c r="E359" s="125">
        <v>272.10000000000002</v>
      </c>
      <c r="F359" s="126">
        <v>40</v>
      </c>
      <c r="G359" s="127">
        <f t="shared" si="0"/>
        <v>4600.0000000000009</v>
      </c>
      <c r="H359" s="128">
        <f t="shared" si="1"/>
        <v>3905.400000000001</v>
      </c>
      <c r="I359" s="129">
        <v>1</v>
      </c>
      <c r="J359" s="126">
        <v>4926</v>
      </c>
      <c r="K359" s="79">
        <f t="shared" si="2"/>
        <v>4926</v>
      </c>
      <c r="L359" s="128">
        <f t="shared" si="3"/>
        <v>4182.174</v>
      </c>
      <c r="M359" s="130">
        <v>1</v>
      </c>
      <c r="N359" s="126">
        <v>773</v>
      </c>
      <c r="O359" s="80">
        <f t="shared" si="4"/>
        <v>773</v>
      </c>
      <c r="P359" s="81">
        <f t="shared" si="5"/>
        <v>656.27700000000004</v>
      </c>
      <c r="Q359" s="129">
        <v>10</v>
      </c>
      <c r="R359" s="131">
        <v>24.9</v>
      </c>
      <c r="S359" s="127">
        <f t="shared" si="6"/>
        <v>249</v>
      </c>
      <c r="T359" s="128">
        <f t="shared" si="7"/>
        <v>211.40100000000001</v>
      </c>
      <c r="U359" s="131">
        <v>62</v>
      </c>
      <c r="V359" s="81">
        <f t="shared" si="14"/>
        <v>52.637999999999998</v>
      </c>
      <c r="W359" s="434" t="s">
        <v>85</v>
      </c>
      <c r="X359" s="435">
        <v>0.02</v>
      </c>
      <c r="Y359" s="424"/>
      <c r="Z359" s="434" t="s">
        <v>85</v>
      </c>
      <c r="AA359" s="435">
        <v>0.22</v>
      </c>
      <c r="AB359" s="424"/>
      <c r="AC359" s="81"/>
      <c r="AD359" s="93">
        <f t="shared" si="8"/>
        <v>62.12</v>
      </c>
      <c r="AE359" s="94">
        <f t="shared" si="9"/>
        <v>52.739879999999999</v>
      </c>
      <c r="AF359" s="134" t="s">
        <v>85</v>
      </c>
      <c r="AG359" s="135">
        <v>0.01</v>
      </c>
      <c r="AH359" s="136">
        <f t="shared" si="10"/>
        <v>4.2450000000000005E-3</v>
      </c>
      <c r="AI359" s="80"/>
      <c r="AJ359" s="154"/>
      <c r="AK359" s="100" t="str">
        <f t="shared" si="21"/>
        <v/>
      </c>
      <c r="AL359" s="138"/>
      <c r="AM359" s="113"/>
      <c r="AN359" s="103" t="str">
        <f t="shared" si="12"/>
        <v/>
      </c>
      <c r="AO359" s="139"/>
      <c r="AP359" s="140"/>
      <c r="AQ359" s="141" t="str">
        <f t="shared" si="15"/>
        <v/>
      </c>
      <c r="AR359" s="142"/>
      <c r="AS359" s="140"/>
      <c r="AT359" s="143" t="str">
        <f t="shared" si="16"/>
        <v/>
      </c>
      <c r="AU359" s="139"/>
      <c r="AV359" s="113"/>
      <c r="AW359" s="107" t="str">
        <f t="shared" si="17"/>
        <v/>
      </c>
      <c r="AX359" s="113"/>
      <c r="AY359" s="113"/>
      <c r="AZ359" s="144" t="str">
        <f t="shared" si="18"/>
        <v/>
      </c>
      <c r="BA359" s="80"/>
      <c r="BB359" s="140"/>
      <c r="BC359" s="145" t="str">
        <f t="shared" si="19"/>
        <v/>
      </c>
      <c r="BD359" s="113"/>
      <c r="BE359" s="114"/>
      <c r="BF359" s="146" t="str">
        <f t="shared" si="20"/>
        <v/>
      </c>
      <c r="BG359" s="436"/>
      <c r="BH359" s="148"/>
      <c r="BI359" s="156"/>
      <c r="BJ359" s="150">
        <f>'Degrémont sortie'!BI359</f>
        <v>0</v>
      </c>
      <c r="BK359" s="151">
        <f>'Degrémont sortie'!BJ359</f>
        <v>0</v>
      </c>
    </row>
    <row r="360" spans="1:63" ht="15.75" customHeight="1" outlineLevel="1">
      <c r="A360" s="152">
        <f t="shared" si="13"/>
        <v>43812</v>
      </c>
      <c r="B360" s="122">
        <v>1666</v>
      </c>
      <c r="C360" s="123">
        <v>8.2899999999999991</v>
      </c>
      <c r="D360" s="124">
        <v>87.9</v>
      </c>
      <c r="E360" s="125">
        <v>363.7</v>
      </c>
      <c r="F360" s="126">
        <v>30</v>
      </c>
      <c r="G360" s="127">
        <f t="shared" si="0"/>
        <v>9193.3333333333321</v>
      </c>
      <c r="H360" s="128">
        <f t="shared" si="1"/>
        <v>15316.093333333332</v>
      </c>
      <c r="I360" s="129">
        <v>1</v>
      </c>
      <c r="J360" s="126">
        <v>7018</v>
      </c>
      <c r="K360" s="79">
        <f t="shared" si="2"/>
        <v>7018</v>
      </c>
      <c r="L360" s="128">
        <f t="shared" si="3"/>
        <v>11691.987999999999</v>
      </c>
      <c r="M360" s="130">
        <v>1</v>
      </c>
      <c r="N360" s="126">
        <v>720</v>
      </c>
      <c r="O360" s="80">
        <f t="shared" si="4"/>
        <v>720</v>
      </c>
      <c r="P360" s="81">
        <f t="shared" si="5"/>
        <v>1199.52</v>
      </c>
      <c r="Q360" s="129">
        <v>10</v>
      </c>
      <c r="R360" s="131">
        <v>32.299999999999997</v>
      </c>
      <c r="S360" s="127">
        <f t="shared" si="6"/>
        <v>323</v>
      </c>
      <c r="T360" s="128">
        <f t="shared" si="7"/>
        <v>538.11800000000005</v>
      </c>
      <c r="U360" s="131">
        <v>93</v>
      </c>
      <c r="V360" s="81">
        <f t="shared" si="14"/>
        <v>154.93799999999999</v>
      </c>
      <c r="W360" s="434" t="s">
        <v>85</v>
      </c>
      <c r="X360" s="435">
        <v>0.02</v>
      </c>
      <c r="Y360" s="424"/>
      <c r="Z360" s="434" t="s">
        <v>85</v>
      </c>
      <c r="AA360" s="435">
        <v>0.22</v>
      </c>
      <c r="AB360" s="424"/>
      <c r="AC360" s="81"/>
      <c r="AD360" s="93">
        <f t="shared" si="8"/>
        <v>93.12</v>
      </c>
      <c r="AE360" s="94">
        <f t="shared" si="9"/>
        <v>155.13792000000001</v>
      </c>
      <c r="AF360" s="134" t="s">
        <v>85</v>
      </c>
      <c r="AG360" s="135">
        <v>0.01</v>
      </c>
      <c r="AH360" s="136">
        <f t="shared" si="10"/>
        <v>8.3300000000000006E-3</v>
      </c>
      <c r="AI360" s="80"/>
      <c r="AJ360" s="154"/>
      <c r="AK360" s="100" t="str">
        <f t="shared" si="21"/>
        <v/>
      </c>
      <c r="AL360" s="138"/>
      <c r="AM360" s="113"/>
      <c r="AN360" s="103" t="str">
        <f t="shared" si="12"/>
        <v/>
      </c>
      <c r="AO360" s="139"/>
      <c r="AP360" s="140"/>
      <c r="AQ360" s="141" t="str">
        <f t="shared" si="15"/>
        <v/>
      </c>
      <c r="AR360" s="142"/>
      <c r="AS360" s="140"/>
      <c r="AT360" s="143" t="str">
        <f t="shared" si="16"/>
        <v/>
      </c>
      <c r="AU360" s="139"/>
      <c r="AV360" s="113"/>
      <c r="AW360" s="107" t="str">
        <f t="shared" si="17"/>
        <v/>
      </c>
      <c r="AX360" s="113"/>
      <c r="AY360" s="113"/>
      <c r="AZ360" s="144" t="str">
        <f t="shared" si="18"/>
        <v/>
      </c>
      <c r="BA360" s="80"/>
      <c r="BB360" s="140"/>
      <c r="BC360" s="145" t="str">
        <f t="shared" si="19"/>
        <v/>
      </c>
      <c r="BD360" s="113"/>
      <c r="BE360" s="114"/>
      <c r="BF360" s="146" t="str">
        <f t="shared" si="20"/>
        <v/>
      </c>
      <c r="BG360" s="436"/>
      <c r="BH360" s="148"/>
      <c r="BI360" s="156"/>
      <c r="BJ360" s="150">
        <f>'Degrémont sortie'!BI360</f>
        <v>0</v>
      </c>
      <c r="BK360" s="151">
        <f>'Degrémont sortie'!BJ360</f>
        <v>0</v>
      </c>
    </row>
    <row r="361" spans="1:63" ht="15.75" customHeight="1" outlineLevel="1">
      <c r="A361" s="121">
        <f t="shared" si="13"/>
        <v>43813</v>
      </c>
      <c r="B361" s="207"/>
      <c r="C361" s="208"/>
      <c r="D361" s="210"/>
      <c r="E361" s="211"/>
      <c r="F361" s="80"/>
      <c r="G361" s="127">
        <f t="shared" si="0"/>
        <v>0</v>
      </c>
      <c r="H361" s="128">
        <f t="shared" si="1"/>
        <v>0</v>
      </c>
      <c r="I361" s="129">
        <v>1</v>
      </c>
      <c r="J361" s="80"/>
      <c r="K361" s="79">
        <f t="shared" si="2"/>
        <v>0</v>
      </c>
      <c r="L361" s="128">
        <f t="shared" si="3"/>
        <v>0</v>
      </c>
      <c r="M361" s="130">
        <v>1</v>
      </c>
      <c r="N361" s="80"/>
      <c r="O361" s="80" t="str">
        <f t="shared" si="4"/>
        <v/>
      </c>
      <c r="P361" s="81">
        <f t="shared" si="5"/>
        <v>0</v>
      </c>
      <c r="Q361" s="213"/>
      <c r="R361" s="113"/>
      <c r="S361" s="127" t="str">
        <f t="shared" si="6"/>
        <v/>
      </c>
      <c r="T361" s="128">
        <f t="shared" si="7"/>
        <v>0</v>
      </c>
      <c r="U361" s="131"/>
      <c r="V361" s="81">
        <f t="shared" si="14"/>
        <v>0</v>
      </c>
      <c r="W361" s="422"/>
      <c r="X361" s="423"/>
      <c r="Y361" s="424"/>
      <c r="Z361" s="422"/>
      <c r="AA361" s="423"/>
      <c r="AB361" s="424"/>
      <c r="AC361" s="81"/>
      <c r="AD361" s="93" t="str">
        <f t="shared" si="8"/>
        <v/>
      </c>
      <c r="AE361" s="94" t="str">
        <f t="shared" si="9"/>
        <v/>
      </c>
      <c r="AF361" s="139"/>
      <c r="AG361" s="215"/>
      <c r="AH361" s="136" t="str">
        <f t="shared" si="10"/>
        <v/>
      </c>
      <c r="AI361" s="80"/>
      <c r="AJ361" s="154"/>
      <c r="AK361" s="100" t="str">
        <f t="shared" si="21"/>
        <v/>
      </c>
      <c r="AL361" s="138"/>
      <c r="AM361" s="113"/>
      <c r="AN361" s="103" t="str">
        <f t="shared" si="12"/>
        <v/>
      </c>
      <c r="AO361" s="139"/>
      <c r="AP361" s="140"/>
      <c r="AQ361" s="141" t="str">
        <f t="shared" si="15"/>
        <v/>
      </c>
      <c r="AR361" s="142"/>
      <c r="AS361" s="140"/>
      <c r="AT361" s="143" t="str">
        <f t="shared" si="16"/>
        <v/>
      </c>
      <c r="AU361" s="139"/>
      <c r="AV361" s="113"/>
      <c r="AW361" s="107" t="str">
        <f t="shared" si="17"/>
        <v/>
      </c>
      <c r="AX361" s="113"/>
      <c r="AY361" s="113"/>
      <c r="AZ361" s="144" t="str">
        <f t="shared" si="18"/>
        <v/>
      </c>
      <c r="BA361" s="80"/>
      <c r="BB361" s="140"/>
      <c r="BC361" s="145" t="str">
        <f t="shared" si="19"/>
        <v/>
      </c>
      <c r="BD361" s="113"/>
      <c r="BE361" s="114"/>
      <c r="BF361" s="146" t="str">
        <f t="shared" si="20"/>
        <v/>
      </c>
      <c r="BG361" s="436"/>
      <c r="BH361" s="148"/>
      <c r="BI361" s="156"/>
      <c r="BJ361" s="150">
        <f>'Degrémont sortie'!BI361</f>
        <v>0</v>
      </c>
      <c r="BK361" s="151">
        <f>'Degrémont sortie'!BJ361</f>
        <v>0</v>
      </c>
    </row>
    <row r="362" spans="1:63" ht="14.25" outlineLevel="1">
      <c r="A362" s="152">
        <f t="shared" si="13"/>
        <v>43814</v>
      </c>
      <c r="B362" s="373"/>
      <c r="C362" s="374"/>
      <c r="D362" s="375"/>
      <c r="E362" s="376"/>
      <c r="F362" s="198"/>
      <c r="G362" s="127">
        <f t="shared" si="0"/>
        <v>0</v>
      </c>
      <c r="H362" s="128">
        <f t="shared" si="1"/>
        <v>0</v>
      </c>
      <c r="I362" s="188">
        <v>1</v>
      </c>
      <c r="J362" s="198"/>
      <c r="K362" s="79">
        <f t="shared" si="2"/>
        <v>0</v>
      </c>
      <c r="L362" s="128">
        <f t="shared" si="3"/>
        <v>0</v>
      </c>
      <c r="M362" s="189">
        <v>1</v>
      </c>
      <c r="N362" s="198"/>
      <c r="O362" s="80" t="str">
        <f t="shared" si="4"/>
        <v/>
      </c>
      <c r="P362" s="81">
        <f t="shared" si="5"/>
        <v>0</v>
      </c>
      <c r="Q362" s="379"/>
      <c r="R362" s="191"/>
      <c r="S362" s="127" t="str">
        <f t="shared" si="6"/>
        <v/>
      </c>
      <c r="T362" s="128">
        <f t="shared" si="7"/>
        <v>0</v>
      </c>
      <c r="U362" s="191"/>
      <c r="V362" s="81">
        <f t="shared" si="14"/>
        <v>0</v>
      </c>
      <c r="W362" s="422"/>
      <c r="X362" s="423"/>
      <c r="Y362" s="424"/>
      <c r="Z362" s="422"/>
      <c r="AA362" s="423"/>
      <c r="AB362" s="424"/>
      <c r="AC362" s="81"/>
      <c r="AD362" s="93" t="str">
        <f t="shared" si="8"/>
        <v/>
      </c>
      <c r="AE362" s="94" t="str">
        <f t="shared" si="9"/>
        <v/>
      </c>
      <c r="AF362" s="195"/>
      <c r="AG362" s="382"/>
      <c r="AH362" s="136" t="str">
        <f t="shared" si="10"/>
        <v/>
      </c>
      <c r="AI362" s="80"/>
      <c r="AJ362" s="154"/>
      <c r="AK362" s="100" t="str">
        <f t="shared" si="21"/>
        <v/>
      </c>
      <c r="AL362" s="194"/>
      <c r="AM362" s="191"/>
      <c r="AN362" s="103" t="str">
        <f t="shared" si="12"/>
        <v/>
      </c>
      <c r="AO362" s="195"/>
      <c r="AP362" s="196"/>
      <c r="AQ362" s="141" t="str">
        <f t="shared" si="15"/>
        <v/>
      </c>
      <c r="AR362" s="197"/>
      <c r="AS362" s="196"/>
      <c r="AT362" s="143" t="str">
        <f t="shared" si="16"/>
        <v/>
      </c>
      <c r="AU362" s="195"/>
      <c r="AV362" s="191"/>
      <c r="AW362" s="107" t="str">
        <f t="shared" si="17"/>
        <v/>
      </c>
      <c r="AX362" s="191"/>
      <c r="AY362" s="191"/>
      <c r="AZ362" s="144" t="str">
        <f t="shared" si="18"/>
        <v/>
      </c>
      <c r="BA362" s="198"/>
      <c r="BB362" s="196"/>
      <c r="BC362" s="145" t="str">
        <f t="shared" si="19"/>
        <v/>
      </c>
      <c r="BD362" s="191"/>
      <c r="BE362" s="199"/>
      <c r="BF362" s="146" t="str">
        <f t="shared" si="20"/>
        <v/>
      </c>
      <c r="BG362" s="145"/>
      <c r="BH362" s="200"/>
      <c r="BI362" s="391"/>
      <c r="BJ362" s="150">
        <f>'Degrémont sortie'!BI362</f>
        <v>0</v>
      </c>
      <c r="BK362" s="151">
        <f>'Degrémont sortie'!BJ362</f>
        <v>0</v>
      </c>
    </row>
    <row r="363" spans="1:63" ht="14.25" outlineLevel="1">
      <c r="A363" s="121">
        <f t="shared" si="13"/>
        <v>43815</v>
      </c>
      <c r="B363" s="122">
        <v>113</v>
      </c>
      <c r="C363" s="208"/>
      <c r="D363" s="210"/>
      <c r="E363" s="211"/>
      <c r="F363" s="80"/>
      <c r="G363" s="127">
        <f t="shared" si="0"/>
        <v>0</v>
      </c>
      <c r="H363" s="128">
        <f t="shared" si="1"/>
        <v>0</v>
      </c>
      <c r="I363" s="129">
        <v>1</v>
      </c>
      <c r="J363" s="80"/>
      <c r="K363" s="79">
        <f t="shared" si="2"/>
        <v>0</v>
      </c>
      <c r="L363" s="128">
        <f t="shared" si="3"/>
        <v>0</v>
      </c>
      <c r="M363" s="130">
        <v>1</v>
      </c>
      <c r="N363" s="80"/>
      <c r="O363" s="80" t="str">
        <f t="shared" si="4"/>
        <v/>
      </c>
      <c r="P363" s="81" t="e">
        <f t="shared" si="5"/>
        <v>#VALUE!</v>
      </c>
      <c r="Q363" s="213"/>
      <c r="R363" s="113"/>
      <c r="S363" s="127" t="str">
        <f t="shared" si="6"/>
        <v/>
      </c>
      <c r="T363" s="128" t="e">
        <f t="shared" si="7"/>
        <v>#VALUE!</v>
      </c>
      <c r="U363" s="113"/>
      <c r="V363" s="81">
        <f t="shared" si="14"/>
        <v>0</v>
      </c>
      <c r="W363" s="422"/>
      <c r="X363" s="423"/>
      <c r="Y363" s="424"/>
      <c r="Z363" s="422"/>
      <c r="AA363" s="423"/>
      <c r="AB363" s="424"/>
      <c r="AC363" s="81"/>
      <c r="AD363" s="93" t="str">
        <f t="shared" si="8"/>
        <v/>
      </c>
      <c r="AE363" s="94" t="e">
        <f t="shared" si="9"/>
        <v>#VALUE!</v>
      </c>
      <c r="AF363" s="139"/>
      <c r="AG363" s="215"/>
      <c r="AH363" s="136">
        <f t="shared" si="10"/>
        <v>0</v>
      </c>
      <c r="AI363" s="80"/>
      <c r="AJ363" s="154"/>
      <c r="AK363" s="100" t="str">
        <f t="shared" si="21"/>
        <v/>
      </c>
      <c r="AL363" s="138"/>
      <c r="AM363" s="113"/>
      <c r="AN363" s="103" t="str">
        <f t="shared" si="12"/>
        <v/>
      </c>
      <c r="AO363" s="139"/>
      <c r="AP363" s="140"/>
      <c r="AQ363" s="141" t="str">
        <f t="shared" si="15"/>
        <v/>
      </c>
      <c r="AR363" s="142"/>
      <c r="AS363" s="140"/>
      <c r="AT363" s="143" t="str">
        <f t="shared" si="16"/>
        <v/>
      </c>
      <c r="AU363" s="139"/>
      <c r="AV363" s="113"/>
      <c r="AW363" s="107" t="str">
        <f t="shared" si="17"/>
        <v/>
      </c>
      <c r="AX363" s="113"/>
      <c r="AY363" s="113"/>
      <c r="AZ363" s="144" t="str">
        <f t="shared" si="18"/>
        <v/>
      </c>
      <c r="BA363" s="80"/>
      <c r="BB363" s="140"/>
      <c r="BC363" s="145" t="str">
        <f t="shared" si="19"/>
        <v/>
      </c>
      <c r="BD363" s="113"/>
      <c r="BE363" s="114"/>
      <c r="BF363" s="146" t="str">
        <f t="shared" si="20"/>
        <v/>
      </c>
      <c r="BG363" s="436"/>
      <c r="BH363" s="148"/>
      <c r="BI363" s="156"/>
      <c r="BJ363" s="150">
        <f>'Degrémont sortie'!BI363</f>
        <v>0</v>
      </c>
      <c r="BK363" s="151">
        <f>'Degrémont sortie'!BJ363</f>
        <v>0</v>
      </c>
    </row>
    <row r="364" spans="1:63" ht="38.25" outlineLevel="1">
      <c r="A364" s="152">
        <f t="shared" si="13"/>
        <v>43816</v>
      </c>
      <c r="B364" s="122">
        <v>148</v>
      </c>
      <c r="C364" s="123">
        <v>7.87</v>
      </c>
      <c r="D364" s="124">
        <v>95.1</v>
      </c>
      <c r="E364" s="125">
        <v>475.3</v>
      </c>
      <c r="F364" s="126">
        <v>30</v>
      </c>
      <c r="G364" s="127">
        <f t="shared" si="0"/>
        <v>12673.333333333336</v>
      </c>
      <c r="H364" s="128">
        <f t="shared" si="1"/>
        <v>1875.6533333333336</v>
      </c>
      <c r="I364" s="129">
        <v>1</v>
      </c>
      <c r="J364" s="126">
        <v>17400</v>
      </c>
      <c r="K364" s="79">
        <f t="shared" si="2"/>
        <v>17400</v>
      </c>
      <c r="L364" s="128">
        <f t="shared" si="3"/>
        <v>2575.1999999999998</v>
      </c>
      <c r="M364" s="130">
        <v>1</v>
      </c>
      <c r="N364" s="126">
        <v>3680</v>
      </c>
      <c r="O364" s="80">
        <f t="shared" si="4"/>
        <v>3680</v>
      </c>
      <c r="P364" s="81">
        <f t="shared" si="5"/>
        <v>544.64</v>
      </c>
      <c r="Q364" s="129">
        <v>10</v>
      </c>
      <c r="R364" s="131">
        <v>33.299999999999997</v>
      </c>
      <c r="S364" s="127">
        <f t="shared" si="6"/>
        <v>333</v>
      </c>
      <c r="T364" s="128">
        <f t="shared" si="7"/>
        <v>49.283999999999999</v>
      </c>
      <c r="U364" s="131">
        <v>172</v>
      </c>
      <c r="V364" s="81">
        <f t="shared" si="14"/>
        <v>25.456</v>
      </c>
      <c r="W364" s="434"/>
      <c r="X364" s="435">
        <v>0.52</v>
      </c>
      <c r="Y364" s="424"/>
      <c r="Z364" s="422"/>
      <c r="AA364" s="435">
        <v>13</v>
      </c>
      <c r="AB364" s="424"/>
      <c r="AC364" s="81"/>
      <c r="AD364" s="93">
        <f t="shared" si="8"/>
        <v>185.52</v>
      </c>
      <c r="AE364" s="94">
        <f t="shared" si="9"/>
        <v>27.456960000000002</v>
      </c>
      <c r="AF364" s="134" t="s">
        <v>85</v>
      </c>
      <c r="AG364" s="135">
        <v>0.01</v>
      </c>
      <c r="AH364" s="136">
        <f t="shared" si="10"/>
        <v>7.3999999999999999E-4</v>
      </c>
      <c r="AI364" s="126"/>
      <c r="AJ364" s="137">
        <v>0.32100000000000001</v>
      </c>
      <c r="AK364" s="100">
        <f t="shared" si="21"/>
        <v>1.1992560000000001</v>
      </c>
      <c r="AL364" s="138"/>
      <c r="AM364" s="131">
        <v>38.299999999999997</v>
      </c>
      <c r="AN364" s="103">
        <f t="shared" si="12"/>
        <v>175.2225</v>
      </c>
      <c r="AO364" s="139"/>
      <c r="AP364" s="155">
        <v>106</v>
      </c>
      <c r="AQ364" s="141">
        <f t="shared" si="15"/>
        <v>484.95000000000005</v>
      </c>
      <c r="AR364" s="142"/>
      <c r="AS364" s="155">
        <v>0.58699999999999997</v>
      </c>
      <c r="AT364" s="143">
        <f t="shared" si="16"/>
        <v>2.6855250000000002</v>
      </c>
      <c r="AU364" s="139"/>
      <c r="AV364" s="131">
        <v>8.5399999999999991</v>
      </c>
      <c r="AW364" s="107">
        <f t="shared" si="17"/>
        <v>39.070499999999996</v>
      </c>
      <c r="AX364" s="113"/>
      <c r="AY364" s="131">
        <v>126</v>
      </c>
      <c r="AZ364" s="144">
        <f t="shared" si="18"/>
        <v>576.45000000000005</v>
      </c>
      <c r="BA364" s="80"/>
      <c r="BB364" s="155">
        <v>0.27300000000000002</v>
      </c>
      <c r="BC364" s="145">
        <f t="shared" si="19"/>
        <v>1.2489750000000002</v>
      </c>
      <c r="BD364" s="113"/>
      <c r="BE364" s="158">
        <v>3.6999999999999998E-2</v>
      </c>
      <c r="BF364" s="146">
        <f t="shared" si="20"/>
        <v>0.16927500000000001</v>
      </c>
      <c r="BG364" s="436"/>
      <c r="BH364" s="392" t="s">
        <v>214</v>
      </c>
      <c r="BI364" s="156"/>
      <c r="BJ364" s="150" t="str">
        <f>'Degrémont sortie'!BI364</f>
        <v>CA MES : 102 mg/l, CA NTK : confirmée, demande de CA pour NO3 le 30.12</v>
      </c>
      <c r="BK364" s="151">
        <f>'Degrémont sortie'!BJ364</f>
        <v>0</v>
      </c>
    </row>
    <row r="365" spans="1:63" ht="14.25" outlineLevel="1">
      <c r="A365" s="121">
        <f t="shared" si="13"/>
        <v>43817</v>
      </c>
      <c r="B365" s="122">
        <v>63</v>
      </c>
      <c r="C365" s="208"/>
      <c r="D365" s="210"/>
      <c r="E365" s="211"/>
      <c r="F365" s="80"/>
      <c r="G365" s="127">
        <f t="shared" si="0"/>
        <v>0</v>
      </c>
      <c r="H365" s="128">
        <f t="shared" si="1"/>
        <v>0</v>
      </c>
      <c r="I365" s="129">
        <v>1</v>
      </c>
      <c r="J365" s="80"/>
      <c r="K365" s="79">
        <f t="shared" si="2"/>
        <v>0</v>
      </c>
      <c r="L365" s="128">
        <f t="shared" si="3"/>
        <v>0</v>
      </c>
      <c r="M365" s="79"/>
      <c r="N365" s="80"/>
      <c r="O365" s="80" t="str">
        <f t="shared" si="4"/>
        <v/>
      </c>
      <c r="P365" s="81" t="e">
        <f t="shared" si="5"/>
        <v>#VALUE!</v>
      </c>
      <c r="Q365" s="213"/>
      <c r="R365" s="113"/>
      <c r="S365" s="127" t="str">
        <f t="shared" si="6"/>
        <v/>
      </c>
      <c r="T365" s="128" t="e">
        <f t="shared" si="7"/>
        <v>#VALUE!</v>
      </c>
      <c r="U365" s="113"/>
      <c r="V365" s="81">
        <f t="shared" si="14"/>
        <v>0</v>
      </c>
      <c r="W365" s="422"/>
      <c r="X365" s="423"/>
      <c r="Y365" s="424"/>
      <c r="Z365" s="422"/>
      <c r="AA365" s="423"/>
      <c r="AB365" s="424"/>
      <c r="AC365" s="81"/>
      <c r="AD365" s="93" t="str">
        <f t="shared" si="8"/>
        <v/>
      </c>
      <c r="AE365" s="94" t="e">
        <f t="shared" si="9"/>
        <v>#VALUE!</v>
      </c>
      <c r="AF365" s="139"/>
      <c r="AG365" s="215"/>
      <c r="AH365" s="136">
        <f t="shared" si="10"/>
        <v>0</v>
      </c>
      <c r="AI365" s="80"/>
      <c r="AJ365" s="154"/>
      <c r="AK365" s="100" t="str">
        <f t="shared" si="21"/>
        <v/>
      </c>
      <c r="AL365" s="138"/>
      <c r="AM365" s="113"/>
      <c r="AN365" s="103" t="str">
        <f t="shared" si="12"/>
        <v/>
      </c>
      <c r="AO365" s="139"/>
      <c r="AP365" s="140"/>
      <c r="AQ365" s="141" t="str">
        <f t="shared" si="15"/>
        <v/>
      </c>
      <c r="AR365" s="142"/>
      <c r="AS365" s="140"/>
      <c r="AT365" s="143" t="str">
        <f t="shared" si="16"/>
        <v/>
      </c>
      <c r="AU365" s="139"/>
      <c r="AV365" s="113"/>
      <c r="AW365" s="107" t="str">
        <f t="shared" si="17"/>
        <v/>
      </c>
      <c r="AX365" s="113"/>
      <c r="AY365" s="113"/>
      <c r="AZ365" s="144" t="str">
        <f t="shared" si="18"/>
        <v/>
      </c>
      <c r="BA365" s="80"/>
      <c r="BB365" s="140"/>
      <c r="BC365" s="145" t="str">
        <f t="shared" si="19"/>
        <v/>
      </c>
      <c r="BD365" s="113"/>
      <c r="BE365" s="114"/>
      <c r="BF365" s="146" t="str">
        <f t="shared" si="20"/>
        <v/>
      </c>
      <c r="BG365" s="436"/>
      <c r="BH365" s="148"/>
      <c r="BI365" s="156"/>
      <c r="BJ365" s="150">
        <f>'Degrémont sortie'!BI365</f>
        <v>0</v>
      </c>
      <c r="BK365" s="151">
        <f>'Degrémont sortie'!BJ365</f>
        <v>0</v>
      </c>
    </row>
    <row r="366" spans="1:63" ht="14.25" outlineLevel="1">
      <c r="A366" s="152">
        <f t="shared" si="13"/>
        <v>43818</v>
      </c>
      <c r="B366" s="122">
        <v>224</v>
      </c>
      <c r="C366" s="123">
        <v>7.69</v>
      </c>
      <c r="D366" s="124">
        <v>89.2</v>
      </c>
      <c r="E366" s="125">
        <v>461.9</v>
      </c>
      <c r="F366" s="126">
        <v>26</v>
      </c>
      <c r="G366" s="127">
        <f t="shared" si="0"/>
        <v>14334.615384615385</v>
      </c>
      <c r="H366" s="128">
        <f t="shared" si="1"/>
        <v>3210.9538461538459</v>
      </c>
      <c r="I366" s="129">
        <v>1</v>
      </c>
      <c r="J366" s="126">
        <v>16200</v>
      </c>
      <c r="K366" s="79">
        <f t="shared" si="2"/>
        <v>16200</v>
      </c>
      <c r="L366" s="128">
        <f t="shared" si="3"/>
        <v>3628.8</v>
      </c>
      <c r="M366" s="130">
        <v>1</v>
      </c>
      <c r="N366" s="126">
        <v>2077</v>
      </c>
      <c r="O366" s="80">
        <f t="shared" si="4"/>
        <v>2077</v>
      </c>
      <c r="P366" s="81">
        <f t="shared" si="5"/>
        <v>465.24799999999999</v>
      </c>
      <c r="Q366" s="129">
        <v>20</v>
      </c>
      <c r="R366" s="131">
        <v>25.1</v>
      </c>
      <c r="S366" s="127">
        <f t="shared" si="6"/>
        <v>502</v>
      </c>
      <c r="T366" s="128">
        <f t="shared" si="7"/>
        <v>112.44799999999999</v>
      </c>
      <c r="U366" s="131">
        <v>130.4</v>
      </c>
      <c r="V366" s="81">
        <f t="shared" si="14"/>
        <v>29.209600000000002</v>
      </c>
      <c r="W366" s="434" t="s">
        <v>85</v>
      </c>
      <c r="X366" s="435">
        <v>0.02</v>
      </c>
      <c r="Y366" s="424"/>
      <c r="Z366" s="434" t="s">
        <v>85</v>
      </c>
      <c r="AA366" s="435">
        <v>0.22</v>
      </c>
      <c r="AB366" s="424"/>
      <c r="AC366" s="81"/>
      <c r="AD366" s="93">
        <f t="shared" si="8"/>
        <v>130.52000000000001</v>
      </c>
      <c r="AE366" s="94">
        <f t="shared" si="9"/>
        <v>29.236480000000004</v>
      </c>
      <c r="AF366" s="134" t="s">
        <v>85</v>
      </c>
      <c r="AG366" s="135">
        <v>0.01</v>
      </c>
      <c r="AH366" s="136">
        <f t="shared" si="10"/>
        <v>1.1200000000000001E-3</v>
      </c>
      <c r="AI366" s="80"/>
      <c r="AJ366" s="154"/>
      <c r="AK366" s="100" t="str">
        <f t="shared" si="21"/>
        <v/>
      </c>
      <c r="AL366" s="138"/>
      <c r="AM366" s="113"/>
      <c r="AN366" s="103" t="str">
        <f t="shared" si="12"/>
        <v/>
      </c>
      <c r="AO366" s="139"/>
      <c r="AP366" s="140"/>
      <c r="AQ366" s="141" t="str">
        <f t="shared" si="15"/>
        <v/>
      </c>
      <c r="AR366" s="142"/>
      <c r="AS366" s="140"/>
      <c r="AT366" s="143" t="str">
        <f t="shared" si="16"/>
        <v/>
      </c>
      <c r="AU366" s="139"/>
      <c r="AV366" s="113"/>
      <c r="AW366" s="107" t="str">
        <f t="shared" si="17"/>
        <v/>
      </c>
      <c r="AX366" s="113"/>
      <c r="AY366" s="113"/>
      <c r="AZ366" s="144" t="str">
        <f t="shared" si="18"/>
        <v/>
      </c>
      <c r="BA366" s="80"/>
      <c r="BB366" s="140"/>
      <c r="BC366" s="145" t="str">
        <f t="shared" si="19"/>
        <v/>
      </c>
      <c r="BD366" s="113"/>
      <c r="BE366" s="114"/>
      <c r="BF366" s="146" t="str">
        <f t="shared" si="20"/>
        <v/>
      </c>
      <c r="BG366" s="436"/>
      <c r="BH366" s="148"/>
      <c r="BI366" s="156"/>
      <c r="BJ366" s="150" t="str">
        <f>'Degrémont sortie'!BI366</f>
        <v>CA DCO 2304 mg/l</v>
      </c>
      <c r="BK366" s="151">
        <f>'Degrémont sortie'!BJ366</f>
        <v>0</v>
      </c>
    </row>
    <row r="367" spans="1:63" ht="25.5" outlineLevel="1">
      <c r="A367" s="121">
        <f t="shared" si="13"/>
        <v>43819</v>
      </c>
      <c r="B367" s="122">
        <v>153</v>
      </c>
      <c r="C367" s="123">
        <v>7.47</v>
      </c>
      <c r="D367" s="124">
        <v>87.8</v>
      </c>
      <c r="E367" s="125">
        <v>533.9</v>
      </c>
      <c r="F367" s="126">
        <v>27</v>
      </c>
      <c r="G367" s="127">
        <f t="shared" si="0"/>
        <v>16522.222222222219</v>
      </c>
      <c r="H367" s="128">
        <f t="shared" si="1"/>
        <v>2527.8999999999996</v>
      </c>
      <c r="I367" s="129">
        <v>1</v>
      </c>
      <c r="J367" s="126">
        <v>16700</v>
      </c>
      <c r="K367" s="79">
        <f t="shared" si="2"/>
        <v>16700</v>
      </c>
      <c r="L367" s="128">
        <f t="shared" si="3"/>
        <v>2555.1</v>
      </c>
      <c r="M367" s="130">
        <v>1</v>
      </c>
      <c r="N367" s="126">
        <v>1157</v>
      </c>
      <c r="O367" s="80">
        <f t="shared" si="4"/>
        <v>1157</v>
      </c>
      <c r="P367" s="81">
        <f t="shared" si="5"/>
        <v>177.02099999999999</v>
      </c>
      <c r="Q367" s="129">
        <v>10</v>
      </c>
      <c r="R367" s="131">
        <v>43.2</v>
      </c>
      <c r="S367" s="127">
        <f t="shared" si="6"/>
        <v>432</v>
      </c>
      <c r="T367" s="128">
        <f t="shared" si="7"/>
        <v>66.096000000000004</v>
      </c>
      <c r="U367" s="131">
        <v>148.80000000000001</v>
      </c>
      <c r="V367" s="81">
        <f t="shared" si="14"/>
        <v>22.766400000000001</v>
      </c>
      <c r="W367" s="434" t="s">
        <v>85</v>
      </c>
      <c r="X367" s="435">
        <v>0.02</v>
      </c>
      <c r="Y367" s="424"/>
      <c r="Z367" s="434" t="s">
        <v>85</v>
      </c>
      <c r="AA367" s="435">
        <v>0.22</v>
      </c>
      <c r="AB367" s="424"/>
      <c r="AC367" s="81"/>
      <c r="AD367" s="93">
        <f t="shared" si="8"/>
        <v>148.92000000000002</v>
      </c>
      <c r="AE367" s="94">
        <f t="shared" si="9"/>
        <v>22.784760000000002</v>
      </c>
      <c r="AF367" s="134" t="s">
        <v>85</v>
      </c>
      <c r="AG367" s="135">
        <v>0.01</v>
      </c>
      <c r="AH367" s="136">
        <f t="shared" si="10"/>
        <v>7.6500000000000005E-4</v>
      </c>
      <c r="AI367" s="80"/>
      <c r="AJ367" s="154"/>
      <c r="AK367" s="100" t="str">
        <f t="shared" si="21"/>
        <v/>
      </c>
      <c r="AL367" s="138"/>
      <c r="AM367" s="113"/>
      <c r="AN367" s="103" t="str">
        <f t="shared" si="12"/>
        <v/>
      </c>
      <c r="AO367" s="139"/>
      <c r="AP367" s="140"/>
      <c r="AQ367" s="141" t="str">
        <f t="shared" si="15"/>
        <v/>
      </c>
      <c r="AR367" s="142"/>
      <c r="AS367" s="140"/>
      <c r="AT367" s="143" t="str">
        <f t="shared" si="16"/>
        <v/>
      </c>
      <c r="AU367" s="139"/>
      <c r="AV367" s="113"/>
      <c r="AW367" s="107" t="str">
        <f t="shared" si="17"/>
        <v/>
      </c>
      <c r="AX367" s="113"/>
      <c r="AY367" s="113"/>
      <c r="AZ367" s="144" t="str">
        <f t="shared" si="18"/>
        <v/>
      </c>
      <c r="BA367" s="80"/>
      <c r="BB367" s="140"/>
      <c r="BC367" s="145" t="str">
        <f t="shared" si="19"/>
        <v/>
      </c>
      <c r="BD367" s="113"/>
      <c r="BE367" s="114"/>
      <c r="BF367" s="146" t="str">
        <f t="shared" si="20"/>
        <v/>
      </c>
      <c r="BG367" s="436"/>
      <c r="BH367" s="392" t="s">
        <v>215</v>
      </c>
      <c r="BI367" s="156"/>
      <c r="BJ367" s="150">
        <f>'Degrémont sortie'!BI367</f>
        <v>0</v>
      </c>
      <c r="BK367" s="151">
        <f>'Degrémont sortie'!BJ367</f>
        <v>0</v>
      </c>
    </row>
    <row r="368" spans="1:63" ht="14.25" outlineLevel="1">
      <c r="A368" s="152">
        <f t="shared" si="13"/>
        <v>43820</v>
      </c>
      <c r="B368" s="207"/>
      <c r="C368" s="208"/>
      <c r="D368" s="124"/>
      <c r="E368" s="125"/>
      <c r="F368" s="126"/>
      <c r="G368" s="127">
        <f t="shared" si="0"/>
        <v>0</v>
      </c>
      <c r="H368" s="128">
        <f t="shared" si="1"/>
        <v>0</v>
      </c>
      <c r="I368" s="129">
        <v>1</v>
      </c>
      <c r="J368" s="80"/>
      <c r="K368" s="79">
        <f t="shared" si="2"/>
        <v>0</v>
      </c>
      <c r="L368" s="128">
        <f t="shared" si="3"/>
        <v>0</v>
      </c>
      <c r="M368" s="79"/>
      <c r="N368" s="80"/>
      <c r="O368" s="80" t="str">
        <f t="shared" si="4"/>
        <v/>
      </c>
      <c r="P368" s="81">
        <f t="shared" si="5"/>
        <v>0</v>
      </c>
      <c r="Q368" s="213"/>
      <c r="R368" s="113"/>
      <c r="S368" s="127" t="str">
        <f t="shared" si="6"/>
        <v/>
      </c>
      <c r="T368" s="128">
        <f t="shared" si="7"/>
        <v>0</v>
      </c>
      <c r="U368" s="113"/>
      <c r="V368" s="81">
        <f t="shared" si="14"/>
        <v>0</v>
      </c>
      <c r="W368" s="422"/>
      <c r="X368" s="423"/>
      <c r="Y368" s="424"/>
      <c r="Z368" s="422"/>
      <c r="AA368" s="423"/>
      <c r="AB368" s="424"/>
      <c r="AC368" s="81"/>
      <c r="AD368" s="93" t="str">
        <f t="shared" si="8"/>
        <v/>
      </c>
      <c r="AE368" s="94" t="str">
        <f t="shared" si="9"/>
        <v/>
      </c>
      <c r="AF368" s="139"/>
      <c r="AG368" s="215"/>
      <c r="AH368" s="136" t="str">
        <f t="shared" si="10"/>
        <v/>
      </c>
      <c r="AI368" s="80"/>
      <c r="AJ368" s="154"/>
      <c r="AK368" s="100" t="str">
        <f t="shared" si="21"/>
        <v/>
      </c>
      <c r="AL368" s="138"/>
      <c r="AM368" s="113"/>
      <c r="AN368" s="103" t="str">
        <f t="shared" si="12"/>
        <v/>
      </c>
      <c r="AO368" s="139"/>
      <c r="AP368" s="140"/>
      <c r="AQ368" s="141" t="str">
        <f t="shared" si="15"/>
        <v/>
      </c>
      <c r="AR368" s="142"/>
      <c r="AS368" s="140"/>
      <c r="AT368" s="143" t="str">
        <f t="shared" si="16"/>
        <v/>
      </c>
      <c r="AU368" s="139"/>
      <c r="AV368" s="113"/>
      <c r="AW368" s="107" t="str">
        <f t="shared" si="17"/>
        <v/>
      </c>
      <c r="AX368" s="113"/>
      <c r="AY368" s="113"/>
      <c r="AZ368" s="144" t="str">
        <f t="shared" si="18"/>
        <v/>
      </c>
      <c r="BA368" s="80"/>
      <c r="BB368" s="140"/>
      <c r="BC368" s="145" t="str">
        <f t="shared" si="19"/>
        <v/>
      </c>
      <c r="BD368" s="113"/>
      <c r="BE368" s="114"/>
      <c r="BF368" s="146" t="str">
        <f t="shared" si="20"/>
        <v/>
      </c>
      <c r="BG368" s="436"/>
      <c r="BH368" s="148"/>
      <c r="BI368" s="156"/>
      <c r="BJ368" s="150">
        <f>'Degrémont sortie'!BI368</f>
        <v>0</v>
      </c>
      <c r="BK368" s="151">
        <f>'Degrémont sortie'!BJ368</f>
        <v>0</v>
      </c>
    </row>
    <row r="369" spans="1:63" ht="15.75" customHeight="1" outlineLevel="1">
      <c r="A369" s="121">
        <f t="shared" si="13"/>
        <v>43821</v>
      </c>
      <c r="B369" s="207"/>
      <c r="C369" s="208"/>
      <c r="D369" s="210"/>
      <c r="E369" s="211"/>
      <c r="F369" s="80"/>
      <c r="G369" s="127">
        <f t="shared" si="0"/>
        <v>0</v>
      </c>
      <c r="H369" s="128">
        <f t="shared" si="1"/>
        <v>0</v>
      </c>
      <c r="I369" s="129">
        <v>1</v>
      </c>
      <c r="J369" s="80"/>
      <c r="K369" s="79">
        <f t="shared" si="2"/>
        <v>0</v>
      </c>
      <c r="L369" s="128">
        <f t="shared" si="3"/>
        <v>0</v>
      </c>
      <c r="M369" s="79"/>
      <c r="N369" s="80"/>
      <c r="O369" s="80" t="str">
        <f t="shared" si="4"/>
        <v/>
      </c>
      <c r="P369" s="81">
        <f t="shared" si="5"/>
        <v>0</v>
      </c>
      <c r="Q369" s="213"/>
      <c r="R369" s="113"/>
      <c r="S369" s="127" t="str">
        <f t="shared" si="6"/>
        <v/>
      </c>
      <c r="T369" s="128">
        <f t="shared" si="7"/>
        <v>0</v>
      </c>
      <c r="U369" s="113"/>
      <c r="V369" s="81">
        <f t="shared" si="14"/>
        <v>0</v>
      </c>
      <c r="W369" s="422"/>
      <c r="X369" s="423"/>
      <c r="Y369" s="424"/>
      <c r="Z369" s="422"/>
      <c r="AA369" s="423"/>
      <c r="AB369" s="424"/>
      <c r="AC369" s="81"/>
      <c r="AD369" s="93" t="str">
        <f t="shared" si="8"/>
        <v/>
      </c>
      <c r="AE369" s="94" t="str">
        <f t="shared" si="9"/>
        <v/>
      </c>
      <c r="AF369" s="139"/>
      <c r="AG369" s="215"/>
      <c r="AH369" s="136" t="str">
        <f t="shared" si="10"/>
        <v/>
      </c>
      <c r="AI369" s="80"/>
      <c r="AJ369" s="154"/>
      <c r="AK369" s="100" t="str">
        <f t="shared" si="21"/>
        <v/>
      </c>
      <c r="AL369" s="138"/>
      <c r="AM369" s="113"/>
      <c r="AN369" s="103" t="str">
        <f t="shared" si="12"/>
        <v/>
      </c>
      <c r="AO369" s="139"/>
      <c r="AP369" s="140"/>
      <c r="AQ369" s="141" t="str">
        <f t="shared" si="15"/>
        <v/>
      </c>
      <c r="AR369" s="142"/>
      <c r="AS369" s="140"/>
      <c r="AT369" s="143" t="str">
        <f t="shared" si="16"/>
        <v/>
      </c>
      <c r="AU369" s="139"/>
      <c r="AV369" s="113"/>
      <c r="AW369" s="107" t="str">
        <f t="shared" si="17"/>
        <v/>
      </c>
      <c r="AX369" s="113"/>
      <c r="AY369" s="113"/>
      <c r="AZ369" s="144" t="str">
        <f t="shared" si="18"/>
        <v/>
      </c>
      <c r="BA369" s="80"/>
      <c r="BB369" s="140"/>
      <c r="BC369" s="145" t="str">
        <f t="shared" si="19"/>
        <v/>
      </c>
      <c r="BD369" s="113"/>
      <c r="BE369" s="114"/>
      <c r="BF369" s="146" t="str">
        <f t="shared" si="20"/>
        <v/>
      </c>
      <c r="BG369" s="436"/>
      <c r="BH369" s="148"/>
      <c r="BI369" s="156"/>
      <c r="BJ369" s="150">
        <f>'Degrémont sortie'!BI369</f>
        <v>0</v>
      </c>
      <c r="BK369" s="151">
        <f>'Degrémont sortie'!BJ369</f>
        <v>0</v>
      </c>
    </row>
    <row r="370" spans="1:63" ht="15.75" customHeight="1" outlineLevel="1">
      <c r="A370" s="152">
        <f t="shared" si="13"/>
        <v>43822</v>
      </c>
      <c r="B370" s="122">
        <v>168</v>
      </c>
      <c r="C370" s="123">
        <v>7.59</v>
      </c>
      <c r="D370" s="124">
        <v>89.4</v>
      </c>
      <c r="E370" s="125">
        <v>448.2</v>
      </c>
      <c r="F370" s="126">
        <v>23</v>
      </c>
      <c r="G370" s="127">
        <f t="shared" si="0"/>
        <v>15599.999999999998</v>
      </c>
      <c r="H370" s="128">
        <f t="shared" si="1"/>
        <v>2620.7999999999997</v>
      </c>
      <c r="I370" s="129">
        <v>1</v>
      </c>
      <c r="J370" s="126">
        <v>16400</v>
      </c>
      <c r="K370" s="79">
        <f t="shared" si="2"/>
        <v>16400</v>
      </c>
      <c r="L370" s="128">
        <f t="shared" si="3"/>
        <v>2755.2</v>
      </c>
      <c r="M370" s="79"/>
      <c r="N370" s="80"/>
      <c r="O370" s="80" t="str">
        <f t="shared" si="4"/>
        <v/>
      </c>
      <c r="P370" s="81" t="e">
        <f t="shared" si="5"/>
        <v>#VALUE!</v>
      </c>
      <c r="Q370" s="129">
        <v>10</v>
      </c>
      <c r="R370" s="131">
        <v>34.9</v>
      </c>
      <c r="S370" s="127">
        <f t="shared" si="6"/>
        <v>349</v>
      </c>
      <c r="T370" s="128">
        <f t="shared" si="7"/>
        <v>58.631999999999998</v>
      </c>
      <c r="U370" s="113"/>
      <c r="V370" s="81">
        <f t="shared" si="14"/>
        <v>0</v>
      </c>
      <c r="W370" s="434" t="s">
        <v>85</v>
      </c>
      <c r="X370" s="435">
        <v>0.02</v>
      </c>
      <c r="Y370" s="424"/>
      <c r="Z370" s="434" t="s">
        <v>85</v>
      </c>
      <c r="AA370" s="435">
        <v>0.22</v>
      </c>
      <c r="AB370" s="424"/>
      <c r="AC370" s="81"/>
      <c r="AD370" s="93">
        <f t="shared" si="8"/>
        <v>0.12</v>
      </c>
      <c r="AE370" s="94">
        <f t="shared" si="9"/>
        <v>2.0160000000000001E-2</v>
      </c>
      <c r="AF370" s="134" t="s">
        <v>85</v>
      </c>
      <c r="AG370" s="135">
        <v>0.01</v>
      </c>
      <c r="AH370" s="136">
        <f t="shared" si="10"/>
        <v>8.3999999999999993E-4</v>
      </c>
      <c r="AI370" s="80"/>
      <c r="AJ370" s="154"/>
      <c r="AK370" s="100" t="str">
        <f t="shared" si="21"/>
        <v/>
      </c>
      <c r="AL370" s="138"/>
      <c r="AM370" s="113"/>
      <c r="AN370" s="103" t="str">
        <f t="shared" si="12"/>
        <v/>
      </c>
      <c r="AO370" s="139"/>
      <c r="AP370" s="140"/>
      <c r="AQ370" s="141" t="str">
        <f t="shared" si="15"/>
        <v/>
      </c>
      <c r="AR370" s="142"/>
      <c r="AS370" s="140"/>
      <c r="AT370" s="143" t="str">
        <f t="shared" si="16"/>
        <v/>
      </c>
      <c r="AU370" s="139"/>
      <c r="AV370" s="113"/>
      <c r="AW370" s="107" t="str">
        <f t="shared" si="17"/>
        <v/>
      </c>
      <c r="AX370" s="113"/>
      <c r="AY370" s="113"/>
      <c r="AZ370" s="144" t="str">
        <f t="shared" si="18"/>
        <v/>
      </c>
      <c r="BA370" s="80"/>
      <c r="BB370" s="140"/>
      <c r="BC370" s="145" t="str">
        <f t="shared" si="19"/>
        <v/>
      </c>
      <c r="BD370" s="113"/>
      <c r="BE370" s="114"/>
      <c r="BF370" s="146" t="str">
        <f t="shared" si="20"/>
        <v/>
      </c>
      <c r="BG370" s="436"/>
      <c r="BH370" s="148"/>
      <c r="BI370" s="156"/>
      <c r="BJ370" s="150">
        <f>'Degrémont sortie'!BI370</f>
        <v>0</v>
      </c>
      <c r="BK370" s="151">
        <f>'Degrémont sortie'!BJ370</f>
        <v>0</v>
      </c>
    </row>
    <row r="371" spans="1:63" ht="15.75" customHeight="1" outlineLevel="1">
      <c r="A371" s="121">
        <f t="shared" si="13"/>
        <v>43823</v>
      </c>
      <c r="B371" s="207"/>
      <c r="C371" s="208"/>
      <c r="D371" s="210"/>
      <c r="E371" s="211"/>
      <c r="F371" s="80"/>
      <c r="G371" s="127">
        <f t="shared" si="0"/>
        <v>0</v>
      </c>
      <c r="H371" s="128">
        <f t="shared" si="1"/>
        <v>0</v>
      </c>
      <c r="I371" s="129">
        <v>1</v>
      </c>
      <c r="J371" s="80"/>
      <c r="K371" s="79">
        <f t="shared" si="2"/>
        <v>0</v>
      </c>
      <c r="L371" s="128">
        <f t="shared" si="3"/>
        <v>0</v>
      </c>
      <c r="M371" s="79"/>
      <c r="N371" s="80"/>
      <c r="O371" s="80" t="str">
        <f t="shared" si="4"/>
        <v/>
      </c>
      <c r="P371" s="81">
        <f t="shared" si="5"/>
        <v>0</v>
      </c>
      <c r="Q371" s="213"/>
      <c r="R371" s="113"/>
      <c r="S371" s="127" t="str">
        <f t="shared" si="6"/>
        <v/>
      </c>
      <c r="T371" s="128">
        <f t="shared" si="7"/>
        <v>0</v>
      </c>
      <c r="U371" s="113"/>
      <c r="V371" s="81">
        <f t="shared" si="14"/>
        <v>0</v>
      </c>
      <c r="W371" s="422"/>
      <c r="X371" s="423"/>
      <c r="Y371" s="424"/>
      <c r="Z371" s="422"/>
      <c r="AA371" s="423"/>
      <c r="AB371" s="424"/>
      <c r="AC371" s="81"/>
      <c r="AD371" s="93" t="str">
        <f t="shared" si="8"/>
        <v/>
      </c>
      <c r="AE371" s="94" t="str">
        <f t="shared" si="9"/>
        <v/>
      </c>
      <c r="AF371" s="139"/>
      <c r="AG371" s="215"/>
      <c r="AH371" s="136" t="str">
        <f t="shared" si="10"/>
        <v/>
      </c>
      <c r="AI371" s="80"/>
      <c r="AJ371" s="137">
        <v>0.94599999999999995</v>
      </c>
      <c r="AK371" s="100">
        <f t="shared" si="21"/>
        <v>0.5751679999999999</v>
      </c>
      <c r="AL371" s="138"/>
      <c r="AM371" s="131">
        <v>82.6</v>
      </c>
      <c r="AN371" s="103">
        <f t="shared" si="12"/>
        <v>62.445599999999999</v>
      </c>
      <c r="AO371" s="139"/>
      <c r="AP371" s="155">
        <v>330</v>
      </c>
      <c r="AQ371" s="141">
        <f t="shared" si="15"/>
        <v>249.48</v>
      </c>
      <c r="AR371" s="142"/>
      <c r="AS371" s="155">
        <v>1.44</v>
      </c>
      <c r="AT371" s="143">
        <f t="shared" si="16"/>
        <v>1.0886400000000001</v>
      </c>
      <c r="AU371" s="139"/>
      <c r="AV371" s="131">
        <v>17</v>
      </c>
      <c r="AW371" s="107">
        <f t="shared" si="17"/>
        <v>12.852</v>
      </c>
      <c r="AX371" s="113"/>
      <c r="AY371" s="131">
        <v>350</v>
      </c>
      <c r="AZ371" s="144">
        <f t="shared" si="18"/>
        <v>264.60000000000002</v>
      </c>
      <c r="BA371" s="80"/>
      <c r="BB371" s="155">
        <v>0.871</v>
      </c>
      <c r="BC371" s="145">
        <f t="shared" si="19"/>
        <v>0.65847599999999995</v>
      </c>
      <c r="BD371" s="113"/>
      <c r="BE371" s="158">
        <v>9.8000000000000004E-2</v>
      </c>
      <c r="BF371" s="146">
        <f t="shared" si="20"/>
        <v>7.4088000000000001E-2</v>
      </c>
      <c r="BG371" s="436"/>
      <c r="BH371" s="148"/>
      <c r="BI371" s="156"/>
      <c r="BJ371" s="150">
        <f>'Degrémont sortie'!BI371</f>
        <v>0</v>
      </c>
      <c r="BK371" s="151">
        <f>'Degrémont sortie'!BJ371</f>
        <v>0</v>
      </c>
    </row>
    <row r="372" spans="1:63" ht="15.75" customHeight="1" outlineLevel="1">
      <c r="A372" s="152">
        <f t="shared" si="13"/>
        <v>43824</v>
      </c>
      <c r="B372" s="207"/>
      <c r="C372" s="208"/>
      <c r="D372" s="210"/>
      <c r="E372" s="211"/>
      <c r="F372" s="80"/>
      <c r="G372" s="127">
        <f t="shared" si="0"/>
        <v>0</v>
      </c>
      <c r="H372" s="128">
        <f t="shared" si="1"/>
        <v>0</v>
      </c>
      <c r="I372" s="129">
        <v>1</v>
      </c>
      <c r="J372" s="80"/>
      <c r="K372" s="79">
        <f t="shared" si="2"/>
        <v>0</v>
      </c>
      <c r="L372" s="128">
        <f t="shared" si="3"/>
        <v>0</v>
      </c>
      <c r="M372" s="79"/>
      <c r="N372" s="80"/>
      <c r="O372" s="80" t="str">
        <f t="shared" si="4"/>
        <v/>
      </c>
      <c r="P372" s="81">
        <f t="shared" si="5"/>
        <v>0</v>
      </c>
      <c r="Q372" s="213"/>
      <c r="R372" s="113"/>
      <c r="S372" s="127" t="str">
        <f t="shared" si="6"/>
        <v/>
      </c>
      <c r="T372" s="128">
        <f t="shared" si="7"/>
        <v>0</v>
      </c>
      <c r="U372" s="113"/>
      <c r="V372" s="81">
        <f t="shared" si="14"/>
        <v>0</v>
      </c>
      <c r="W372" s="422"/>
      <c r="X372" s="423"/>
      <c r="Y372" s="424"/>
      <c r="Z372" s="422"/>
      <c r="AA372" s="423"/>
      <c r="AB372" s="424"/>
      <c r="AC372" s="81"/>
      <c r="AD372" s="93" t="str">
        <f t="shared" si="8"/>
        <v/>
      </c>
      <c r="AE372" s="94" t="str">
        <f t="shared" si="9"/>
        <v/>
      </c>
      <c r="AF372" s="139"/>
      <c r="AG372" s="215"/>
      <c r="AH372" s="136" t="str">
        <f t="shared" si="10"/>
        <v/>
      </c>
      <c r="AI372" s="80"/>
      <c r="AJ372" s="154"/>
      <c r="AK372" s="100" t="str">
        <f t="shared" si="21"/>
        <v/>
      </c>
      <c r="AL372" s="138"/>
      <c r="AM372" s="113"/>
      <c r="AN372" s="103" t="str">
        <f t="shared" si="12"/>
        <v/>
      </c>
      <c r="AO372" s="139"/>
      <c r="AP372" s="140"/>
      <c r="AQ372" s="141" t="str">
        <f t="shared" si="15"/>
        <v/>
      </c>
      <c r="AR372" s="142"/>
      <c r="AS372" s="140"/>
      <c r="AT372" s="143" t="str">
        <f t="shared" si="16"/>
        <v/>
      </c>
      <c r="AU372" s="139"/>
      <c r="AV372" s="113"/>
      <c r="AW372" s="107" t="str">
        <f t="shared" si="17"/>
        <v/>
      </c>
      <c r="AX372" s="113"/>
      <c r="AY372" s="113"/>
      <c r="AZ372" s="144" t="str">
        <f t="shared" si="18"/>
        <v/>
      </c>
      <c r="BA372" s="80"/>
      <c r="BB372" s="140"/>
      <c r="BC372" s="145" t="str">
        <f t="shared" si="19"/>
        <v/>
      </c>
      <c r="BD372" s="113"/>
      <c r="BE372" s="114"/>
      <c r="BF372" s="146" t="str">
        <f t="shared" si="20"/>
        <v/>
      </c>
      <c r="BG372" s="436"/>
      <c r="BH372" s="148"/>
      <c r="BI372" s="156"/>
      <c r="BJ372" s="150">
        <f>'Degrémont sortie'!BI372</f>
        <v>0</v>
      </c>
      <c r="BK372" s="151">
        <f>'Degrémont sortie'!BJ372</f>
        <v>0</v>
      </c>
    </row>
    <row r="373" spans="1:63" ht="15.75" customHeight="1" outlineLevel="1">
      <c r="A373" s="121">
        <f t="shared" si="13"/>
        <v>43825</v>
      </c>
      <c r="B373" s="207"/>
      <c r="C373" s="208"/>
      <c r="D373" s="210"/>
      <c r="E373" s="211"/>
      <c r="F373" s="80"/>
      <c r="G373" s="127">
        <f t="shared" si="0"/>
        <v>0</v>
      </c>
      <c r="H373" s="128">
        <f t="shared" si="1"/>
        <v>0</v>
      </c>
      <c r="I373" s="129">
        <v>1</v>
      </c>
      <c r="J373" s="80"/>
      <c r="K373" s="79">
        <f t="shared" si="2"/>
        <v>0</v>
      </c>
      <c r="L373" s="128">
        <f t="shared" si="3"/>
        <v>0</v>
      </c>
      <c r="M373" s="79"/>
      <c r="N373" s="80"/>
      <c r="O373" s="80" t="str">
        <f t="shared" si="4"/>
        <v/>
      </c>
      <c r="P373" s="81">
        <f t="shared" si="5"/>
        <v>0</v>
      </c>
      <c r="Q373" s="213"/>
      <c r="R373" s="113"/>
      <c r="S373" s="127" t="str">
        <f t="shared" si="6"/>
        <v/>
      </c>
      <c r="T373" s="128">
        <f t="shared" si="7"/>
        <v>0</v>
      </c>
      <c r="U373" s="113"/>
      <c r="V373" s="81">
        <f t="shared" si="14"/>
        <v>0</v>
      </c>
      <c r="W373" s="422"/>
      <c r="X373" s="423"/>
      <c r="Y373" s="424"/>
      <c r="Z373" s="422"/>
      <c r="AA373" s="423"/>
      <c r="AB373" s="424"/>
      <c r="AC373" s="81"/>
      <c r="AD373" s="93" t="str">
        <f t="shared" si="8"/>
        <v/>
      </c>
      <c r="AE373" s="94" t="str">
        <f t="shared" si="9"/>
        <v/>
      </c>
      <c r="AF373" s="139"/>
      <c r="AG373" s="215"/>
      <c r="AH373" s="136" t="str">
        <f t="shared" si="10"/>
        <v/>
      </c>
      <c r="AI373" s="80"/>
      <c r="AJ373" s="154"/>
      <c r="AK373" s="100" t="str">
        <f t="shared" si="21"/>
        <v/>
      </c>
      <c r="AL373" s="138"/>
      <c r="AM373" s="113"/>
      <c r="AN373" s="103" t="str">
        <f t="shared" si="12"/>
        <v/>
      </c>
      <c r="AO373" s="139"/>
      <c r="AP373" s="140"/>
      <c r="AQ373" s="141" t="str">
        <f t="shared" si="15"/>
        <v/>
      </c>
      <c r="AR373" s="142"/>
      <c r="AS373" s="140"/>
      <c r="AT373" s="143" t="str">
        <f t="shared" si="16"/>
        <v/>
      </c>
      <c r="AU373" s="139"/>
      <c r="AV373" s="113"/>
      <c r="AW373" s="107" t="str">
        <f t="shared" si="17"/>
        <v/>
      </c>
      <c r="AX373" s="113"/>
      <c r="AY373" s="113"/>
      <c r="AZ373" s="144" t="str">
        <f t="shared" si="18"/>
        <v/>
      </c>
      <c r="BA373" s="80"/>
      <c r="BB373" s="140"/>
      <c r="BC373" s="145" t="str">
        <f t="shared" si="19"/>
        <v/>
      </c>
      <c r="BD373" s="113"/>
      <c r="BE373" s="114"/>
      <c r="BF373" s="146" t="str">
        <f t="shared" si="20"/>
        <v/>
      </c>
      <c r="BG373" s="436"/>
      <c r="BH373" s="148"/>
      <c r="BI373" s="156"/>
      <c r="BJ373" s="150">
        <f>'Degrémont sortie'!BI373</f>
        <v>0</v>
      </c>
      <c r="BK373" s="151">
        <f>'Degrémont sortie'!BJ373</f>
        <v>0</v>
      </c>
    </row>
    <row r="374" spans="1:63" ht="15.75" customHeight="1" outlineLevel="1">
      <c r="A374" s="152">
        <f t="shared" si="13"/>
        <v>43826</v>
      </c>
      <c r="B374" s="207"/>
      <c r="C374" s="208"/>
      <c r="D374" s="210"/>
      <c r="E374" s="211"/>
      <c r="F374" s="80"/>
      <c r="G374" s="127">
        <f t="shared" si="0"/>
        <v>0</v>
      </c>
      <c r="H374" s="128">
        <f t="shared" si="1"/>
        <v>0</v>
      </c>
      <c r="I374" s="129">
        <v>1</v>
      </c>
      <c r="J374" s="80"/>
      <c r="K374" s="79">
        <f t="shared" si="2"/>
        <v>0</v>
      </c>
      <c r="L374" s="128">
        <f t="shared" si="3"/>
        <v>0</v>
      </c>
      <c r="M374" s="79"/>
      <c r="N374" s="80"/>
      <c r="O374" s="80" t="str">
        <f t="shared" si="4"/>
        <v/>
      </c>
      <c r="P374" s="81">
        <f t="shared" si="5"/>
        <v>0</v>
      </c>
      <c r="Q374" s="213"/>
      <c r="R374" s="113"/>
      <c r="S374" s="127" t="str">
        <f t="shared" si="6"/>
        <v/>
      </c>
      <c r="T374" s="128">
        <f t="shared" si="7"/>
        <v>0</v>
      </c>
      <c r="U374" s="113"/>
      <c r="V374" s="81">
        <f t="shared" si="14"/>
        <v>0</v>
      </c>
      <c r="W374" s="422"/>
      <c r="X374" s="423"/>
      <c r="Y374" s="424"/>
      <c r="Z374" s="422"/>
      <c r="AA374" s="423"/>
      <c r="AB374" s="424"/>
      <c r="AC374" s="81"/>
      <c r="AD374" s="93" t="str">
        <f t="shared" si="8"/>
        <v/>
      </c>
      <c r="AE374" s="94" t="str">
        <f t="shared" si="9"/>
        <v/>
      </c>
      <c r="AF374" s="139"/>
      <c r="AG374" s="215"/>
      <c r="AH374" s="136" t="str">
        <f t="shared" si="10"/>
        <v/>
      </c>
      <c r="AI374" s="80"/>
      <c r="AJ374" s="154"/>
      <c r="AK374" s="100" t="str">
        <f t="shared" si="21"/>
        <v/>
      </c>
      <c r="AL374" s="138"/>
      <c r="AM374" s="113"/>
      <c r="AN374" s="103" t="str">
        <f t="shared" si="12"/>
        <v/>
      </c>
      <c r="AO374" s="139"/>
      <c r="AP374" s="140"/>
      <c r="AQ374" s="141" t="str">
        <f t="shared" si="15"/>
        <v/>
      </c>
      <c r="AR374" s="142"/>
      <c r="AS374" s="140"/>
      <c r="AT374" s="143" t="str">
        <f t="shared" si="16"/>
        <v/>
      </c>
      <c r="AU374" s="139"/>
      <c r="AV374" s="113"/>
      <c r="AW374" s="107" t="str">
        <f t="shared" si="17"/>
        <v/>
      </c>
      <c r="AX374" s="113"/>
      <c r="AY374" s="113"/>
      <c r="AZ374" s="144" t="str">
        <f t="shared" si="18"/>
        <v/>
      </c>
      <c r="BA374" s="80"/>
      <c r="BB374" s="140"/>
      <c r="BC374" s="145" t="str">
        <f t="shared" si="19"/>
        <v/>
      </c>
      <c r="BD374" s="113"/>
      <c r="BE374" s="114"/>
      <c r="BF374" s="146" t="str">
        <f t="shared" si="20"/>
        <v/>
      </c>
      <c r="BG374" s="436"/>
      <c r="BH374" s="148"/>
      <c r="BI374" s="156"/>
      <c r="BJ374" s="150">
        <f>'Degrémont sortie'!BI374</f>
        <v>0</v>
      </c>
      <c r="BK374" s="151">
        <f>'Degrémont sortie'!BJ374</f>
        <v>0</v>
      </c>
    </row>
    <row r="375" spans="1:63" ht="15.75" customHeight="1" outlineLevel="1">
      <c r="A375" s="121">
        <f t="shared" si="13"/>
        <v>43827</v>
      </c>
      <c r="B375" s="207"/>
      <c r="C375" s="208"/>
      <c r="D375" s="210"/>
      <c r="E375" s="211"/>
      <c r="F375" s="80"/>
      <c r="G375" s="127">
        <f t="shared" si="0"/>
        <v>0</v>
      </c>
      <c r="H375" s="128">
        <f t="shared" si="1"/>
        <v>0</v>
      </c>
      <c r="I375" s="129">
        <v>1</v>
      </c>
      <c r="J375" s="80"/>
      <c r="K375" s="79">
        <f t="shared" si="2"/>
        <v>0</v>
      </c>
      <c r="L375" s="128">
        <f t="shared" si="3"/>
        <v>0</v>
      </c>
      <c r="M375" s="79"/>
      <c r="N375" s="80"/>
      <c r="O375" s="80" t="str">
        <f t="shared" si="4"/>
        <v/>
      </c>
      <c r="P375" s="81">
        <f t="shared" si="5"/>
        <v>0</v>
      </c>
      <c r="Q375" s="213"/>
      <c r="R375" s="113"/>
      <c r="S375" s="127" t="str">
        <f t="shared" si="6"/>
        <v/>
      </c>
      <c r="T375" s="128">
        <f t="shared" si="7"/>
        <v>0</v>
      </c>
      <c r="U375" s="113"/>
      <c r="V375" s="81">
        <f t="shared" si="14"/>
        <v>0</v>
      </c>
      <c r="W375" s="422"/>
      <c r="X375" s="423"/>
      <c r="Y375" s="424"/>
      <c r="Z375" s="422"/>
      <c r="AA375" s="423"/>
      <c r="AB375" s="424"/>
      <c r="AC375" s="81"/>
      <c r="AD375" s="93" t="str">
        <f t="shared" si="8"/>
        <v/>
      </c>
      <c r="AE375" s="94" t="str">
        <f t="shared" si="9"/>
        <v/>
      </c>
      <c r="AF375" s="139"/>
      <c r="AG375" s="215"/>
      <c r="AH375" s="136" t="str">
        <f t="shared" si="10"/>
        <v/>
      </c>
      <c r="AI375" s="80"/>
      <c r="AJ375" s="154"/>
      <c r="AK375" s="100" t="str">
        <f t="shared" si="21"/>
        <v/>
      </c>
      <c r="AL375" s="138"/>
      <c r="AM375" s="113"/>
      <c r="AN375" s="103" t="str">
        <f t="shared" si="12"/>
        <v/>
      </c>
      <c r="AO375" s="139"/>
      <c r="AP375" s="140"/>
      <c r="AQ375" s="141" t="str">
        <f t="shared" si="15"/>
        <v/>
      </c>
      <c r="AR375" s="142"/>
      <c r="AS375" s="140"/>
      <c r="AT375" s="143" t="str">
        <f t="shared" si="16"/>
        <v/>
      </c>
      <c r="AU375" s="139"/>
      <c r="AV375" s="113"/>
      <c r="AW375" s="107" t="str">
        <f t="shared" si="17"/>
        <v/>
      </c>
      <c r="AX375" s="113"/>
      <c r="AY375" s="113"/>
      <c r="AZ375" s="144" t="str">
        <f t="shared" si="18"/>
        <v/>
      </c>
      <c r="BA375" s="80"/>
      <c r="BB375" s="140"/>
      <c r="BC375" s="145" t="str">
        <f t="shared" si="19"/>
        <v/>
      </c>
      <c r="BD375" s="113"/>
      <c r="BE375" s="114"/>
      <c r="BF375" s="146" t="str">
        <f t="shared" si="20"/>
        <v/>
      </c>
      <c r="BG375" s="436"/>
      <c r="BH375" s="148"/>
      <c r="BI375" s="156"/>
      <c r="BJ375" s="150">
        <f>'Degrémont sortie'!BI375</f>
        <v>0</v>
      </c>
      <c r="BK375" s="151">
        <f>'Degrémont sortie'!BJ375</f>
        <v>0</v>
      </c>
    </row>
    <row r="376" spans="1:63" ht="15.75" customHeight="1" outlineLevel="1">
      <c r="A376" s="152">
        <f t="shared" si="13"/>
        <v>43828</v>
      </c>
      <c r="B376" s="207"/>
      <c r="C376" s="208"/>
      <c r="D376" s="210"/>
      <c r="E376" s="211"/>
      <c r="F376" s="80"/>
      <c r="G376" s="127">
        <f t="shared" si="0"/>
        <v>0</v>
      </c>
      <c r="H376" s="128">
        <f t="shared" si="1"/>
        <v>0</v>
      </c>
      <c r="I376" s="129">
        <v>1</v>
      </c>
      <c r="J376" s="80"/>
      <c r="K376" s="79">
        <f t="shared" si="2"/>
        <v>0</v>
      </c>
      <c r="L376" s="128">
        <f t="shared" si="3"/>
        <v>0</v>
      </c>
      <c r="M376" s="79"/>
      <c r="N376" s="80"/>
      <c r="O376" s="80" t="str">
        <f t="shared" si="4"/>
        <v/>
      </c>
      <c r="P376" s="81">
        <f t="shared" si="5"/>
        <v>0</v>
      </c>
      <c r="Q376" s="213"/>
      <c r="R376" s="113"/>
      <c r="S376" s="127" t="str">
        <f t="shared" si="6"/>
        <v/>
      </c>
      <c r="T376" s="128">
        <f t="shared" si="7"/>
        <v>0</v>
      </c>
      <c r="U376" s="113"/>
      <c r="V376" s="81">
        <f t="shared" si="14"/>
        <v>0</v>
      </c>
      <c r="W376" s="422"/>
      <c r="X376" s="423"/>
      <c r="Y376" s="424"/>
      <c r="Z376" s="422"/>
      <c r="AA376" s="423"/>
      <c r="AB376" s="424"/>
      <c r="AC376" s="81"/>
      <c r="AD376" s="93" t="str">
        <f t="shared" si="8"/>
        <v/>
      </c>
      <c r="AE376" s="94" t="str">
        <f t="shared" si="9"/>
        <v/>
      </c>
      <c r="AF376" s="139"/>
      <c r="AG376" s="215"/>
      <c r="AH376" s="136" t="str">
        <f t="shared" si="10"/>
        <v/>
      </c>
      <c r="AI376" s="80"/>
      <c r="AJ376" s="154"/>
      <c r="AK376" s="100" t="str">
        <f t="shared" si="21"/>
        <v/>
      </c>
      <c r="AL376" s="138"/>
      <c r="AM376" s="113"/>
      <c r="AN376" s="103" t="str">
        <f t="shared" si="12"/>
        <v/>
      </c>
      <c r="AO376" s="139"/>
      <c r="AP376" s="140"/>
      <c r="AQ376" s="141" t="str">
        <f t="shared" si="15"/>
        <v/>
      </c>
      <c r="AR376" s="142"/>
      <c r="AS376" s="140"/>
      <c r="AT376" s="143" t="str">
        <f t="shared" si="16"/>
        <v/>
      </c>
      <c r="AU376" s="139"/>
      <c r="AV376" s="113"/>
      <c r="AW376" s="107" t="str">
        <f t="shared" si="17"/>
        <v/>
      </c>
      <c r="AX376" s="113"/>
      <c r="AY376" s="113"/>
      <c r="AZ376" s="144" t="str">
        <f t="shared" si="18"/>
        <v/>
      </c>
      <c r="BA376" s="80"/>
      <c r="BB376" s="140"/>
      <c r="BC376" s="145" t="str">
        <f t="shared" si="19"/>
        <v/>
      </c>
      <c r="BD376" s="113"/>
      <c r="BE376" s="114"/>
      <c r="BF376" s="146" t="str">
        <f t="shared" si="20"/>
        <v/>
      </c>
      <c r="BG376" s="436"/>
      <c r="BH376" s="148"/>
      <c r="BI376" s="156"/>
      <c r="BJ376" s="150">
        <f>'Degrémont sortie'!BI376</f>
        <v>0</v>
      </c>
      <c r="BK376" s="151">
        <f>'Degrémont sortie'!BJ376</f>
        <v>0</v>
      </c>
    </row>
    <row r="377" spans="1:63" ht="15.75" customHeight="1" outlineLevel="1">
      <c r="A377" s="121">
        <f t="shared" si="13"/>
        <v>43829</v>
      </c>
      <c r="B377" s="122">
        <v>76</v>
      </c>
      <c r="C377" s="123">
        <v>7.52</v>
      </c>
      <c r="D377" s="124">
        <v>87.3</v>
      </c>
      <c r="E377" s="125">
        <v>439</v>
      </c>
      <c r="F377" s="126">
        <v>30</v>
      </c>
      <c r="G377" s="127">
        <f t="shared" si="0"/>
        <v>11723.333333333334</v>
      </c>
      <c r="H377" s="128">
        <f t="shared" si="1"/>
        <v>890.97333333333336</v>
      </c>
      <c r="I377" s="129">
        <v>1</v>
      </c>
      <c r="J377" s="126">
        <v>9167</v>
      </c>
      <c r="K377" s="79">
        <f t="shared" si="2"/>
        <v>9167</v>
      </c>
      <c r="L377" s="128">
        <f t="shared" si="3"/>
        <v>696.69200000000001</v>
      </c>
      <c r="M377" s="130">
        <v>1</v>
      </c>
      <c r="N377" s="126">
        <v>508</v>
      </c>
      <c r="O377" s="80">
        <f t="shared" si="4"/>
        <v>508</v>
      </c>
      <c r="P377" s="81">
        <f t="shared" si="5"/>
        <v>38.607999999999997</v>
      </c>
      <c r="Q377" s="129">
        <v>10</v>
      </c>
      <c r="R377" s="131">
        <v>32.1</v>
      </c>
      <c r="S377" s="127">
        <f t="shared" si="6"/>
        <v>321</v>
      </c>
      <c r="T377" s="128">
        <f t="shared" si="7"/>
        <v>24.396000000000001</v>
      </c>
      <c r="U377" s="113"/>
      <c r="V377" s="81">
        <f t="shared" si="14"/>
        <v>0</v>
      </c>
      <c r="W377" s="434"/>
      <c r="X377" s="435">
        <v>38.6</v>
      </c>
      <c r="Y377" s="424"/>
      <c r="Z377" s="434" t="s">
        <v>85</v>
      </c>
      <c r="AA377" s="435">
        <v>0.22</v>
      </c>
      <c r="AB377" s="424"/>
      <c r="AC377" s="81"/>
      <c r="AD377" s="93">
        <f t="shared" si="8"/>
        <v>38.71</v>
      </c>
      <c r="AE377" s="94">
        <f t="shared" si="9"/>
        <v>2.9419599999999999</v>
      </c>
      <c r="AF377" s="139"/>
      <c r="AG377" s="135">
        <v>0.12</v>
      </c>
      <c r="AH377" s="136">
        <f t="shared" si="10"/>
        <v>9.1199999999999996E-3</v>
      </c>
      <c r="AI377" s="80"/>
      <c r="AJ377" s="154"/>
      <c r="AK377" s="100" t="str">
        <f t="shared" si="21"/>
        <v/>
      </c>
      <c r="AL377" s="138"/>
      <c r="AM377" s="113"/>
      <c r="AN377" s="103" t="str">
        <f t="shared" si="12"/>
        <v/>
      </c>
      <c r="AO377" s="139"/>
      <c r="AP377" s="140"/>
      <c r="AQ377" s="141" t="str">
        <f t="shared" si="15"/>
        <v/>
      </c>
      <c r="AR377" s="142"/>
      <c r="AS377" s="140"/>
      <c r="AT377" s="143" t="str">
        <f t="shared" si="16"/>
        <v/>
      </c>
      <c r="AU377" s="139"/>
      <c r="AV377" s="113"/>
      <c r="AW377" s="107" t="str">
        <f t="shared" si="17"/>
        <v/>
      </c>
      <c r="AX377" s="113"/>
      <c r="AY377" s="113"/>
      <c r="AZ377" s="144" t="str">
        <f t="shared" si="18"/>
        <v/>
      </c>
      <c r="BA377" s="80"/>
      <c r="BB377" s="140"/>
      <c r="BC377" s="145" t="str">
        <f t="shared" si="19"/>
        <v/>
      </c>
      <c r="BD377" s="113"/>
      <c r="BE377" s="114"/>
      <c r="BF377" s="146" t="str">
        <f t="shared" si="20"/>
        <v/>
      </c>
      <c r="BG377" s="436"/>
      <c r="BH377" s="148"/>
      <c r="BI377" s="156"/>
      <c r="BJ377" s="150">
        <f>'Degrémont sortie'!BI377</f>
        <v>0</v>
      </c>
      <c r="BK377" s="151">
        <f>'Degrémont sortie'!BJ377</f>
        <v>0</v>
      </c>
    </row>
    <row r="378" spans="1:63" ht="15.75" customHeight="1" outlineLevel="1">
      <c r="A378" s="152">
        <f t="shared" si="13"/>
        <v>43830</v>
      </c>
      <c r="B378" s="207"/>
      <c r="C378" s="208"/>
      <c r="D378" s="210"/>
      <c r="E378" s="211"/>
      <c r="F378" s="80"/>
      <c r="G378" s="127">
        <f t="shared" si="0"/>
        <v>0</v>
      </c>
      <c r="H378" s="128">
        <f t="shared" si="1"/>
        <v>0</v>
      </c>
      <c r="I378" s="129">
        <v>1</v>
      </c>
      <c r="J378" s="80"/>
      <c r="K378" s="79">
        <f t="shared" si="2"/>
        <v>0</v>
      </c>
      <c r="L378" s="128">
        <f t="shared" si="3"/>
        <v>0</v>
      </c>
      <c r="M378" s="79"/>
      <c r="N378" s="80"/>
      <c r="O378" s="80" t="str">
        <f t="shared" si="4"/>
        <v/>
      </c>
      <c r="P378" s="81">
        <f t="shared" si="5"/>
        <v>0</v>
      </c>
      <c r="Q378" s="213"/>
      <c r="R378" s="113"/>
      <c r="S378" s="127" t="str">
        <f t="shared" si="6"/>
        <v/>
      </c>
      <c r="T378" s="128">
        <f t="shared" si="7"/>
        <v>0</v>
      </c>
      <c r="U378" s="113"/>
      <c r="V378" s="81">
        <f t="shared" si="14"/>
        <v>0</v>
      </c>
      <c r="W378" s="422"/>
      <c r="X378" s="423"/>
      <c r="Y378" s="424"/>
      <c r="Z378" s="422"/>
      <c r="AA378" s="423"/>
      <c r="AB378" s="424"/>
      <c r="AC378" s="81"/>
      <c r="AD378" s="93" t="str">
        <f t="shared" si="8"/>
        <v/>
      </c>
      <c r="AE378" s="94" t="str">
        <f t="shared" si="9"/>
        <v/>
      </c>
      <c r="AF378" s="139"/>
      <c r="AG378" s="135"/>
      <c r="AH378" s="136" t="str">
        <f t="shared" si="10"/>
        <v/>
      </c>
      <c r="AI378" s="80"/>
      <c r="AJ378" s="154"/>
      <c r="AK378" s="100" t="str">
        <f t="shared" si="21"/>
        <v/>
      </c>
      <c r="AL378" s="138"/>
      <c r="AM378" s="113"/>
      <c r="AN378" s="103" t="str">
        <f t="shared" si="12"/>
        <v/>
      </c>
      <c r="AO378" s="139"/>
      <c r="AP378" s="155"/>
      <c r="AQ378" s="141" t="str">
        <f t="shared" si="15"/>
        <v/>
      </c>
      <c r="AR378" s="142"/>
      <c r="AS378" s="140"/>
      <c r="AT378" s="143" t="str">
        <f t="shared" si="16"/>
        <v/>
      </c>
      <c r="AU378" s="139"/>
      <c r="AV378" s="113"/>
      <c r="AW378" s="107" t="str">
        <f t="shared" si="17"/>
        <v/>
      </c>
      <c r="AX378" s="113"/>
      <c r="AY378" s="113"/>
      <c r="AZ378" s="144" t="str">
        <f t="shared" si="18"/>
        <v/>
      </c>
      <c r="BA378" s="80"/>
      <c r="BB378" s="140"/>
      <c r="BC378" s="145" t="str">
        <f t="shared" si="19"/>
        <v/>
      </c>
      <c r="BD378" s="113"/>
      <c r="BE378" s="114"/>
      <c r="BF378" s="146" t="str">
        <f t="shared" si="20"/>
        <v/>
      </c>
      <c r="BG378" s="436"/>
      <c r="BH378" s="148"/>
      <c r="BI378" s="156"/>
      <c r="BJ378" s="150">
        <f>'Degrémont sortie'!BI378</f>
        <v>0</v>
      </c>
      <c r="BK378" s="151">
        <f>'Degrémont sortie'!BJ378</f>
        <v>0</v>
      </c>
    </row>
    <row r="379" spans="1:63" ht="15.75" customHeight="1" outlineLevel="1">
      <c r="A379" s="121">
        <f t="shared" si="13"/>
        <v>43831</v>
      </c>
      <c r="B379" s="437"/>
      <c r="C379" s="438"/>
      <c r="D379" s="439"/>
      <c r="E379" s="174"/>
      <c r="F379" s="174"/>
      <c r="G379" s="440">
        <f t="shared" si="0"/>
        <v>0</v>
      </c>
      <c r="H379" s="441">
        <f t="shared" si="1"/>
        <v>0</v>
      </c>
      <c r="I379" s="164"/>
      <c r="J379" s="174"/>
      <c r="K379" s="442">
        <f t="shared" si="2"/>
        <v>0</v>
      </c>
      <c r="L379" s="441">
        <f t="shared" si="3"/>
        <v>0</v>
      </c>
      <c r="M379" s="442"/>
      <c r="N379" s="174"/>
      <c r="O379" s="174" t="str">
        <f t="shared" si="4"/>
        <v/>
      </c>
      <c r="P379" s="443">
        <f t="shared" si="5"/>
        <v>0</v>
      </c>
      <c r="Q379" s="444"/>
      <c r="R379" s="167"/>
      <c r="S379" s="440" t="str">
        <f t="shared" si="6"/>
        <v/>
      </c>
      <c r="T379" s="441">
        <f t="shared" si="7"/>
        <v>0</v>
      </c>
      <c r="U379" s="167"/>
      <c r="V379" s="443">
        <f t="shared" si="14"/>
        <v>0</v>
      </c>
      <c r="W379" s="445"/>
      <c r="X379" s="446"/>
      <c r="Y379" s="447"/>
      <c r="Z379" s="448"/>
      <c r="AA379" s="449"/>
      <c r="AB379" s="450"/>
      <c r="AC379" s="443"/>
      <c r="AD379" s="93" t="str">
        <f t="shared" si="8"/>
        <v/>
      </c>
      <c r="AE379" s="94" t="str">
        <f t="shared" si="9"/>
        <v/>
      </c>
      <c r="AF379" s="177"/>
      <c r="AG379" s="451"/>
      <c r="AH379" s="452" t="str">
        <f t="shared" si="10"/>
        <v/>
      </c>
      <c r="AI379" s="174"/>
      <c r="AJ379" s="175"/>
      <c r="AK379" s="100" t="str">
        <f t="shared" si="21"/>
        <v/>
      </c>
      <c r="AL379" s="176"/>
      <c r="AM379" s="167"/>
      <c r="AN379" s="103" t="str">
        <f t="shared" si="12"/>
        <v/>
      </c>
      <c r="AO379" s="177"/>
      <c r="AP379" s="178"/>
      <c r="AQ379" s="141" t="str">
        <f t="shared" si="15"/>
        <v/>
      </c>
      <c r="AR379" s="179"/>
      <c r="AS379" s="178"/>
      <c r="AT379" s="453" t="str">
        <f>IF(B379="","",IF(AR379="&lt;",AS379/2*B379/1000,AS379*B379/1000))</f>
        <v/>
      </c>
      <c r="AU379" s="177"/>
      <c r="AV379" s="440"/>
      <c r="AW379" s="107" t="str">
        <f t="shared" si="17"/>
        <v/>
      </c>
      <c r="AX379" s="167"/>
      <c r="AY379" s="440"/>
      <c r="AZ379" s="144" t="str">
        <f t="shared" si="18"/>
        <v/>
      </c>
      <c r="BA379" s="174"/>
      <c r="BB379" s="178"/>
      <c r="BC379" s="145" t="str">
        <f t="shared" si="19"/>
        <v/>
      </c>
      <c r="BD379" s="167"/>
      <c r="BE379" s="180"/>
      <c r="BF379" s="146" t="str">
        <f t="shared" si="20"/>
        <v/>
      </c>
      <c r="BG379" s="436"/>
      <c r="BH379" s="148"/>
      <c r="BI379" s="156"/>
      <c r="BJ379" s="150">
        <f>'Degrémont sortie'!BI379</f>
        <v>0</v>
      </c>
      <c r="BK379" s="151">
        <f>'Degrémont sortie'!BJ379</f>
        <v>0</v>
      </c>
    </row>
    <row r="380" spans="1:63" ht="15.75" customHeight="1">
      <c r="A380" s="454" t="s">
        <v>95</v>
      </c>
      <c r="B380" s="455">
        <f t="shared" ref="B380:V380" si="22">SUMIF(B$14:B$379,"&lt;&gt;0")</f>
        <v>234483</v>
      </c>
      <c r="C380" s="456">
        <f t="shared" si="22"/>
        <v>45948.989999999991</v>
      </c>
      <c r="D380" s="457">
        <f t="shared" si="22"/>
        <v>25481.900000000005</v>
      </c>
      <c r="E380" s="458">
        <f t="shared" si="22"/>
        <v>79909.099999999991</v>
      </c>
      <c r="F380" s="458">
        <f t="shared" si="22"/>
        <v>8727</v>
      </c>
      <c r="G380" s="458">
        <f t="shared" si="22"/>
        <v>2048559.900741613</v>
      </c>
      <c r="H380" s="459">
        <f t="shared" si="22"/>
        <v>1469663.4782087337</v>
      </c>
      <c r="I380" s="460">
        <f t="shared" si="22"/>
        <v>582</v>
      </c>
      <c r="J380" s="458">
        <f t="shared" si="22"/>
        <v>1923841</v>
      </c>
      <c r="K380" s="461">
        <f t="shared" si="22"/>
        <v>2407305</v>
      </c>
      <c r="L380" s="459">
        <f t="shared" si="22"/>
        <v>1630059.4989999989</v>
      </c>
      <c r="M380" s="462">
        <f t="shared" si="22"/>
        <v>356</v>
      </c>
      <c r="N380" s="458">
        <f t="shared" si="22"/>
        <v>250765</v>
      </c>
      <c r="O380" s="458">
        <f t="shared" si="22"/>
        <v>251649</v>
      </c>
      <c r="P380" s="463" t="e">
        <f t="shared" si="22"/>
        <v>#VALUE!</v>
      </c>
      <c r="Q380" s="460">
        <f t="shared" si="22"/>
        <v>6300</v>
      </c>
      <c r="R380" s="458">
        <f t="shared" si="22"/>
        <v>4067.9700000000021</v>
      </c>
      <c r="S380" s="464">
        <f t="shared" si="22"/>
        <v>85476.900000000023</v>
      </c>
      <c r="T380" s="459" t="e">
        <f t="shared" si="22"/>
        <v>#VALUE!</v>
      </c>
      <c r="U380" s="462">
        <f t="shared" si="22"/>
        <v>5360.65</v>
      </c>
      <c r="V380" s="463">
        <f t="shared" si="22"/>
        <v>3805.06</v>
      </c>
      <c r="W380" s="455"/>
      <c r="X380" s="458">
        <f>SUM((SUMIF(W15:W379,"?",X15:X379)/2)+SUMIF(W15:W379,"",X15:X379))</f>
        <v>39.210000000000008</v>
      </c>
      <c r="Y380" s="465"/>
      <c r="Z380" s="466"/>
      <c r="AA380" s="458">
        <f>SUM((SUMIF(Z15:Z379,"?",AA15:AA379)/2)+SUMIF(Z15:Z379,"",AA15:AA379))</f>
        <v>14.22</v>
      </c>
      <c r="AB380" s="467"/>
      <c r="AC380" s="426"/>
      <c r="AD380" s="458">
        <f>SUM((SUMIF(AC15:AC379,"?",AD15:AD379)/2)+SUMIF(AC15:AC379,"",AD15:AD379))</f>
        <v>940.63</v>
      </c>
      <c r="AE380" s="465"/>
      <c r="AF380" s="468"/>
      <c r="AG380" s="458">
        <f>SUM((SUMIF(AF15:AF379,"?",AG15:AG379)/2)+SUMIF(AF15:AF379,"",AG15:AG379))</f>
        <v>1.966999999999993</v>
      </c>
      <c r="AH380" s="459">
        <f>SUMIF(AH$14:AH$379,"&lt;&gt;0")</f>
        <v>1.3225890000000007</v>
      </c>
      <c r="AI380" s="469"/>
      <c r="AJ380" s="458">
        <f>SUM((SUMIF(AI15:AI379,"?",AJ15:AJ379)/2)+SUMIF(AI15:AI379,"",AJ15:AJ379))</f>
        <v>11.228999999999999</v>
      </c>
      <c r="AK380" s="469"/>
      <c r="AL380" s="468"/>
      <c r="AM380" s="458">
        <f>SUM((SUMIF(AL15:AL379,"?",AM15:AM379)/2)+SUMIF(AL15:AL379,"",AM15:AM379))</f>
        <v>3787.92</v>
      </c>
      <c r="AN380" s="459">
        <f>SUMIF(AN$14:AN$379,"&lt;&gt;0")</f>
        <v>18073.657739999999</v>
      </c>
      <c r="AO380" s="470"/>
      <c r="AP380" s="458">
        <f>SUM((SUMIF(AO15:AO379,"?",AP15:AP379)/2)+SUMIF(AO15:AO379,"",AP15:AP379))</f>
        <v>8958.5499999999993</v>
      </c>
      <c r="AQ380" s="459">
        <f>SUMIF(AQ$14:AQ$379,"&lt;&gt;0")</f>
        <v>46872.371210000012</v>
      </c>
      <c r="AR380" s="468"/>
      <c r="AS380" s="458">
        <f>SUM((SUMIF(AR15:AR379,"?",AS15:AS379)/2)+SUMIF(AR15:AR379,"",AS15:AS379))</f>
        <v>63.256999999999991</v>
      </c>
      <c r="AT380" s="459">
        <f>SUMIF(AT$14:AT$379,"&lt;&gt;0")</f>
        <v>285.23663999999997</v>
      </c>
      <c r="AU380" s="470"/>
      <c r="AV380" s="458">
        <f>SUM((SUMIF(AU15:AU379,"?",AV15:AV379)/2)+SUMIF(AU15:AU379,"",AV15:AV379))</f>
        <v>1146.1999999999998</v>
      </c>
      <c r="AW380" s="459">
        <f>SUMIF(AW$14:AW$379,"&lt;&gt;0")</f>
        <v>6955.2117100000005</v>
      </c>
      <c r="AX380" s="471"/>
      <c r="AY380" s="458">
        <f>SUM((SUMIF(AX15:AX379,"?",AY15:AY379)/2)+SUMIF(AX15:AX379,"",AY15:AY379))</f>
        <v>12624.68</v>
      </c>
      <c r="AZ380" s="472">
        <f>SUMIF(AZ$14:AZ$379,"&lt;&gt;0")</f>
        <v>72241.830230000007</v>
      </c>
      <c r="BA380" s="471"/>
      <c r="BB380" s="458">
        <f>SUM((SUMIF(BA15:BA379,"?",BB15:BB379)/2)+SUMIF(BA15:BA379,"",BB15:BB379))</f>
        <v>193.09399999999997</v>
      </c>
      <c r="BC380" s="472">
        <f>SUMIF(BC$14:BC$379,"&lt;&gt;0")</f>
        <v>473.21754099999998</v>
      </c>
      <c r="BD380" s="473"/>
      <c r="BE380" s="458">
        <f>SUM((SUMIF(BD15:BD379,"?",BE15:BE379)/2)+SUMIF(BD15:BD379,"",BE15:BE379))</f>
        <v>54.284999999999997</v>
      </c>
      <c r="BF380" s="474">
        <f>SUMIF(BF$14:BF$379,"&lt;&gt;0")</f>
        <v>139.72383299999993</v>
      </c>
      <c r="BG380" s="475"/>
      <c r="BH380" s="476"/>
      <c r="BI380" s="477"/>
      <c r="BJ380" s="477"/>
      <c r="BK380" s="478"/>
    </row>
    <row r="381" spans="1:63" ht="15.75" customHeight="1">
      <c r="A381" s="479" t="s">
        <v>97</v>
      </c>
      <c r="B381" s="480">
        <f t="shared" ref="B381:V381" si="23">AVERAGEIF(B$14:B$379,"&lt;&gt;0")</f>
        <v>868.45555555555552</v>
      </c>
      <c r="C381" s="481">
        <f t="shared" si="23"/>
        <v>161.22452631578943</v>
      </c>
      <c r="D381" s="482">
        <f t="shared" si="23"/>
        <v>89.410175438596511</v>
      </c>
      <c r="E381" s="483">
        <f t="shared" si="23"/>
        <v>280.38280701754383</v>
      </c>
      <c r="F381" s="483">
        <f t="shared" si="23"/>
        <v>30.621052631578948</v>
      </c>
      <c r="G381" s="483">
        <f t="shared" si="23"/>
        <v>7187.929476286361</v>
      </c>
      <c r="H381" s="484">
        <f t="shared" si="23"/>
        <v>5588.0740616301664</v>
      </c>
      <c r="I381" s="485">
        <f t="shared" si="23"/>
        <v>1.6033057851239669</v>
      </c>
      <c r="J381" s="483">
        <f t="shared" si="23"/>
        <v>6750.3192982456139</v>
      </c>
      <c r="K381" s="430">
        <f t="shared" si="23"/>
        <v>8446.6842105263149</v>
      </c>
      <c r="L381" s="484">
        <f t="shared" si="23"/>
        <v>6197.9448631178666</v>
      </c>
      <c r="M381" s="486">
        <f t="shared" si="23"/>
        <v>1.0113636363636365</v>
      </c>
      <c r="N381" s="483">
        <f t="shared" si="23"/>
        <v>892.40213523131672</v>
      </c>
      <c r="O381" s="483">
        <f t="shared" si="23"/>
        <v>895.54804270462637</v>
      </c>
      <c r="P381" s="487" t="e">
        <f t="shared" si="23"/>
        <v>#VALUE!</v>
      </c>
      <c r="Q381" s="485">
        <f t="shared" si="23"/>
        <v>21.951219512195124</v>
      </c>
      <c r="R381" s="483">
        <f t="shared" si="23"/>
        <v>14.273578947368428</v>
      </c>
      <c r="S381" s="431">
        <f t="shared" si="23"/>
        <v>299.91894736842113</v>
      </c>
      <c r="T381" s="484" t="e">
        <f t="shared" si="23"/>
        <v>#VALUE!</v>
      </c>
      <c r="U381" s="486">
        <f t="shared" si="23"/>
        <v>92.424999999999997</v>
      </c>
      <c r="V381" s="487">
        <f t="shared" si="23"/>
        <v>70.464074074074077</v>
      </c>
      <c r="W381" s="480"/>
      <c r="X381" s="483">
        <f>((SUMIF(W15:W379,"?",X15:X379)/2)+SUMIF(W15:W379,"",X15:X379))/COUNTA(X15:X379)</f>
        <v>3.5645454545454553</v>
      </c>
      <c r="Y381" s="488"/>
      <c r="Z381" s="480"/>
      <c r="AA381" s="483">
        <f>((SUMIF(Z15:Z379,"?",AA15:AA379)/2)+SUMIF(Z15:Z379,"",AA15:AA379))/COUNTA(AA15:AA379)</f>
        <v>1.2927272727272727</v>
      </c>
      <c r="AB381" s="488"/>
      <c r="AC381" s="205"/>
      <c r="AD381" s="483">
        <f>((SUMIF(AC15:AC379,"?",AD15:AD379)/2)+SUMIF(AC15:AC379,"",AD15:AD379))/COUNTA(AD15:AD379)</f>
        <v>2.5770684931506849</v>
      </c>
      <c r="AE381" s="488"/>
      <c r="AF381" s="489"/>
      <c r="AG381" s="483">
        <f>((SUMIF(AF15:AF379,"?",AG15:AG379)/2)+SUMIF(AF15:AF379,"",AG15:AG379))/COUNTA(AG15:AG379)</f>
        <v>7.0501792114695087E-3</v>
      </c>
      <c r="AH381" s="484">
        <f>AVERAGEIF(AH$14:AH$379,"&lt;&gt;0")</f>
        <v>5.1866235294117675E-3</v>
      </c>
      <c r="AI381" s="490"/>
      <c r="AJ381" s="483">
        <f>((SUMIF(AI15:AI379,"?",AJ15:AJ379)/2)+SUMIF(AI15:AI379,"",AJ15:AJ379))/COUNTA(AJ15:AJ379)</f>
        <v>1.6041428571428571</v>
      </c>
      <c r="AK381" s="490"/>
      <c r="AL381" s="489"/>
      <c r="AM381" s="483">
        <f>((SUMIF(AL15:AL379,"?",AM15:AM379)/2)+SUMIF(AL15:AL379,"",AM15:AM379))/COUNTA(AM15:AM379)</f>
        <v>80.594042553191485</v>
      </c>
      <c r="AN381" s="484">
        <f>AVERAGEIF(AN$14:AN$379,"&lt;&gt;0")</f>
        <v>401.63683866666662</v>
      </c>
      <c r="AO381" s="491"/>
      <c r="AP381" s="483">
        <f>((SUMIF(AO15:AO379,"?",AP15:AP379)/2)+SUMIF(AO15:AO379,"",AP15:AP379))/COUNTA(AP15:AP379)</f>
        <v>175.6578431372549</v>
      </c>
      <c r="AQ381" s="484">
        <f>AVERAGEIF(AQ$14:AQ$379,"&lt;&gt;0")</f>
        <v>956.57900428571452</v>
      </c>
      <c r="AR381" s="489"/>
      <c r="AS381" s="483">
        <f>((SUMIF(AR15:AR379,"?",AS15:AS379)/2)+SUMIF(AR15:AR379,"",AS15:AS379))/COUNTA(AS15:AS379)</f>
        <v>1.2403333333333331</v>
      </c>
      <c r="AT381" s="484">
        <f>AVERAGEIF(AT$14:AT$379,"&lt;&gt;0")</f>
        <v>5.8211559183673458</v>
      </c>
      <c r="AU381" s="491"/>
      <c r="AV381" s="483">
        <f>((SUMIF(AU15:AU379,"?",AV15:AV379)/2)+SUMIF(AU15:AU379,"",AV15:AV379))/COUNTA(AV15:AV379)</f>
        <v>22.474509803921563</v>
      </c>
      <c r="AW381" s="484">
        <f>AVERAGEIF(AW$14:AW$379,"&lt;&gt;0")</f>
        <v>141.94309612244899</v>
      </c>
      <c r="AX381" s="492"/>
      <c r="AY381" s="483">
        <f>((SUMIF(AX15:AX379,"?",AY15:AY379)/2)+SUMIF(AX15:AX379,"",AY15:AY379))/COUNTA(AY15:AY379)</f>
        <v>247.54274509803923</v>
      </c>
      <c r="AZ381" s="206">
        <f>AVERAGEIF(AZ$14:AZ$379,"&lt;&gt;0")</f>
        <v>1474.3230659183675</v>
      </c>
      <c r="BA381" s="492"/>
      <c r="BB381" s="483">
        <f>((SUMIF(BA15:BA379,"?",BB15:BB379)/2)+SUMIF(BA15:BA379,"",BB15:BB379))/COUNTA(BB15:BB379)</f>
        <v>3.7861568627450972</v>
      </c>
      <c r="BC381" s="206">
        <f>AVERAGEIF(BC$14:BC$379,"&lt;&gt;0")</f>
        <v>9.6575008367346928</v>
      </c>
      <c r="BD381" s="493"/>
      <c r="BE381" s="483">
        <f>((SUMIF(BD15:BD379,"?",BE15:BE379)/2)+SUMIF(BD15:BD379,"",BE15:BE379))/COUNTA(BE15:BE379)</f>
        <v>1.0644117647058824</v>
      </c>
      <c r="BF381" s="494">
        <f>AVERAGEIF(BF$14:BF$379,"&lt;&gt;0")</f>
        <v>2.851506795918366</v>
      </c>
      <c r="BG381" s="495"/>
      <c r="BH381" s="496"/>
      <c r="BI381" s="497"/>
      <c r="BJ381" s="497"/>
      <c r="BK381" s="498"/>
    </row>
    <row r="382" spans="1:63" ht="15.75" customHeight="1">
      <c r="A382" s="479" t="s">
        <v>98</v>
      </c>
      <c r="B382" s="429">
        <f t="shared" ref="B382:C382" si="24">SMALL(B14:B379,COUNTIF(B14:B379,0)+1)</f>
        <v>21</v>
      </c>
      <c r="C382" s="481">
        <f t="shared" si="24"/>
        <v>5.77</v>
      </c>
      <c r="D382" s="491"/>
      <c r="E382" s="499"/>
      <c r="F382" s="431">
        <f t="shared" ref="F382:H382" si="25">SMALL(F14:F379,COUNTIF(F14:F379,0)+1)</f>
        <v>4</v>
      </c>
      <c r="G382" s="431">
        <f t="shared" si="25"/>
        <v>61.764705882352779</v>
      </c>
      <c r="H382" s="432">
        <f t="shared" si="25"/>
        <v>42.185294117646947</v>
      </c>
      <c r="I382" s="500"/>
      <c r="J382" s="431">
        <f t="shared" ref="J382:L382" si="26">SMALL(J14:J379,COUNTIF(J14:J379,0)+1)</f>
        <v>385</v>
      </c>
      <c r="K382" s="430">
        <f t="shared" si="26"/>
        <v>736</v>
      </c>
      <c r="L382" s="501">
        <f t="shared" si="26"/>
        <v>434.51400000000001</v>
      </c>
      <c r="M382" s="492"/>
      <c r="N382" s="499"/>
      <c r="O382" s="431">
        <f t="shared" ref="O382:P382" si="27">SMALL(O14:O379,COUNTIF(O14:O379,0)+1)</f>
        <v>178</v>
      </c>
      <c r="P382" s="203" t="e">
        <f t="shared" si="27"/>
        <v>#VALUE!</v>
      </c>
      <c r="Q382" s="500"/>
      <c r="R382" s="499"/>
      <c r="S382" s="431">
        <f t="shared" ref="S382:V382" si="28">SMALL(S14:S379,COUNTIF(S14:S379,0)+1)</f>
        <v>11.5</v>
      </c>
      <c r="T382" s="432" t="e">
        <f t="shared" si="28"/>
        <v>#VALUE!</v>
      </c>
      <c r="U382" s="212">
        <f t="shared" si="28"/>
        <v>14</v>
      </c>
      <c r="V382" s="203">
        <f t="shared" si="28"/>
        <v>9.8699999999999992</v>
      </c>
      <c r="W382" s="429"/>
      <c r="X382" s="502">
        <f t="array" ref="X382">MIN(IF(X15:X379="",100000,(IF(W15:W379="",X15:X379,(X15:X379)/2))))</f>
        <v>0.01</v>
      </c>
      <c r="Y382" s="503"/>
      <c r="Z382" s="429"/>
      <c r="AA382" s="502">
        <f t="array" ref="AA382">MIN(IF(AA15:AA379="",100000,(IF(Z15:Z379="",AA15:AA379,(AA15:AA379)/2))))</f>
        <v>0.11</v>
      </c>
      <c r="AB382" s="503"/>
      <c r="AC382" s="214"/>
      <c r="AD382" s="502">
        <f t="array" ref="AD382">MIN(IF(AD15:AD379="",100000,(IF(AC15:AC379="",AD15:AD379,(AD15:AD379)/2))))</f>
        <v>0.12</v>
      </c>
      <c r="AE382" s="503"/>
      <c r="AF382" s="489"/>
      <c r="AG382" s="502">
        <f t="array" ref="AG382">MIN(IF(AG15:AG379="",100000,(IF(AF15:AF379="",AG15:AG379,(AG15:AG379)/2))))</f>
        <v>2E-3</v>
      </c>
      <c r="AH382" s="432">
        <f>SMALL(AH14:AH379,COUNTIF(AH14:AH379,0)+1)</f>
        <v>1.0499999999999999E-4</v>
      </c>
      <c r="AI382" s="504"/>
      <c r="AJ382" s="502">
        <f t="array" ref="AJ382">MIN(IF(AJ15:AJ379="",100000,(IF(AI15:AI379="",AJ15:AJ379,(AJ15:AJ379)/2))))</f>
        <v>0.32100000000000001</v>
      </c>
      <c r="AK382" s="504"/>
      <c r="AL382" s="505"/>
      <c r="AM382" s="502">
        <f t="array" ref="AM382">MIN(IF(AM15:AM379="",100000,(IF(AL15:AL379="",AM15:AM379,(AM15:AM379)/2))))</f>
        <v>0.32</v>
      </c>
      <c r="AN382" s="432">
        <f>SMALL(AN14:AN379,COUNTIF(AN14:AN379,0)+1)</f>
        <v>2.7302400000000002</v>
      </c>
      <c r="AO382" s="491"/>
      <c r="AP382" s="502">
        <f t="array" ref="AP382">MIN(IF(AP15:AP379="",100000,(IF(AO15:AO379="",AP15:AP379,(AP15:AP379)/2))))</f>
        <v>16.78</v>
      </c>
      <c r="AQ382" s="432">
        <f>SMALL(AQ14:AQ379,COUNTIF(AQ14:AQ379,0)+1)</f>
        <v>84.320859999999996</v>
      </c>
      <c r="AR382" s="489"/>
      <c r="AS382" s="502">
        <f t="array" ref="AS382">MIN(IF(AS15:AS379="",100000,(IF(AR15:AR379="",AS15:AS379,(AS15:AS379)/2))))</f>
        <v>1.4999999999999999E-2</v>
      </c>
      <c r="AT382" s="432">
        <f>SMALL(AT14:AT379,COUNTIF(AT14:AT379,0)+1)</f>
        <v>5.7569999999999996E-2</v>
      </c>
      <c r="AU382" s="506"/>
      <c r="AV382" s="502">
        <f t="array" ref="AV382">MIN(IF(AV15:AV379="",100000,(IF(AU15:AU379="",AV15:AV379,(AV15:AV379)/2))))</f>
        <v>4.5599999999999996</v>
      </c>
      <c r="AW382" s="432">
        <f>SMALL(AW14:AW379,COUNTIF(AW14:AW379,0)+1)</f>
        <v>11.014239999999999</v>
      </c>
      <c r="AX382" s="507"/>
      <c r="AY382" s="502">
        <f t="array" ref="AY382">MIN(IF(AY15:AY379="",100000,(IF(AX15:AX379="",AY15:AY379,(AY15:AY379)/2))))</f>
        <v>30.12</v>
      </c>
      <c r="AZ382" s="204">
        <f>SMALL(AZ14:AZ379,COUNTIF(AZ14:AZ379,0)+1)</f>
        <v>244.69488000000001</v>
      </c>
      <c r="BA382" s="492"/>
      <c r="BB382" s="502">
        <f t="array" ref="BB382">MIN(IF(BB15:BB379="",100000,(IF(BA15:BA379="",BB15:BB379,(BB15:BB379)/2))))</f>
        <v>6.5000000000000002E-2</v>
      </c>
      <c r="BC382" s="206">
        <f>SMALL(BC14:BC379,COUNTIF(BC14:BC379,0)+1)</f>
        <v>0.16605</v>
      </c>
      <c r="BD382" s="493"/>
      <c r="BE382" s="502">
        <f t="array" ref="BE382">MIN(IF(BE15:BE379="",100000,(IF(BD15:BD379="",BE15:BE379,(BE15:BE379)/2))))</f>
        <v>3.6999999999999998E-2</v>
      </c>
      <c r="BF382" s="494">
        <f>SMALL(BF14:BF379,COUNTIF(BF14:BF379,0)+1)</f>
        <v>7.4088000000000001E-2</v>
      </c>
      <c r="BG382" s="508"/>
      <c r="BH382" s="509"/>
      <c r="BI382" s="510"/>
      <c r="BJ382" s="510"/>
      <c r="BK382" s="511"/>
    </row>
    <row r="383" spans="1:63" ht="15.75" customHeight="1">
      <c r="A383" s="479" t="s">
        <v>101</v>
      </c>
      <c r="B383" s="429">
        <f t="shared" ref="B383:C383" si="29">MAX(B14:B379)</f>
        <v>2272</v>
      </c>
      <c r="C383" s="481">
        <f t="shared" si="29"/>
        <v>43715</v>
      </c>
      <c r="D383" s="491"/>
      <c r="E383" s="499"/>
      <c r="F383" s="431">
        <f t="shared" ref="F383:H383" si="30">MAX(F14:F379)</f>
        <v>74</v>
      </c>
      <c r="G383" s="431">
        <f t="shared" si="30"/>
        <v>42242.857142857152</v>
      </c>
      <c r="H383" s="432">
        <f t="shared" si="30"/>
        <v>26161.214285714286</v>
      </c>
      <c r="I383" s="500"/>
      <c r="J383" s="431">
        <f t="shared" ref="J383:L383" si="31">MAX(J14:J379)</f>
        <v>106999</v>
      </c>
      <c r="K383" s="430">
        <f t="shared" si="31"/>
        <v>132950</v>
      </c>
      <c r="L383" s="501">
        <f t="shared" si="31"/>
        <v>90007.15</v>
      </c>
      <c r="M383" s="492"/>
      <c r="N383" s="499"/>
      <c r="O383" s="431">
        <f t="shared" ref="O383:P383" si="32">MAX(O14:O379)</f>
        <v>8945</v>
      </c>
      <c r="P383" s="203" t="e">
        <f t="shared" si="32"/>
        <v>#VALUE!</v>
      </c>
      <c r="Q383" s="500"/>
      <c r="R383" s="499"/>
      <c r="S383" s="431">
        <f t="shared" ref="S383:V383" si="33">MAX(S14:S379)</f>
        <v>1895</v>
      </c>
      <c r="T383" s="432" t="e">
        <f t="shared" si="33"/>
        <v>#VALUE!</v>
      </c>
      <c r="U383" s="212">
        <f t="shared" si="33"/>
        <v>470</v>
      </c>
      <c r="V383" s="203">
        <f t="shared" si="33"/>
        <v>213.642</v>
      </c>
      <c r="W383" s="429"/>
      <c r="X383" s="502">
        <f t="array" ref="X383">MAX(IF(W15:W379="",X15:X379,(X15:X379)/2))</f>
        <v>38.6</v>
      </c>
      <c r="Y383" s="503"/>
      <c r="Z383" s="429"/>
      <c r="AA383" s="502">
        <f t="array" ref="AA383">MAX(IF(Z15:Z379="",AA15:AA379,(AA15:AA379)/2))</f>
        <v>13</v>
      </c>
      <c r="AB383" s="503"/>
      <c r="AC383" s="214"/>
      <c r="AD383" s="502">
        <f t="array" ref="AD383">MAX(IF(AC15:AC379="",AD15:AD379,(AD15:AD379)/2))</f>
        <v>185.52</v>
      </c>
      <c r="AE383" s="503"/>
      <c r="AF383" s="489"/>
      <c r="AG383" s="502">
        <f t="array" ref="AG383">MAX(IF(AF15:AF379="",AG15:AG379,(AG15:AG379)/2))</f>
        <v>0.16</v>
      </c>
      <c r="AH383" s="432">
        <f>MAX(AH14:AH379)</f>
        <v>5.2499999999999998E-2</v>
      </c>
      <c r="AI383" s="504"/>
      <c r="AJ383" s="502">
        <f t="array" ref="AJ383">MAX(IF(AI15:AI379="",AJ15:AJ379,(AJ15:AJ379)/2))</f>
        <v>3.43</v>
      </c>
      <c r="AK383" s="504"/>
      <c r="AL383" s="505"/>
      <c r="AM383" s="502">
        <f t="array" ref="AM383">MAX(IF(AL15:AL379="",AM15:AM379,(AM15:AM379)/2))</f>
        <v>370</v>
      </c>
      <c r="AN383" s="432">
        <f>MAX(AN14:AN379)</f>
        <v>1375</v>
      </c>
      <c r="AO383" s="491"/>
      <c r="AP383" s="502">
        <f t="array" ref="AP383">MAX(IF(AO15:AO379="",AP15:AP379,(AP15:AP379)/2))</f>
        <v>637.76</v>
      </c>
      <c r="AQ383" s="432">
        <f>MAX(AQ14:AQ379)</f>
        <v>3415.8809999999999</v>
      </c>
      <c r="AR383" s="489"/>
      <c r="AS383" s="502">
        <f t="array" ref="AS383">MAX(IF(AR15:AR379="",AS15:AS379,(AS15:AS379)/2))</f>
        <v>7.21</v>
      </c>
      <c r="AT383" s="432">
        <f>MAX(AT14:AT379)</f>
        <v>20.40456</v>
      </c>
      <c r="AU383" s="506"/>
      <c r="AV383" s="502">
        <f t="array" ref="AV383">MAX(IF(AU15:AU379="",AV15:AV379,(AV15:AV379)/2))</f>
        <v>74.150000000000006</v>
      </c>
      <c r="AW383" s="432">
        <f>MAX(AW14:AW379)</f>
        <v>463.43750000000006</v>
      </c>
      <c r="AX383" s="507"/>
      <c r="AY383" s="502">
        <f t="array" ref="AY383">MAX(IF(AX15:AX379="",AY15:AY379,(AY15:AY379)/2))</f>
        <v>823</v>
      </c>
      <c r="AZ383" s="204">
        <f>MAX(AZ14:AZ379)</f>
        <v>5083.6709999999994</v>
      </c>
      <c r="BA383" s="492"/>
      <c r="BB383" s="502">
        <f t="array" ref="BB383">MAX(IF(BA15:BA379="",BB15:BB379,(BB15:BB379)/2))</f>
        <v>78.22</v>
      </c>
      <c r="BC383" s="204">
        <f>MAX(BC14:BC379)</f>
        <v>105.90988</v>
      </c>
      <c r="BD383" s="493"/>
      <c r="BE383" s="502">
        <f t="array" ref="BE383">MAX(IF(BD15:BD379="",BE15:BE379,(BE15:BE379)/2))</f>
        <v>48.6</v>
      </c>
      <c r="BF383" s="494">
        <f>MAX(BF14:BF379)</f>
        <v>107.2602</v>
      </c>
      <c r="BG383" s="508"/>
      <c r="BH383" s="512"/>
      <c r="BI383" s="510"/>
      <c r="BJ383" s="510"/>
      <c r="BK383" s="511"/>
    </row>
    <row r="384" spans="1:63" ht="15.75" customHeight="1">
      <c r="A384" s="479" t="s">
        <v>102</v>
      </c>
      <c r="B384" s="429">
        <f t="shared" ref="B384:C384" si="34">COUNTIF(B14:B379,"&gt;0")</f>
        <v>270</v>
      </c>
      <c r="C384" s="481">
        <f t="shared" si="34"/>
        <v>285</v>
      </c>
      <c r="D384" s="491"/>
      <c r="E384" s="499"/>
      <c r="F384" s="431">
        <f t="shared" ref="F384:H384" si="35">COUNTIF(F14:F379,"&gt;0")</f>
        <v>285</v>
      </c>
      <c r="G384" s="431">
        <f t="shared" si="35"/>
        <v>285</v>
      </c>
      <c r="H384" s="432">
        <f t="shared" si="35"/>
        <v>263</v>
      </c>
      <c r="I384" s="500"/>
      <c r="J384" s="431">
        <f t="shared" ref="J384:L384" si="36">COUNTIF(J14:J379,"&gt;0")</f>
        <v>285</v>
      </c>
      <c r="K384" s="430">
        <f t="shared" si="36"/>
        <v>285</v>
      </c>
      <c r="L384" s="501">
        <f t="shared" si="36"/>
        <v>263</v>
      </c>
      <c r="M384" s="492"/>
      <c r="N384" s="499"/>
      <c r="O384" s="431">
        <f t="shared" ref="O384:P384" si="37">COUNTIF(O14:O379,"&gt;0")</f>
        <v>281</v>
      </c>
      <c r="P384" s="203">
        <f t="shared" si="37"/>
        <v>259</v>
      </c>
      <c r="Q384" s="500"/>
      <c r="R384" s="499"/>
      <c r="S384" s="431">
        <f t="shared" ref="S384:V384" si="38">COUNTIF(S14:S379,"&gt;0")</f>
        <v>285</v>
      </c>
      <c r="T384" s="432">
        <f t="shared" si="38"/>
        <v>263</v>
      </c>
      <c r="U384" s="212">
        <f t="shared" si="38"/>
        <v>58</v>
      </c>
      <c r="V384" s="203">
        <f t="shared" si="38"/>
        <v>54</v>
      </c>
      <c r="W384" s="429"/>
      <c r="X384" s="214"/>
      <c r="Y384" s="503"/>
      <c r="Z384" s="429"/>
      <c r="AA384" s="214"/>
      <c r="AB384" s="503"/>
      <c r="AC384" s="214"/>
      <c r="AD384" s="431"/>
      <c r="AE384" s="503"/>
      <c r="AF384" s="489"/>
      <c r="AG384" s="431">
        <f t="shared" ref="AG384:AH384" si="39">COUNTIF(AG14:AG379,"&gt;0")</f>
        <v>279</v>
      </c>
      <c r="AH384" s="432">
        <f t="shared" si="39"/>
        <v>255</v>
      </c>
      <c r="AI384" s="504"/>
      <c r="AJ384" s="504"/>
      <c r="AK384" s="504"/>
      <c r="AL384" s="505"/>
      <c r="AM384" s="431">
        <f t="shared" ref="AM384:AN384" si="40">COUNTIF(AM14:AM379,"&gt;0")</f>
        <v>47</v>
      </c>
      <c r="AN384" s="432">
        <f t="shared" si="40"/>
        <v>45</v>
      </c>
      <c r="AO384" s="491"/>
      <c r="AP384" s="431">
        <f t="shared" ref="AP384:AQ384" si="41">COUNTIF(AP14:AP379,"&gt;0")</f>
        <v>51</v>
      </c>
      <c r="AQ384" s="432">
        <f t="shared" si="41"/>
        <v>49</v>
      </c>
      <c r="AR384" s="489"/>
      <c r="AS384" s="431">
        <f t="shared" ref="AS384:AT384" si="42">COUNTIF(AS14:AS379,"&gt;0")</f>
        <v>51</v>
      </c>
      <c r="AT384" s="432">
        <f t="shared" si="42"/>
        <v>49</v>
      </c>
      <c r="AU384" s="506"/>
      <c r="AV384" s="431">
        <f t="shared" ref="AV384:AW384" si="43">COUNTIF(AV14:AV379,"&gt;0")</f>
        <v>51</v>
      </c>
      <c r="AW384" s="432">
        <f t="shared" si="43"/>
        <v>49</v>
      </c>
      <c r="AX384" s="507"/>
      <c r="AY384" s="431">
        <f t="shared" ref="AY384:AZ384" si="44">COUNTIF(AY14:AY379,"&gt;0")</f>
        <v>51</v>
      </c>
      <c r="AZ384" s="204">
        <f t="shared" si="44"/>
        <v>49</v>
      </c>
      <c r="BA384" s="492"/>
      <c r="BB384" s="431">
        <f t="shared" ref="BB384:BC384" si="45">COUNTIF(BB14:BB379,"&gt;0")</f>
        <v>51</v>
      </c>
      <c r="BC384" s="204">
        <f t="shared" si="45"/>
        <v>49</v>
      </c>
      <c r="BD384" s="493"/>
      <c r="BE384" s="513">
        <f t="shared" ref="BE384:BF384" si="46">COUNTIF(BE14:BE379,"&gt;0")</f>
        <v>51</v>
      </c>
      <c r="BF384" s="494">
        <f t="shared" si="46"/>
        <v>49</v>
      </c>
      <c r="BG384" s="514"/>
      <c r="BH384" s="515"/>
      <c r="BI384" s="516"/>
      <c r="BJ384" s="516"/>
      <c r="BK384" s="517"/>
    </row>
    <row r="385" spans="1:63" ht="15.75" customHeight="1">
      <c r="A385" s="518" t="s">
        <v>212</v>
      </c>
      <c r="B385" s="429">
        <f>COUNTIF(B14:B379,"&gt;="&amp;B8)</f>
        <v>81</v>
      </c>
      <c r="C385" s="519"/>
      <c r="D385" s="491"/>
      <c r="E385" s="499"/>
      <c r="F385" s="431">
        <f>COUNTIF(F14:F379,"&gt;=5000")</f>
        <v>0</v>
      </c>
      <c r="G385" s="431">
        <f>COUNTIF(G14:G379,"&gt;="&amp;G8)</f>
        <v>174</v>
      </c>
      <c r="H385" s="520"/>
      <c r="I385" s="500"/>
      <c r="J385" s="499"/>
      <c r="K385" s="430">
        <f>COUNTIF(K14:K379,"&gt;="&amp;K8)</f>
        <v>158</v>
      </c>
      <c r="L385" s="520"/>
      <c r="M385" s="492"/>
      <c r="N385" s="499"/>
      <c r="O385" s="431">
        <f>COUNTIF(O14:O379,"&gt;=4000")</f>
        <v>6</v>
      </c>
      <c r="P385" s="521"/>
      <c r="Q385" s="500"/>
      <c r="R385" s="499"/>
      <c r="S385" s="431">
        <f>COUNTIF(S14:S379,"&gt;="&amp;S8)</f>
        <v>50</v>
      </c>
      <c r="T385" s="517"/>
      <c r="U385" s="212">
        <f t="shared" ref="U385:V385" si="47">COUNTIF(U14:U379,"&gt;=1000")</f>
        <v>0</v>
      </c>
      <c r="V385" s="203">
        <f t="shared" si="47"/>
        <v>0</v>
      </c>
      <c r="W385" s="429"/>
      <c r="X385" s="214"/>
      <c r="Y385" s="503"/>
      <c r="Z385" s="429"/>
      <c r="AA385" s="214"/>
      <c r="AB385" s="503"/>
      <c r="AC385" s="214"/>
      <c r="AD385" s="431"/>
      <c r="AE385" s="503"/>
      <c r="AF385" s="489"/>
      <c r="AG385" s="483"/>
      <c r="AH385" s="520"/>
      <c r="AI385" s="504"/>
      <c r="AJ385" s="504"/>
      <c r="AK385" s="504"/>
      <c r="AL385" s="505"/>
      <c r="AM385" s="431">
        <f>COUNTIF(AM14:AM379,"&gt;="&amp;AL8)</f>
        <v>26</v>
      </c>
      <c r="AN385" s="520"/>
      <c r="AO385" s="491"/>
      <c r="AP385" s="483">
        <f>COUNTIF(AP14:AP379,"&gt;="&amp;AO8)</f>
        <v>35</v>
      </c>
      <c r="AQ385" s="517"/>
      <c r="AR385" s="489"/>
      <c r="AS385" s="483">
        <f>COUNTIF(AS14:AS379,"&gt;="&amp;AR8)</f>
        <v>5</v>
      </c>
      <c r="AT385" s="520"/>
      <c r="AU385" s="506"/>
      <c r="AV385" s="431">
        <f>COUNTIF(AV14:AV379,"&gt;="&amp;AU8)</f>
        <v>5</v>
      </c>
      <c r="AW385" s="517"/>
      <c r="AX385" s="507"/>
      <c r="AY385" s="431">
        <f>COUNTIF(AY14:AY379,"&gt;="&amp;AX8)</f>
        <v>43</v>
      </c>
      <c r="AZ385" s="522"/>
      <c r="BA385" s="523"/>
      <c r="BB385" s="524">
        <f>COUNTIF(BB14:BB379,"&gt;="&amp;BA8)</f>
        <v>2</v>
      </c>
      <c r="BC385" s="525"/>
      <c r="BD385" s="493"/>
      <c r="BE385" s="513">
        <f>COUNTIF(BE14:BE379,"&gt;="&amp;BD8)</f>
        <v>4</v>
      </c>
      <c r="BF385" s="525"/>
      <c r="BG385" s="526"/>
      <c r="BH385" s="515"/>
      <c r="BI385" s="516"/>
      <c r="BJ385" s="527"/>
      <c r="BK385" s="528"/>
    </row>
    <row r="386" spans="1:63" ht="15.75" customHeight="1">
      <c r="A386" s="529" t="s">
        <v>213</v>
      </c>
      <c r="B386" s="530"/>
      <c r="C386" s="519"/>
      <c r="D386" s="491"/>
      <c r="E386" s="499"/>
      <c r="F386" s="516"/>
      <c r="G386" s="516"/>
      <c r="H386" s="520"/>
      <c r="I386" s="500"/>
      <c r="J386" s="499"/>
      <c r="K386" s="531"/>
      <c r="L386" s="520"/>
      <c r="M386" s="492"/>
      <c r="N386" s="499"/>
      <c r="O386" s="516"/>
      <c r="P386" s="521"/>
      <c r="Q386" s="500"/>
      <c r="R386" s="499"/>
      <c r="S386" s="516"/>
      <c r="T386" s="517"/>
      <c r="U386" s="507"/>
      <c r="V386" s="521"/>
      <c r="W386" s="530"/>
      <c r="X386" s="532"/>
      <c r="Y386" s="514"/>
      <c r="Z386" s="530"/>
      <c r="AA386" s="532"/>
      <c r="AB386" s="514"/>
      <c r="AC386" s="532"/>
      <c r="AD386" s="516"/>
      <c r="AE386" s="514"/>
      <c r="AF386" s="506"/>
      <c r="AG386" s="499"/>
      <c r="AH386" s="520"/>
      <c r="AI386" s="532"/>
      <c r="AJ386" s="532"/>
      <c r="AK386" s="532"/>
      <c r="AL386" s="506"/>
      <c r="AM386" s="516"/>
      <c r="AN386" s="520"/>
      <c r="AO386" s="491"/>
      <c r="AP386" s="499"/>
      <c r="AQ386" s="517"/>
      <c r="AR386" s="506"/>
      <c r="AS386" s="499"/>
      <c r="AT386" s="520"/>
      <c r="AU386" s="506"/>
      <c r="AV386" s="516"/>
      <c r="AW386" s="517"/>
      <c r="AX386" s="507"/>
      <c r="AY386" s="516"/>
      <c r="AZ386" s="522"/>
      <c r="BA386" s="523"/>
      <c r="BB386" s="533"/>
      <c r="BC386" s="525"/>
      <c r="BD386" s="493"/>
      <c r="BE386" s="534"/>
      <c r="BF386" s="525"/>
      <c r="BG386" s="535"/>
      <c r="BH386" s="536"/>
      <c r="BI386" s="537"/>
      <c r="BJ386" s="537"/>
      <c r="BK386" s="538"/>
    </row>
    <row r="387" spans="1:63" ht="15.75" customHeight="1">
      <c r="A387" s="539" t="s">
        <v>216</v>
      </c>
      <c r="B387" s="540">
        <f t="shared" ref="B387:C387" si="48">B385/B384</f>
        <v>0.3</v>
      </c>
      <c r="C387" s="541">
        <f t="shared" si="48"/>
        <v>0</v>
      </c>
      <c r="D387" s="542"/>
      <c r="E387" s="543"/>
      <c r="F387" s="543"/>
      <c r="G387" s="544">
        <f>G385/G384</f>
        <v>0.61052631578947369</v>
      </c>
      <c r="H387" s="545"/>
      <c r="I387" s="542"/>
      <c r="J387" s="543"/>
      <c r="K387" s="544">
        <f>K385/K384</f>
        <v>0.55438596491228065</v>
      </c>
      <c r="L387" s="545"/>
      <c r="M387" s="546"/>
      <c r="N387" s="543"/>
      <c r="O387" s="544">
        <f>O385/O384</f>
        <v>2.1352313167259787E-2</v>
      </c>
      <c r="P387" s="547"/>
      <c r="Q387" s="542"/>
      <c r="R387" s="543"/>
      <c r="S387" s="544">
        <f>S385/S384</f>
        <v>0.17543859649122806</v>
      </c>
      <c r="T387" s="545"/>
      <c r="U387" s="548">
        <f>U385/U384</f>
        <v>0</v>
      </c>
      <c r="V387" s="547"/>
      <c r="W387" s="549"/>
      <c r="X387" s="550"/>
      <c r="Y387" s="551"/>
      <c r="Z387" s="549"/>
      <c r="AA387" s="550"/>
      <c r="AB387" s="551"/>
      <c r="AC387" s="550"/>
      <c r="AD387" s="543"/>
      <c r="AE387" s="551"/>
      <c r="AF387" s="542"/>
      <c r="AG387" s="544">
        <f>AG385/AG384</f>
        <v>0</v>
      </c>
      <c r="AH387" s="545"/>
      <c r="AI387" s="550"/>
      <c r="AJ387" s="550"/>
      <c r="AK387" s="550"/>
      <c r="AL387" s="542"/>
      <c r="AM387" s="544">
        <f>AM385/AM384</f>
        <v>0.55319148936170215</v>
      </c>
      <c r="AN387" s="545"/>
      <c r="AO387" s="542"/>
      <c r="AP387" s="544">
        <f>AP385/AP384</f>
        <v>0.68627450980392157</v>
      </c>
      <c r="AQ387" s="545"/>
      <c r="AR387" s="542"/>
      <c r="AS387" s="544">
        <f>AS385/AS384</f>
        <v>9.8039215686274508E-2</v>
      </c>
      <c r="AT387" s="545"/>
      <c r="AU387" s="542"/>
      <c r="AV387" s="544">
        <f>AV385/AV384</f>
        <v>9.8039215686274508E-2</v>
      </c>
      <c r="AW387" s="545"/>
      <c r="AX387" s="546"/>
      <c r="AY387" s="544">
        <f>AY385/AY384</f>
        <v>0.84313725490196079</v>
      </c>
      <c r="AZ387" s="552"/>
      <c r="BA387" s="546"/>
      <c r="BB387" s="544">
        <f>BB385/BB384</f>
        <v>3.9215686274509803E-2</v>
      </c>
      <c r="BC387" s="552"/>
      <c r="BD387" s="546"/>
      <c r="BE387" s="544">
        <f>BE385/BE384</f>
        <v>7.8431372549019607E-2</v>
      </c>
      <c r="BF387" s="552"/>
      <c r="BG387" s="553"/>
      <c r="BH387" s="554"/>
      <c r="BI387" s="555"/>
      <c r="BJ387" s="554"/>
      <c r="BK387" s="556"/>
    </row>
    <row r="388" spans="1:63" ht="15.75" customHeight="1">
      <c r="A388" s="539" t="s">
        <v>104</v>
      </c>
      <c r="B388" s="557"/>
      <c r="C388" s="558"/>
      <c r="D388" s="559"/>
      <c r="E388" s="543"/>
      <c r="F388" s="543"/>
      <c r="G388" s="560">
        <f t="shared" ref="G388:H388" si="49">G380</f>
        <v>2048559.900741613</v>
      </c>
      <c r="H388" s="561">
        <f t="shared" si="49"/>
        <v>1469663.4782087337</v>
      </c>
      <c r="I388" s="542"/>
      <c r="J388" s="543"/>
      <c r="K388" s="560">
        <f t="shared" ref="K388:L388" si="50">K380</f>
        <v>2407305</v>
      </c>
      <c r="L388" s="561">
        <f t="shared" si="50"/>
        <v>1630059.4989999989</v>
      </c>
      <c r="M388" s="546"/>
      <c r="N388" s="543"/>
      <c r="O388" s="562">
        <f t="shared" ref="O388:P388" si="51">O380</f>
        <v>251649</v>
      </c>
      <c r="P388" s="563" t="e">
        <f t="shared" si="51"/>
        <v>#VALUE!</v>
      </c>
      <c r="Q388" s="542"/>
      <c r="R388" s="543"/>
      <c r="S388" s="562">
        <f t="shared" ref="S388:V388" si="52">S380</f>
        <v>85476.900000000023</v>
      </c>
      <c r="T388" s="564" t="e">
        <f t="shared" si="52"/>
        <v>#VALUE!</v>
      </c>
      <c r="U388" s="565">
        <f t="shared" si="52"/>
        <v>5360.65</v>
      </c>
      <c r="V388" s="563">
        <f t="shared" si="52"/>
        <v>3805.06</v>
      </c>
      <c r="W388" s="566"/>
      <c r="X388" s="567"/>
      <c r="Y388" s="568"/>
      <c r="Z388" s="566"/>
      <c r="AA388" s="567"/>
      <c r="AB388" s="568"/>
      <c r="AC388" s="567"/>
      <c r="AD388" s="562"/>
      <c r="AE388" s="568"/>
      <c r="AF388" s="542"/>
      <c r="AG388" s="562">
        <f t="shared" ref="AG388:AH388" si="53">AG380</f>
        <v>1.966999999999993</v>
      </c>
      <c r="AH388" s="564">
        <f t="shared" si="53"/>
        <v>1.3225890000000007</v>
      </c>
      <c r="AI388" s="550"/>
      <c r="AJ388" s="550"/>
      <c r="AK388" s="550"/>
      <c r="AL388" s="542"/>
      <c r="AM388" s="562">
        <f t="shared" ref="AM388:AN388" si="54">AM380</f>
        <v>3787.92</v>
      </c>
      <c r="AN388" s="564">
        <f t="shared" si="54"/>
        <v>18073.657739999999</v>
      </c>
      <c r="AO388" s="542"/>
      <c r="AP388" s="562">
        <f t="shared" ref="AP388:AQ388" si="55">AP380</f>
        <v>8958.5499999999993</v>
      </c>
      <c r="AQ388" s="564">
        <f t="shared" si="55"/>
        <v>46872.371210000012</v>
      </c>
      <c r="AR388" s="542"/>
      <c r="AS388" s="562">
        <f t="shared" ref="AS388:AT388" si="56">AS380</f>
        <v>63.256999999999991</v>
      </c>
      <c r="AT388" s="564">
        <f t="shared" si="56"/>
        <v>285.23663999999997</v>
      </c>
      <c r="AU388" s="542"/>
      <c r="AV388" s="562">
        <f t="shared" ref="AV388:AW388" si="57">AV380</f>
        <v>1146.1999999999998</v>
      </c>
      <c r="AW388" s="564">
        <f t="shared" si="57"/>
        <v>6955.2117100000005</v>
      </c>
      <c r="AX388" s="546"/>
      <c r="AY388" s="562">
        <f t="shared" ref="AY388:AZ388" si="58">AY380</f>
        <v>12624.68</v>
      </c>
      <c r="AZ388" s="569">
        <f t="shared" si="58"/>
        <v>72241.830230000007</v>
      </c>
      <c r="BA388" s="546"/>
      <c r="BB388" s="562">
        <f t="shared" ref="BB388:BC388" si="59">BB380</f>
        <v>193.09399999999997</v>
      </c>
      <c r="BC388" s="569">
        <f t="shared" si="59"/>
        <v>473.21754099999998</v>
      </c>
      <c r="BD388" s="546"/>
      <c r="BE388" s="562">
        <f t="shared" ref="BE388:BF388" si="60">BE380</f>
        <v>54.284999999999997</v>
      </c>
      <c r="BF388" s="569">
        <f t="shared" si="60"/>
        <v>139.72383299999993</v>
      </c>
      <c r="BG388" s="12"/>
      <c r="BI388" s="15"/>
      <c r="BJ388" s="12"/>
      <c r="BK388" s="12"/>
    </row>
    <row r="389" spans="1:63" ht="15.75" customHeight="1">
      <c r="A389" s="539" t="s">
        <v>106</v>
      </c>
      <c r="B389" s="571"/>
      <c r="C389" s="572"/>
      <c r="D389" s="573"/>
      <c r="E389" s="574"/>
      <c r="F389" s="574"/>
      <c r="G389" s="575">
        <f t="shared" ref="G389:H389" si="61">G388*1000</f>
        <v>2048559900.7416129</v>
      </c>
      <c r="H389" s="576">
        <f t="shared" si="61"/>
        <v>1469663478.2087338</v>
      </c>
      <c r="I389" s="573"/>
      <c r="J389" s="574"/>
      <c r="K389" s="575">
        <f t="shared" ref="K389:L389" si="62">K388*1000</f>
        <v>2407305000</v>
      </c>
      <c r="L389" s="576">
        <f t="shared" si="62"/>
        <v>1630059498.9999988</v>
      </c>
      <c r="M389" s="577"/>
      <c r="N389" s="578"/>
      <c r="O389" s="579">
        <f t="shared" ref="O389:P389" si="63">O388*1000</f>
        <v>251649000</v>
      </c>
      <c r="P389" s="580" t="e">
        <f t="shared" si="63"/>
        <v>#VALUE!</v>
      </c>
      <c r="Q389" s="573"/>
      <c r="R389" s="574"/>
      <c r="S389" s="581">
        <f t="shared" ref="S389:V389" si="64">S388*1000</f>
        <v>85476900.00000003</v>
      </c>
      <c r="T389" s="582" t="e">
        <f t="shared" si="64"/>
        <v>#VALUE!</v>
      </c>
      <c r="U389" s="583">
        <f t="shared" si="64"/>
        <v>5360650</v>
      </c>
      <c r="V389" s="580">
        <f t="shared" si="64"/>
        <v>3805060</v>
      </c>
      <c r="W389" s="584"/>
      <c r="X389" s="585"/>
      <c r="Y389" s="586"/>
      <c r="Z389" s="584"/>
      <c r="AA389" s="585"/>
      <c r="AB389" s="586"/>
      <c r="AC389" s="585"/>
      <c r="AD389" s="581"/>
      <c r="AE389" s="586"/>
      <c r="AF389" s="573"/>
      <c r="AG389" s="581">
        <f t="shared" ref="AG389:AH389" si="65">AG388*1000</f>
        <v>1966.999999999993</v>
      </c>
      <c r="AH389" s="582">
        <f t="shared" si="65"/>
        <v>1322.5890000000006</v>
      </c>
      <c r="AI389" s="587"/>
      <c r="AJ389" s="587"/>
      <c r="AK389" s="587"/>
      <c r="AL389" s="573"/>
      <c r="AM389" s="581">
        <f t="shared" ref="AM389:AN389" si="66">AM388*1000</f>
        <v>3787920</v>
      </c>
      <c r="AN389" s="582">
        <f t="shared" si="66"/>
        <v>18073657.739999998</v>
      </c>
      <c r="AO389" s="573"/>
      <c r="AP389" s="581">
        <f t="shared" ref="AP389:AQ389" si="67">AP388*1000</f>
        <v>8958550</v>
      </c>
      <c r="AQ389" s="582">
        <f t="shared" si="67"/>
        <v>46872371.210000008</v>
      </c>
      <c r="AR389" s="573"/>
      <c r="AS389" s="581">
        <f t="shared" ref="AS389:AT389" si="68">AS388*1000</f>
        <v>63256.999999999993</v>
      </c>
      <c r="AT389" s="582">
        <f t="shared" si="68"/>
        <v>285236.63999999996</v>
      </c>
      <c r="AU389" s="573"/>
      <c r="AV389" s="581">
        <f t="shared" ref="AV389:AW389" si="69">AV388*1000</f>
        <v>1146199.9999999998</v>
      </c>
      <c r="AW389" s="582">
        <f t="shared" si="69"/>
        <v>6955211.7100000009</v>
      </c>
      <c r="AX389" s="577"/>
      <c r="AY389" s="579">
        <f t="shared" ref="AY389:AZ389" si="70">AY388*1000</f>
        <v>12624680</v>
      </c>
      <c r="AZ389" s="588">
        <f t="shared" si="70"/>
        <v>72241830.230000004</v>
      </c>
      <c r="BA389" s="577"/>
      <c r="BB389" s="579">
        <f t="shared" ref="BB389:BC389" si="71">BB388*1000</f>
        <v>193093.99999999997</v>
      </c>
      <c r="BC389" s="588">
        <f t="shared" si="71"/>
        <v>473217.54099999997</v>
      </c>
      <c r="BD389" s="577"/>
      <c r="BE389" s="579">
        <f t="shared" ref="BE389:BF389" si="72">BE388*1000</f>
        <v>54285</v>
      </c>
      <c r="BF389" s="588">
        <f t="shared" si="72"/>
        <v>139723.83299999993</v>
      </c>
      <c r="BG389" s="12"/>
      <c r="BI389" s="15"/>
      <c r="BJ389" s="12"/>
      <c r="BK389" s="12"/>
    </row>
    <row r="390" spans="1:63" ht="15.75" customHeight="1">
      <c r="A390" s="589"/>
      <c r="B390" s="590"/>
      <c r="C390" s="590"/>
      <c r="D390" s="590"/>
      <c r="E390" s="590"/>
      <c r="F390" s="590"/>
      <c r="G390" s="591"/>
      <c r="H390" s="591"/>
      <c r="I390" s="590"/>
      <c r="J390" s="590"/>
      <c r="K390" s="591"/>
      <c r="L390" s="591"/>
      <c r="M390" s="590"/>
      <c r="N390" s="590"/>
      <c r="O390" s="591"/>
      <c r="P390" s="591"/>
      <c r="Q390" s="590"/>
      <c r="R390" s="590"/>
      <c r="S390" s="591"/>
      <c r="T390" s="591"/>
      <c r="U390" s="591"/>
      <c r="V390" s="591"/>
      <c r="W390" s="591"/>
      <c r="X390" s="591"/>
      <c r="Y390" s="591"/>
      <c r="Z390" s="591"/>
      <c r="AA390" s="591"/>
      <c r="AB390" s="591"/>
      <c r="AC390" s="591"/>
      <c r="AD390" s="591"/>
      <c r="AE390" s="591"/>
      <c r="AF390" s="590"/>
      <c r="AG390" s="591"/>
      <c r="AH390" s="591"/>
      <c r="AI390" s="590"/>
      <c r="AJ390" s="590"/>
      <c r="AK390" s="590"/>
      <c r="AL390" s="590"/>
      <c r="AM390" s="591"/>
      <c r="AN390" s="591"/>
      <c r="AO390" s="590"/>
      <c r="AP390" s="591"/>
      <c r="AQ390" s="591"/>
      <c r="AR390" s="590"/>
      <c r="AS390" s="591"/>
      <c r="AT390" s="591"/>
      <c r="AU390" s="590"/>
      <c r="AV390" s="591"/>
      <c r="AW390" s="591"/>
      <c r="AX390" s="590"/>
      <c r="AY390" s="591"/>
      <c r="AZ390" s="591"/>
      <c r="BA390" s="590"/>
      <c r="BB390" s="591"/>
      <c r="BC390" s="591"/>
      <c r="BD390" s="590"/>
      <c r="BE390" s="591"/>
      <c r="BF390" s="591"/>
      <c r="BG390" s="12"/>
      <c r="BI390" s="15"/>
      <c r="BJ390" s="12"/>
      <c r="BK390" s="12"/>
    </row>
  </sheetData>
  <mergeCells count="151">
    <mergeCell ref="AD13:AE13"/>
    <mergeCell ref="AF13:AH13"/>
    <mergeCell ref="AI13:AK13"/>
    <mergeCell ref="AL13:AN13"/>
    <mergeCell ref="AO13:AQ13"/>
    <mergeCell ref="AR13:AT13"/>
    <mergeCell ref="AU13:AW13"/>
    <mergeCell ref="D13:H13"/>
    <mergeCell ref="I13:L13"/>
    <mergeCell ref="M13:P13"/>
    <mergeCell ref="Q13:T13"/>
    <mergeCell ref="U13:V13"/>
    <mergeCell ref="W13:Y13"/>
    <mergeCell ref="Z13:AB13"/>
    <mergeCell ref="AC10:AE10"/>
    <mergeCell ref="AF10:AH10"/>
    <mergeCell ref="AI10:AK10"/>
    <mergeCell ref="AL10:AN10"/>
    <mergeCell ref="AO10:AQ10"/>
    <mergeCell ref="AR10:AT10"/>
    <mergeCell ref="AU10:AW10"/>
    <mergeCell ref="D10:H10"/>
    <mergeCell ref="I10:L10"/>
    <mergeCell ref="M10:P10"/>
    <mergeCell ref="Q10:T10"/>
    <mergeCell ref="U10:V10"/>
    <mergeCell ref="W10:Y10"/>
    <mergeCell ref="Z10:AB10"/>
    <mergeCell ref="AR9:AS9"/>
    <mergeCell ref="AU9:AV9"/>
    <mergeCell ref="W9:Y9"/>
    <mergeCell ref="Z9:AB9"/>
    <mergeCell ref="AC9:AE9"/>
    <mergeCell ref="AF9:AG9"/>
    <mergeCell ref="AI9:AJ9"/>
    <mergeCell ref="AL9:AM9"/>
    <mergeCell ref="AO9:AP9"/>
    <mergeCell ref="AR8:AS8"/>
    <mergeCell ref="AU8:AV8"/>
    <mergeCell ref="W8:Y8"/>
    <mergeCell ref="Z8:AA8"/>
    <mergeCell ref="AC8:AD8"/>
    <mergeCell ref="AF8:AG8"/>
    <mergeCell ref="AI8:AJ8"/>
    <mergeCell ref="AL8:AM8"/>
    <mergeCell ref="AO8:AP8"/>
    <mergeCell ref="AC12:AE12"/>
    <mergeCell ref="AF12:AH12"/>
    <mergeCell ref="AI12:AK12"/>
    <mergeCell ref="AL12:AN12"/>
    <mergeCell ref="AO12:AQ12"/>
    <mergeCell ref="AR12:AT12"/>
    <mergeCell ref="AU12:AW12"/>
    <mergeCell ref="D12:H12"/>
    <mergeCell ref="I12:L12"/>
    <mergeCell ref="M12:P12"/>
    <mergeCell ref="Q12:T12"/>
    <mergeCell ref="U12:V12"/>
    <mergeCell ref="W12:Y12"/>
    <mergeCell ref="Z12:AB12"/>
    <mergeCell ref="BH7:BH12"/>
    <mergeCell ref="BD10:BF10"/>
    <mergeCell ref="BI7:BI12"/>
    <mergeCell ref="BJ7:BJ12"/>
    <mergeCell ref="BK7:BK12"/>
    <mergeCell ref="BA7:BB7"/>
    <mergeCell ref="BA8:BB8"/>
    <mergeCell ref="AX8:AY8"/>
    <mergeCell ref="AX9:AY9"/>
    <mergeCell ref="BD8:BE8"/>
    <mergeCell ref="BD9:BE9"/>
    <mergeCell ref="AX10:AZ10"/>
    <mergeCell ref="BA10:BC10"/>
    <mergeCell ref="BA11:BC11"/>
    <mergeCell ref="BD11:BF11"/>
    <mergeCell ref="AX12:AZ12"/>
    <mergeCell ref="BA12:BC12"/>
    <mergeCell ref="BA9:BB9"/>
    <mergeCell ref="AX11:AZ11"/>
    <mergeCell ref="BD12:BF12"/>
    <mergeCell ref="AX13:AZ13"/>
    <mergeCell ref="BA13:BC13"/>
    <mergeCell ref="BD13:BF13"/>
    <mergeCell ref="AX5:AZ5"/>
    <mergeCell ref="BA5:BC5"/>
    <mergeCell ref="BG5:BG13"/>
    <mergeCell ref="AX7:AY7"/>
    <mergeCell ref="BD7:BE7"/>
    <mergeCell ref="AC11:AE11"/>
    <mergeCell ref="AF11:AH11"/>
    <mergeCell ref="AI11:AK11"/>
    <mergeCell ref="AL11:AN11"/>
    <mergeCell ref="AO11:AQ11"/>
    <mergeCell ref="AR11:AT11"/>
    <mergeCell ref="AU11:AW11"/>
    <mergeCell ref="D11:H11"/>
    <mergeCell ref="I11:L11"/>
    <mergeCell ref="M11:P11"/>
    <mergeCell ref="Q11:T11"/>
    <mergeCell ref="U11:V11"/>
    <mergeCell ref="W11:Y11"/>
    <mergeCell ref="Z11:AB11"/>
    <mergeCell ref="AL7:AM7"/>
    <mergeCell ref="AO7:AP7"/>
    <mergeCell ref="AR7:AS7"/>
    <mergeCell ref="AU7:AV7"/>
    <mergeCell ref="U5:V5"/>
    <mergeCell ref="W5:Y5"/>
    <mergeCell ref="W7:X7"/>
    <mergeCell ref="Z7:AA7"/>
    <mergeCell ref="AC7:AD7"/>
    <mergeCell ref="AF7:AG7"/>
    <mergeCell ref="AI7:AJ7"/>
    <mergeCell ref="BD6:BF6"/>
    <mergeCell ref="BJ6:BK6"/>
    <mergeCell ref="W6:Y6"/>
    <mergeCell ref="Z6:AB6"/>
    <mergeCell ref="AC6:AE6"/>
    <mergeCell ref="AF6:AH6"/>
    <mergeCell ref="AI6:AK6"/>
    <mergeCell ref="AL6:AN6"/>
    <mergeCell ref="AO6:AQ6"/>
    <mergeCell ref="D6:H6"/>
    <mergeCell ref="I6:L6"/>
    <mergeCell ref="M6:P6"/>
    <mergeCell ref="Q6:T6"/>
    <mergeCell ref="U6:V6"/>
    <mergeCell ref="AR6:AT6"/>
    <mergeCell ref="AU6:AW6"/>
    <mergeCell ref="AX6:AZ6"/>
    <mergeCell ref="BA6:BC6"/>
    <mergeCell ref="C2:H2"/>
    <mergeCell ref="J2:N2"/>
    <mergeCell ref="C3:I3"/>
    <mergeCell ref="BJ4:BK4"/>
    <mergeCell ref="D5:H5"/>
    <mergeCell ref="I5:L5"/>
    <mergeCell ref="BD5:BF5"/>
    <mergeCell ref="BJ5:BK5"/>
    <mergeCell ref="M5:P5"/>
    <mergeCell ref="Q5:T5"/>
    <mergeCell ref="Z5:AB5"/>
    <mergeCell ref="AC5:AE5"/>
    <mergeCell ref="AF5:AH5"/>
    <mergeCell ref="AI5:AK5"/>
    <mergeCell ref="AL5:AN5"/>
    <mergeCell ref="AO5:AQ5"/>
    <mergeCell ref="AR5:AT5"/>
    <mergeCell ref="AU5:AW5"/>
    <mergeCell ref="BH4:BI4"/>
    <mergeCell ref="BH5:BI5"/>
  </mergeCells>
  <conditionalFormatting sqref="G14:G379">
    <cfRule type="cellIs" dxfId="74" priority="1" operator="greaterThanOrEqual">
      <formula>$G$9</formula>
    </cfRule>
  </conditionalFormatting>
  <conditionalFormatting sqref="K14:K379">
    <cfRule type="cellIs" dxfId="73" priority="2" operator="greaterThanOrEqual">
      <formula>$K$9</formula>
    </cfRule>
  </conditionalFormatting>
  <conditionalFormatting sqref="S14:S379">
    <cfRule type="cellIs" dxfId="72" priority="3" operator="greaterThanOrEqual">
      <formula>$S$9</formula>
    </cfRule>
  </conditionalFormatting>
  <conditionalFormatting sqref="AI14:AM379">
    <cfRule type="cellIs" dxfId="71" priority="4" operator="greaterThanOrEqual">
      <formula>$AL$9</formula>
    </cfRule>
  </conditionalFormatting>
  <conditionalFormatting sqref="AO14:AP379">
    <cfRule type="cellIs" dxfId="70" priority="5" operator="greaterThanOrEqual">
      <formula>$AO$9</formula>
    </cfRule>
  </conditionalFormatting>
  <conditionalFormatting sqref="AR14:AS379">
    <cfRule type="cellIs" dxfId="69" priority="6" operator="greaterThanOrEqual">
      <formula>$AR$9</formula>
    </cfRule>
  </conditionalFormatting>
  <conditionalFormatting sqref="AU14:AV379">
    <cfRule type="cellIs" dxfId="68" priority="7" operator="greaterThanOrEqual">
      <formula>$AU$9</formula>
    </cfRule>
  </conditionalFormatting>
  <conditionalFormatting sqref="AX14:AY379">
    <cfRule type="cellIs" dxfId="67" priority="8" operator="greaterThanOrEqual">
      <formula>$AX$9</formula>
    </cfRule>
  </conditionalFormatting>
  <conditionalFormatting sqref="BA14:BB379">
    <cfRule type="cellIs" dxfId="66" priority="9" operator="greaterThanOrEqual">
      <formula>$BA$9</formula>
    </cfRule>
  </conditionalFormatting>
  <conditionalFormatting sqref="BD14:BE379">
    <cfRule type="cellIs" dxfId="65" priority="10" operator="greaterThanOrEqual">
      <formula>$BD$9</formula>
    </cfRule>
  </conditionalFormatting>
  <conditionalFormatting sqref="B14:B379">
    <cfRule type="cellIs" dxfId="64" priority="11" operator="greaterThanOrEqual">
      <formula>$B$9</formula>
    </cfRule>
  </conditionalFormatting>
  <conditionalFormatting sqref="H14:H379">
    <cfRule type="cellIs" dxfId="63" priority="12" operator="equal">
      <formula>0</formula>
    </cfRule>
  </conditionalFormatting>
  <conditionalFormatting sqref="L14:L379">
    <cfRule type="cellIs" dxfId="62" priority="13" operator="equal">
      <formula>0</formula>
    </cfRule>
  </conditionalFormatting>
  <conditionalFormatting sqref="P14:P379">
    <cfRule type="cellIs" dxfId="61" priority="14" operator="equal">
      <formula>0</formula>
    </cfRule>
  </conditionalFormatting>
  <conditionalFormatting sqref="T14:T379">
    <cfRule type="cellIs" dxfId="60" priority="15" operator="equal">
      <formula>0</formula>
    </cfRule>
  </conditionalFormatting>
  <conditionalFormatting sqref="B14:B379">
    <cfRule type="cellIs" dxfId="59" priority="16" operator="between">
      <formula>$B$8</formula>
      <formula>$B$9</formula>
    </cfRule>
  </conditionalFormatting>
  <conditionalFormatting sqref="C14:C379">
    <cfRule type="cellIs" dxfId="58" priority="17" operator="between">
      <formula>$C$8</formula>
      <formula>$C$9</formula>
    </cfRule>
  </conditionalFormatting>
  <conditionalFormatting sqref="C14:C379">
    <cfRule type="cellIs" dxfId="57" priority="18" operator="greaterThanOrEqual">
      <formula>$C$9</formula>
    </cfRule>
  </conditionalFormatting>
  <conditionalFormatting sqref="G14:G379">
    <cfRule type="cellIs" dxfId="56" priority="19" operator="between">
      <formula>$G$8</formula>
      <formula>$G$9</formula>
    </cfRule>
  </conditionalFormatting>
  <conditionalFormatting sqref="K14:K379">
    <cfRule type="cellIs" dxfId="55" priority="20" operator="between">
      <formula>$K$8</formula>
      <formula>$K$9</formula>
    </cfRule>
  </conditionalFormatting>
  <conditionalFormatting sqref="O14:O379">
    <cfRule type="cellIs" dxfId="54" priority="21" operator="between">
      <formula>$O$8</formula>
      <formula>$O$9</formula>
    </cfRule>
  </conditionalFormatting>
  <conditionalFormatting sqref="O14:O379">
    <cfRule type="cellIs" dxfId="53" priority="22" operator="greaterThanOrEqual">
      <formula>$O$9</formula>
    </cfRule>
  </conditionalFormatting>
  <conditionalFormatting sqref="S14:S379">
    <cfRule type="cellIs" dxfId="52" priority="23" operator="between">
      <formula>$S$8</formula>
      <formula>$S$9</formula>
    </cfRule>
  </conditionalFormatting>
  <conditionalFormatting sqref="U14:U379 V14:W14 Y14:AC14">
    <cfRule type="cellIs" dxfId="51" priority="24" operator="between">
      <formula>$U$8</formula>
      <formula>$U$9</formula>
    </cfRule>
  </conditionalFormatting>
  <conditionalFormatting sqref="U14:U379 V14:W14 Y14:AC14">
    <cfRule type="cellIs" dxfId="50" priority="25" operator="greaterThanOrEqual">
      <formula>$U$9</formula>
    </cfRule>
  </conditionalFormatting>
  <conditionalFormatting sqref="AG14:AG379">
    <cfRule type="cellIs" dxfId="49" priority="26" operator="between">
      <formula>$AF$8</formula>
      <formula>$AF$9</formula>
    </cfRule>
  </conditionalFormatting>
  <conditionalFormatting sqref="AG14:AG379">
    <cfRule type="cellIs" dxfId="48" priority="27" operator="greaterThanOrEqual">
      <formula>$AF$9</formula>
    </cfRule>
  </conditionalFormatting>
  <conditionalFormatting sqref="AM14:AM379">
    <cfRule type="cellIs" dxfId="47" priority="28" operator="between">
      <formula>$AL$8</formula>
      <formula>$AL$9</formula>
    </cfRule>
  </conditionalFormatting>
  <conditionalFormatting sqref="AP14:AP379">
    <cfRule type="cellIs" dxfId="46" priority="29" operator="between">
      <formula>$AO$8</formula>
      <formula>$AO$9</formula>
    </cfRule>
  </conditionalFormatting>
  <conditionalFormatting sqref="AS14:AS379">
    <cfRule type="cellIs" dxfId="45" priority="30" operator="between">
      <formula>$AR$8</formula>
      <formula>$AR$9</formula>
    </cfRule>
  </conditionalFormatting>
  <conditionalFormatting sqref="AV14:AV379">
    <cfRule type="cellIs" dxfId="44" priority="31" operator="between">
      <formula>$AU$8</formula>
      <formula>$AU$9</formula>
    </cfRule>
  </conditionalFormatting>
  <conditionalFormatting sqref="AY14:AY379">
    <cfRule type="cellIs" dxfId="43" priority="32" operator="between">
      <formula>$AX$8</formula>
      <formula>$AX$9</formula>
    </cfRule>
  </conditionalFormatting>
  <conditionalFormatting sqref="BB14:BB379">
    <cfRule type="cellIs" dxfId="42" priority="33" operator="between">
      <formula>$BA$8</formula>
      <formula>$BA$9</formula>
    </cfRule>
  </conditionalFormatting>
  <conditionalFormatting sqref="BE14:BE379">
    <cfRule type="cellIs" dxfId="41" priority="34" operator="between">
      <formula>$BD$8</formula>
      <formula>$BD$9</formula>
    </cfRule>
  </conditionalFormatting>
  <conditionalFormatting sqref="AH14:AH379">
    <cfRule type="cellIs" dxfId="40" priority="35" operator="equal">
      <formula>0</formula>
    </cfRule>
  </conditionalFormatting>
  <conditionalFormatting sqref="O14:O379">
    <cfRule type="cellIs" dxfId="39" priority="36" operator="greaterThan">
      <formula>K14:K379</formula>
    </cfRule>
  </conditionalFormatting>
  <pageMargins left="0.7" right="0.7" top="0.75" bottom="0.75" header="0" footer="0"/>
  <pageSetup paperSize="9" orientation="portrait"/>
  <legacy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2D69B"/>
  </sheetPr>
  <dimension ref="A1:BL404"/>
  <sheetViews>
    <sheetView showGridLines="0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B14" sqref="B14"/>
    </sheetView>
  </sheetViews>
  <sheetFormatPr baseColWidth="10" defaultColWidth="12.625" defaultRowHeight="15" customHeight="1" outlineLevelRow="1"/>
  <cols>
    <col min="1" max="1" width="27" customWidth="1"/>
    <col min="2" max="2" width="11.5" customWidth="1"/>
    <col min="3" max="3" width="8.5" customWidth="1"/>
    <col min="4" max="4" width="8.25" customWidth="1"/>
    <col min="5" max="5" width="12.5" customWidth="1"/>
    <col min="6" max="6" width="11.375" customWidth="1"/>
    <col min="7" max="7" width="8" customWidth="1"/>
    <col min="8" max="10" width="7.125" customWidth="1"/>
    <col min="11" max="11" width="5.625" customWidth="1"/>
    <col min="12" max="12" width="8.25" customWidth="1"/>
    <col min="13" max="14" width="7.125" customWidth="1"/>
    <col min="15" max="15" width="9.125" customWidth="1"/>
    <col min="16" max="16" width="7.125" customWidth="1"/>
    <col min="17" max="17" width="2.875" customWidth="1"/>
    <col min="18" max="19" width="7.125" customWidth="1"/>
    <col min="20" max="20" width="3" customWidth="1"/>
    <col min="21" max="22" width="7.125" customWidth="1"/>
    <col min="23" max="23" width="3.625" customWidth="1"/>
    <col min="24" max="25" width="7.125" customWidth="1"/>
    <col min="26" max="26" width="4.375" customWidth="1"/>
    <col min="27" max="27" width="7.75" customWidth="1"/>
    <col min="28" max="28" width="7.125" customWidth="1"/>
    <col min="29" max="29" width="3.125" customWidth="1"/>
    <col min="30" max="31" width="7.875" customWidth="1"/>
    <col min="32" max="32" width="3.125" customWidth="1"/>
    <col min="33" max="34" width="7.125" customWidth="1"/>
    <col min="35" max="35" width="3.75" customWidth="1"/>
    <col min="36" max="37" width="7.125" customWidth="1"/>
    <col min="38" max="38" width="3.25" customWidth="1"/>
    <col min="39" max="40" width="7.125" customWidth="1"/>
    <col min="41" max="41" width="3.25" customWidth="1"/>
    <col min="42" max="43" width="7.125" customWidth="1"/>
    <col min="44" max="44" width="2.875" customWidth="1"/>
    <col min="45" max="46" width="7.125" customWidth="1"/>
    <col min="47" max="47" width="3.75" customWidth="1"/>
    <col min="48" max="48" width="6.875" customWidth="1"/>
    <col min="49" max="49" width="7.25" customWidth="1"/>
    <col min="50" max="50" width="3.5" customWidth="1"/>
    <col min="51" max="51" width="7.125" customWidth="1"/>
    <col min="52" max="52" width="8.5" customWidth="1"/>
    <col min="53" max="53" width="11.5" customWidth="1"/>
    <col min="54" max="54" width="10.5" customWidth="1"/>
    <col min="55" max="55" width="10.625" customWidth="1"/>
    <col min="56" max="56" width="6.5" customWidth="1"/>
    <col min="57" max="57" width="10.25" customWidth="1"/>
    <col min="58" max="58" width="9.5" customWidth="1"/>
    <col min="59" max="59" width="10.875" customWidth="1"/>
    <col min="60" max="60" width="10.25" customWidth="1"/>
    <col min="61" max="64" width="31.375" customWidth="1"/>
  </cols>
  <sheetData>
    <row r="1" spans="1:64" ht="28.5" customHeight="1">
      <c r="A1" s="1" t="s">
        <v>0</v>
      </c>
      <c r="B1" s="1462" t="s">
        <v>110</v>
      </c>
      <c r="C1" s="1410"/>
      <c r="D1" s="1410"/>
      <c r="E1" s="1410"/>
      <c r="F1" s="1410"/>
      <c r="G1" s="1410"/>
      <c r="H1" s="1410"/>
      <c r="I1" s="216" t="s">
        <v>1</v>
      </c>
      <c r="J1" s="10" t="s">
        <v>111</v>
      </c>
      <c r="K1" s="4"/>
      <c r="L1" s="4"/>
      <c r="M1" s="4"/>
      <c r="N1" s="5"/>
      <c r="O1" s="5"/>
      <c r="P1" s="6"/>
      <c r="Q1" s="7"/>
      <c r="R1" s="7"/>
      <c r="S1" s="7"/>
      <c r="T1" s="7"/>
      <c r="U1" s="7"/>
      <c r="V1" s="7"/>
      <c r="W1" s="7"/>
      <c r="X1" s="7"/>
      <c r="Y1" s="7"/>
      <c r="Z1" s="7"/>
      <c r="AA1" s="8"/>
      <c r="AB1" s="6"/>
      <c r="AC1" s="12"/>
      <c r="AD1" s="12"/>
      <c r="AE1" s="12"/>
      <c r="AF1" s="12"/>
      <c r="AG1" s="2"/>
      <c r="AH1" s="12"/>
      <c r="AI1" s="12"/>
      <c r="AJ1" s="2"/>
      <c r="AK1" s="2"/>
      <c r="AL1" s="13"/>
      <c r="AM1" s="12"/>
      <c r="AN1" s="14"/>
      <c r="AO1" s="14"/>
      <c r="AP1" s="2"/>
      <c r="AQ1" s="13"/>
      <c r="AR1" s="12"/>
      <c r="AS1" s="2"/>
      <c r="AT1" s="14"/>
      <c r="AU1" s="14"/>
      <c r="AV1" s="12"/>
      <c r="AW1" s="12"/>
      <c r="AX1" s="13"/>
      <c r="AY1" s="12"/>
      <c r="AZ1" s="2"/>
      <c r="BA1" s="2"/>
      <c r="BB1" s="2"/>
      <c r="BC1" s="2"/>
      <c r="BD1" s="2"/>
      <c r="BE1" s="217"/>
      <c r="BG1" s="14"/>
      <c r="BH1" s="12"/>
      <c r="BI1" s="2"/>
      <c r="BJ1" s="2"/>
      <c r="BK1" s="2"/>
      <c r="BL1" s="2"/>
    </row>
    <row r="2" spans="1:64" ht="22.5" customHeight="1">
      <c r="A2" s="17"/>
      <c r="B2" s="17"/>
      <c r="E2" s="17"/>
      <c r="F2" s="17"/>
      <c r="G2" s="218"/>
      <c r="H2" s="17"/>
      <c r="I2" s="9" t="s">
        <v>1</v>
      </c>
      <c r="J2" s="219" t="s">
        <v>112</v>
      </c>
      <c r="K2" s="220"/>
      <c r="L2" s="17"/>
      <c r="M2" s="17"/>
      <c r="N2" s="5"/>
      <c r="O2" s="5"/>
      <c r="P2" s="6"/>
      <c r="Q2" s="7"/>
      <c r="R2" s="7"/>
      <c r="S2" s="7"/>
      <c r="T2" s="7"/>
      <c r="U2" s="7"/>
      <c r="V2" s="1416" t="s">
        <v>6</v>
      </c>
      <c r="W2" s="1410"/>
      <c r="X2" s="1410"/>
      <c r="Y2" s="1410"/>
      <c r="Z2" s="1410"/>
      <c r="AA2" s="1410"/>
      <c r="AB2" s="1410"/>
      <c r="AC2" s="1410"/>
      <c r="AD2" s="1410"/>
      <c r="AE2" s="12"/>
      <c r="AF2" s="12"/>
      <c r="AG2" s="2"/>
      <c r="AH2" s="12"/>
      <c r="AI2" s="12"/>
      <c r="AJ2" s="2"/>
      <c r="AK2" s="2"/>
      <c r="AL2" s="13"/>
      <c r="AM2" s="12"/>
      <c r="AN2" s="14"/>
      <c r="AO2" s="14"/>
      <c r="AP2" s="2"/>
      <c r="AQ2" s="13"/>
      <c r="AR2" s="12"/>
      <c r="AS2" s="2"/>
      <c r="AT2" s="14"/>
      <c r="AU2" s="14"/>
      <c r="AV2" s="12"/>
      <c r="AW2" s="12"/>
      <c r="AX2" s="13"/>
      <c r="AY2" s="12"/>
      <c r="AZ2" s="2"/>
      <c r="BA2" s="2"/>
      <c r="BB2" s="2"/>
      <c r="BC2" s="2"/>
      <c r="BD2" s="2"/>
      <c r="BE2" s="217"/>
      <c r="BF2" s="2"/>
      <c r="BG2" s="14"/>
      <c r="BH2" s="12"/>
      <c r="BI2" s="2"/>
      <c r="BJ2" s="2"/>
      <c r="BK2" s="2"/>
      <c r="BL2" s="2"/>
    </row>
    <row r="3" spans="1:64" ht="21.75" customHeight="1">
      <c r="A3" s="2"/>
      <c r="B3" s="221"/>
      <c r="E3" s="2"/>
      <c r="F3" s="11"/>
      <c r="G3" s="11"/>
      <c r="H3" s="11"/>
      <c r="I3" s="20" t="s">
        <v>1</v>
      </c>
      <c r="J3" s="10" t="s">
        <v>7</v>
      </c>
      <c r="K3" s="23"/>
      <c r="L3" s="11"/>
      <c r="M3" s="2"/>
      <c r="N3" s="2"/>
      <c r="O3" s="2"/>
      <c r="P3" s="11"/>
      <c r="Q3" s="23"/>
      <c r="R3" s="23"/>
      <c r="S3" s="23"/>
      <c r="T3" s="23"/>
      <c r="U3" s="23"/>
      <c r="V3" s="23"/>
      <c r="W3" s="23"/>
      <c r="X3" s="23"/>
      <c r="Y3" s="23"/>
      <c r="Z3" s="23"/>
      <c r="AA3" s="11"/>
      <c r="AB3" s="24"/>
      <c r="AC3" s="11"/>
      <c r="AD3" s="11"/>
      <c r="AE3" s="11"/>
      <c r="AF3" s="11"/>
      <c r="AG3" s="14"/>
      <c r="AH3" s="12"/>
      <c r="AI3" s="12"/>
      <c r="AJ3" s="2"/>
      <c r="AK3" s="2"/>
      <c r="AL3" s="13"/>
      <c r="AM3" s="25"/>
      <c r="AN3" s="26"/>
      <c r="AO3" s="26"/>
      <c r="AP3" s="27"/>
      <c r="AQ3" s="28"/>
      <c r="AR3" s="25"/>
      <c r="AS3" s="27"/>
      <c r="AT3" s="26"/>
      <c r="AU3" s="26"/>
      <c r="AV3" s="25"/>
      <c r="AW3" s="25"/>
      <c r="AX3" s="28"/>
      <c r="AY3" s="25"/>
      <c r="AZ3" s="27"/>
      <c r="BA3" s="27"/>
      <c r="BB3" s="27"/>
      <c r="BC3" s="27"/>
      <c r="BD3" s="27"/>
      <c r="BE3" s="217"/>
      <c r="BF3" s="27"/>
      <c r="BG3" s="26"/>
      <c r="BH3" s="12"/>
      <c r="BI3" s="27"/>
      <c r="BJ3" s="27"/>
      <c r="BK3" s="27"/>
      <c r="BL3" s="27"/>
    </row>
    <row r="4" spans="1:64" ht="18" customHeight="1">
      <c r="A4" s="222" t="s">
        <v>114</v>
      </c>
      <c r="B4" s="223"/>
      <c r="C4" s="224"/>
      <c r="D4" s="223"/>
      <c r="E4" s="223"/>
      <c r="F4" s="223"/>
      <c r="G4" s="224"/>
      <c r="H4" s="224"/>
      <c r="I4" s="225"/>
      <c r="J4" s="226"/>
      <c r="K4" s="225"/>
      <c r="L4" s="224"/>
      <c r="M4" s="225"/>
      <c r="N4" s="224"/>
      <c r="O4" s="223"/>
      <c r="P4" s="226"/>
      <c r="Q4" s="225"/>
      <c r="R4" s="225"/>
      <c r="S4" s="225"/>
      <c r="T4" s="225"/>
      <c r="U4" s="225"/>
      <c r="V4" s="225"/>
      <c r="W4" s="225"/>
      <c r="X4" s="225"/>
      <c r="Y4" s="225"/>
      <c r="Z4" s="225"/>
      <c r="AA4" s="223"/>
      <c r="AB4" s="227"/>
      <c r="AC4" s="224"/>
      <c r="AD4" s="224"/>
      <c r="AE4" s="224"/>
      <c r="AF4" s="224"/>
      <c r="AG4" s="224"/>
      <c r="AH4" s="224"/>
      <c r="AI4" s="224"/>
      <c r="AJ4" s="224"/>
      <c r="AK4" s="224"/>
      <c r="AL4" s="223"/>
      <c r="AM4" s="224"/>
      <c r="AN4" s="224"/>
      <c r="AO4" s="224"/>
      <c r="AP4" s="224"/>
      <c r="AQ4" s="227"/>
      <c r="AR4" s="223"/>
      <c r="AS4" s="224"/>
      <c r="AT4" s="224"/>
      <c r="AU4" s="223"/>
      <c r="AV4" s="224"/>
      <c r="AW4" s="227"/>
      <c r="AX4" s="223"/>
      <c r="AY4" s="224"/>
      <c r="AZ4" s="227"/>
      <c r="BA4" s="228"/>
      <c r="BB4" s="228"/>
      <c r="BC4" s="228"/>
      <c r="BD4" s="229"/>
      <c r="BE4" s="229"/>
      <c r="BF4" s="228"/>
      <c r="BG4" s="229"/>
      <c r="BH4" s="228"/>
      <c r="BI4" s="1463" t="s">
        <v>29</v>
      </c>
      <c r="BJ4" s="1464"/>
      <c r="BK4" s="1465" t="s">
        <v>27</v>
      </c>
      <c r="BL4" s="1464"/>
    </row>
    <row r="5" spans="1:64" ht="21.75" customHeight="1">
      <c r="A5" s="230" t="s">
        <v>117</v>
      </c>
      <c r="B5" s="231" t="s">
        <v>32</v>
      </c>
      <c r="C5" s="232" t="s">
        <v>33</v>
      </c>
      <c r="D5" s="1466" t="s">
        <v>34</v>
      </c>
      <c r="E5" s="1467"/>
      <c r="F5" s="1467"/>
      <c r="G5" s="1467"/>
      <c r="H5" s="1468"/>
      <c r="I5" s="1469" t="s">
        <v>35</v>
      </c>
      <c r="J5" s="1468"/>
      <c r="K5" s="1466" t="s">
        <v>37</v>
      </c>
      <c r="L5" s="1467"/>
      <c r="M5" s="1467"/>
      <c r="N5" s="1468"/>
      <c r="O5" s="1466" t="s">
        <v>38</v>
      </c>
      <c r="P5" s="1468"/>
      <c r="Q5" s="1470" t="s">
        <v>39</v>
      </c>
      <c r="R5" s="1467"/>
      <c r="S5" s="1468"/>
      <c r="T5" s="1470" t="s">
        <v>40</v>
      </c>
      <c r="U5" s="1467"/>
      <c r="V5" s="1468"/>
      <c r="W5" s="1470" t="s">
        <v>118</v>
      </c>
      <c r="X5" s="1467"/>
      <c r="Y5" s="1468"/>
      <c r="Z5" s="1507" t="s">
        <v>42</v>
      </c>
      <c r="AA5" s="1467"/>
      <c r="AB5" s="1468"/>
      <c r="AC5" s="1507" t="s">
        <v>13</v>
      </c>
      <c r="AD5" s="1467"/>
      <c r="AE5" s="1468"/>
      <c r="AF5" s="1470" t="s">
        <v>43</v>
      </c>
      <c r="AG5" s="1467"/>
      <c r="AH5" s="1468"/>
      <c r="AI5" s="1491" t="s">
        <v>44</v>
      </c>
      <c r="AJ5" s="1467"/>
      <c r="AK5" s="1468"/>
      <c r="AL5" s="1491" t="s">
        <v>45</v>
      </c>
      <c r="AM5" s="1467"/>
      <c r="AN5" s="1468"/>
      <c r="AO5" s="1491" t="s">
        <v>46</v>
      </c>
      <c r="AP5" s="1467"/>
      <c r="AQ5" s="1468"/>
      <c r="AR5" s="1491" t="s">
        <v>47</v>
      </c>
      <c r="AS5" s="1467"/>
      <c r="AT5" s="1468"/>
      <c r="AU5" s="1470" t="s">
        <v>48</v>
      </c>
      <c r="AV5" s="1467"/>
      <c r="AW5" s="1468"/>
      <c r="AX5" s="1500" t="s">
        <v>49</v>
      </c>
      <c r="AY5" s="1467"/>
      <c r="AZ5" s="1468"/>
      <c r="BA5" s="1460" t="s">
        <v>119</v>
      </c>
      <c r="BB5" s="1413"/>
      <c r="BC5" s="1414"/>
      <c r="BD5" s="234" t="s">
        <v>120</v>
      </c>
      <c r="BE5" s="1460" t="s">
        <v>121</v>
      </c>
      <c r="BF5" s="1413"/>
      <c r="BG5" s="1413"/>
      <c r="BH5" s="1414"/>
      <c r="BI5" s="1461" t="s">
        <v>51</v>
      </c>
      <c r="BJ5" s="1414"/>
      <c r="BK5" s="1461" t="s">
        <v>51</v>
      </c>
      <c r="BL5" s="1414"/>
    </row>
    <row r="6" spans="1:64" ht="22.5" customHeight="1">
      <c r="A6" s="235" t="s">
        <v>123</v>
      </c>
      <c r="B6" s="236"/>
      <c r="C6" s="237"/>
      <c r="D6" s="236"/>
      <c r="E6" s="236"/>
      <c r="F6" s="236"/>
      <c r="G6" s="236"/>
      <c r="H6" s="237"/>
      <c r="I6" s="236"/>
      <c r="J6" s="237"/>
      <c r="K6" s="236"/>
      <c r="L6" s="236"/>
      <c r="M6" s="236"/>
      <c r="N6" s="237"/>
      <c r="O6" s="236"/>
      <c r="P6" s="237"/>
      <c r="Q6" s="236"/>
      <c r="R6" s="236"/>
      <c r="S6" s="237"/>
      <c r="T6" s="236"/>
      <c r="U6" s="236"/>
      <c r="V6" s="237"/>
      <c r="W6" s="236"/>
      <c r="X6" s="236"/>
      <c r="Y6" s="237"/>
      <c r="Z6" s="236"/>
      <c r="AA6" s="236"/>
      <c r="AB6" s="237"/>
      <c r="AC6" s="236"/>
      <c r="AD6" s="236"/>
      <c r="AE6" s="237"/>
      <c r="AF6" s="236"/>
      <c r="AG6" s="236"/>
      <c r="AH6" s="237"/>
      <c r="AI6" s="236"/>
      <c r="AJ6" s="236"/>
      <c r="AK6" s="237"/>
      <c r="AL6" s="236"/>
      <c r="AM6" s="236"/>
      <c r="AN6" s="237"/>
      <c r="AO6" s="236"/>
      <c r="AP6" s="236"/>
      <c r="AQ6" s="237"/>
      <c r="AR6" s="236"/>
      <c r="AS6" s="236"/>
      <c r="AT6" s="237"/>
      <c r="AU6" s="236"/>
      <c r="AV6" s="236"/>
      <c r="AW6" s="237"/>
      <c r="AX6" s="236"/>
      <c r="AY6" s="236"/>
      <c r="AZ6" s="237"/>
      <c r="BA6" s="236"/>
      <c r="BB6" s="236"/>
      <c r="BC6" s="236"/>
      <c r="BD6" s="237"/>
      <c r="BE6" s="236"/>
      <c r="BF6" s="236"/>
      <c r="BG6" s="236"/>
      <c r="BH6" s="237"/>
      <c r="BI6" s="236"/>
      <c r="BJ6" s="237"/>
      <c r="BK6" s="236"/>
      <c r="BL6" s="236"/>
    </row>
    <row r="7" spans="1:64" ht="21" customHeight="1">
      <c r="A7" s="238" t="s">
        <v>26</v>
      </c>
      <c r="B7" s="231" t="s">
        <v>53</v>
      </c>
      <c r="C7" s="239"/>
      <c r="D7" s="240" t="s">
        <v>54</v>
      </c>
      <c r="E7" s="240" t="s">
        <v>55</v>
      </c>
      <c r="F7" s="240" t="s">
        <v>56</v>
      </c>
      <c r="G7" s="240" t="s">
        <v>57</v>
      </c>
      <c r="H7" s="232" t="s">
        <v>31</v>
      </c>
      <c r="I7" s="241" t="s">
        <v>59</v>
      </c>
      <c r="J7" s="242" t="s">
        <v>31</v>
      </c>
      <c r="K7" s="241" t="s">
        <v>58</v>
      </c>
      <c r="L7" s="240" t="s">
        <v>59</v>
      </c>
      <c r="M7" s="241" t="s">
        <v>57</v>
      </c>
      <c r="N7" s="232" t="s">
        <v>31</v>
      </c>
      <c r="O7" s="240" t="s">
        <v>57</v>
      </c>
      <c r="P7" s="242" t="s">
        <v>124</v>
      </c>
      <c r="Q7" s="1471" t="s">
        <v>28</v>
      </c>
      <c r="R7" s="1468"/>
      <c r="S7" s="243" t="s">
        <v>31</v>
      </c>
      <c r="T7" s="1471" t="s">
        <v>28</v>
      </c>
      <c r="U7" s="1468"/>
      <c r="V7" s="243" t="s">
        <v>31</v>
      </c>
      <c r="W7" s="1471" t="s">
        <v>28</v>
      </c>
      <c r="X7" s="1468"/>
      <c r="Y7" s="243" t="s">
        <v>31</v>
      </c>
      <c r="Z7" s="1471" t="s">
        <v>28</v>
      </c>
      <c r="AA7" s="1468"/>
      <c r="AB7" s="243" t="s">
        <v>31</v>
      </c>
      <c r="AC7" s="1471" t="s">
        <v>28</v>
      </c>
      <c r="AD7" s="1468"/>
      <c r="AE7" s="244" t="s">
        <v>61</v>
      </c>
      <c r="AF7" s="1460" t="s">
        <v>28</v>
      </c>
      <c r="AG7" s="1511"/>
      <c r="AH7" s="240" t="s">
        <v>61</v>
      </c>
      <c r="AI7" s="1460" t="s">
        <v>28</v>
      </c>
      <c r="AJ7" s="1511"/>
      <c r="AK7" s="240" t="s">
        <v>61</v>
      </c>
      <c r="AL7" s="1460" t="s">
        <v>28</v>
      </c>
      <c r="AM7" s="1511"/>
      <c r="AN7" s="240" t="s">
        <v>61</v>
      </c>
      <c r="AO7" s="1460" t="s">
        <v>28</v>
      </c>
      <c r="AP7" s="1511"/>
      <c r="AQ7" s="243" t="s">
        <v>61</v>
      </c>
      <c r="AR7" s="1460" t="s">
        <v>28</v>
      </c>
      <c r="AS7" s="1511"/>
      <c r="AT7" s="240" t="s">
        <v>61</v>
      </c>
      <c r="AU7" s="1512" t="s">
        <v>28</v>
      </c>
      <c r="AV7" s="1511"/>
      <c r="AW7" s="243" t="s">
        <v>61</v>
      </c>
      <c r="AX7" s="1512" t="s">
        <v>28</v>
      </c>
      <c r="AY7" s="1511"/>
      <c r="AZ7" s="245" t="s">
        <v>61</v>
      </c>
      <c r="BA7" s="234" t="s">
        <v>126</v>
      </c>
      <c r="BB7" s="234" t="s">
        <v>127</v>
      </c>
      <c r="BC7" s="234" t="s">
        <v>128</v>
      </c>
      <c r="BD7" s="246"/>
      <c r="BE7" s="1513" t="s">
        <v>129</v>
      </c>
      <c r="BF7" s="1413"/>
      <c r="BG7" s="1413"/>
      <c r="BH7" s="1414"/>
      <c r="BI7" s="1501" t="s">
        <v>63</v>
      </c>
      <c r="BJ7" s="1501" t="s">
        <v>64</v>
      </c>
      <c r="BK7" s="1503" t="s">
        <v>63</v>
      </c>
      <c r="BL7" s="1506" t="s">
        <v>64</v>
      </c>
    </row>
    <row r="8" spans="1:64" ht="26.25" customHeight="1">
      <c r="A8" s="247" t="s">
        <v>130</v>
      </c>
      <c r="B8" s="248">
        <f>Parametres!T20</f>
        <v>1000</v>
      </c>
      <c r="C8" s="249"/>
      <c r="D8" s="250"/>
      <c r="E8" s="250"/>
      <c r="F8" s="250"/>
      <c r="G8" s="251">
        <f>Parametres!T32</f>
        <v>55</v>
      </c>
      <c r="H8" s="249"/>
      <c r="I8" s="252">
        <f>Parametres!T18</f>
        <v>2000</v>
      </c>
      <c r="J8" s="253"/>
      <c r="K8" s="254"/>
      <c r="L8" s="250"/>
      <c r="M8" s="251">
        <f>Parametres!T43</f>
        <v>20</v>
      </c>
      <c r="N8" s="249"/>
      <c r="O8" s="255">
        <f>Parametres!T39</f>
        <v>100000000</v>
      </c>
      <c r="P8" s="253"/>
      <c r="Q8" s="1480">
        <f>Parametres!T36</f>
        <v>100000000</v>
      </c>
      <c r="R8" s="1476"/>
      <c r="S8" s="256"/>
      <c r="T8" s="1480">
        <f>Parametres!T37</f>
        <v>100000000</v>
      </c>
      <c r="U8" s="1476"/>
      <c r="V8" s="256"/>
      <c r="W8" s="1475">
        <f>Parametres!T33</f>
        <v>150</v>
      </c>
      <c r="X8" s="1476"/>
      <c r="Y8" s="256"/>
      <c r="Z8" s="1472">
        <f>Parametres!T12</f>
        <v>0.1</v>
      </c>
      <c r="AA8" s="1473"/>
      <c r="AB8" s="257"/>
      <c r="AC8" s="1472">
        <f>Parametres!T13</f>
        <v>0.08</v>
      </c>
      <c r="AD8" s="1473"/>
      <c r="AE8" s="257"/>
      <c r="AF8" s="1492">
        <f>Parametres!T5</f>
        <v>3</v>
      </c>
      <c r="AG8" s="1493"/>
      <c r="AH8" s="259"/>
      <c r="AI8" s="1492">
        <f>Parametres!T24</f>
        <v>1.6</v>
      </c>
      <c r="AJ8" s="1493"/>
      <c r="AK8" s="259"/>
      <c r="AL8" s="1492">
        <f>Parametres!T14</f>
        <v>0.12</v>
      </c>
      <c r="AM8" s="1493"/>
      <c r="AN8" s="259"/>
      <c r="AO8" s="1492">
        <f>Parametres!T30</f>
        <v>0.8</v>
      </c>
      <c r="AP8" s="1493"/>
      <c r="AQ8" s="257"/>
      <c r="AR8" s="1492">
        <f>Parametres!T52</f>
        <v>0.64</v>
      </c>
      <c r="AS8" s="1493"/>
      <c r="AT8" s="259"/>
      <c r="AU8" s="1492">
        <f>Parametres!T35</f>
        <v>0.16</v>
      </c>
      <c r="AV8" s="1493"/>
      <c r="AW8" s="257"/>
      <c r="AX8" s="1492">
        <f>Parametres!T42</f>
        <v>0.08</v>
      </c>
      <c r="AY8" s="1493"/>
      <c r="AZ8" s="257"/>
      <c r="BA8" s="260"/>
      <c r="BB8" s="260"/>
      <c r="BC8" s="261"/>
      <c r="BD8" s="262"/>
      <c r="BE8" s="263" t="s">
        <v>133</v>
      </c>
      <c r="BF8" s="264" t="s">
        <v>134</v>
      </c>
      <c r="BG8" s="258" t="s">
        <v>135</v>
      </c>
      <c r="BH8" s="265" t="s">
        <v>136</v>
      </c>
      <c r="BI8" s="1502"/>
      <c r="BJ8" s="1502"/>
      <c r="BK8" s="1504"/>
      <c r="BL8" s="1502"/>
    </row>
    <row r="9" spans="1:64" ht="29.25" customHeight="1">
      <c r="A9" s="266" t="s">
        <v>137</v>
      </c>
      <c r="B9" s="267">
        <f>Parametres!U20</f>
        <v>2000</v>
      </c>
      <c r="C9" s="239"/>
      <c r="D9" s="268"/>
      <c r="E9" s="268"/>
      <c r="F9" s="268"/>
      <c r="G9" s="269">
        <f>Parametres!U32</f>
        <v>110</v>
      </c>
      <c r="H9" s="239"/>
      <c r="I9" s="270">
        <f>Parametres!U18</f>
        <v>4000</v>
      </c>
      <c r="J9" s="271"/>
      <c r="K9" s="233"/>
      <c r="L9" s="233"/>
      <c r="M9" s="269">
        <f>Parametres!U43</f>
        <v>40</v>
      </c>
      <c r="N9" s="239"/>
      <c r="O9" s="272">
        <f>Parametres!U39</f>
        <v>200000000</v>
      </c>
      <c r="P9" s="271"/>
      <c r="Q9" s="1481">
        <f>Parametres!U36</f>
        <v>200000000</v>
      </c>
      <c r="R9" s="1431"/>
      <c r="S9" s="273"/>
      <c r="T9" s="1481">
        <f>Parametres!U37</f>
        <v>200000000</v>
      </c>
      <c r="U9" s="1431"/>
      <c r="V9" s="273"/>
      <c r="W9" s="1482">
        <f>Parametres!U33</f>
        <v>300</v>
      </c>
      <c r="X9" s="1431"/>
      <c r="Y9" s="273"/>
      <c r="Z9" s="1474">
        <f>Parametres!U12</f>
        <v>0.2</v>
      </c>
      <c r="AA9" s="1468"/>
      <c r="AB9" s="274"/>
      <c r="AC9" s="1474">
        <f>Parametres!U13</f>
        <v>0.16</v>
      </c>
      <c r="AD9" s="1468"/>
      <c r="AE9" s="274"/>
      <c r="AF9" s="1494">
        <f>Parametres!U5</f>
        <v>6</v>
      </c>
      <c r="AG9" s="1414"/>
      <c r="AH9" s="275"/>
      <c r="AI9" s="1494">
        <f>Parametres!U24</f>
        <v>3.2</v>
      </c>
      <c r="AJ9" s="1414"/>
      <c r="AK9" s="275"/>
      <c r="AL9" s="1494">
        <f>Parametres!U14</f>
        <v>0.24</v>
      </c>
      <c r="AM9" s="1414"/>
      <c r="AN9" s="275"/>
      <c r="AO9" s="1494">
        <f>Parametres!U30</f>
        <v>1.6</v>
      </c>
      <c r="AP9" s="1414"/>
      <c r="AQ9" s="274"/>
      <c r="AR9" s="1494">
        <f>Parametres!U52</f>
        <v>1.28</v>
      </c>
      <c r="AS9" s="1414"/>
      <c r="AT9" s="275"/>
      <c r="AU9" s="1494">
        <f>Parametres!U35</f>
        <v>0.32</v>
      </c>
      <c r="AV9" s="1414"/>
      <c r="AW9" s="274"/>
      <c r="AX9" s="1494">
        <f>Parametres!U42</f>
        <v>0.16</v>
      </c>
      <c r="AY9" s="1414"/>
      <c r="AZ9" s="274"/>
      <c r="BA9" s="276"/>
      <c r="BB9" s="276"/>
      <c r="BC9" s="277"/>
      <c r="BD9" s="246"/>
      <c r="BE9" s="278"/>
      <c r="BF9" s="279"/>
      <c r="BG9" s="279"/>
      <c r="BH9" s="280"/>
      <c r="BI9" s="1438"/>
      <c r="BJ9" s="1438"/>
      <c r="BK9" s="1505"/>
      <c r="BL9" s="1438"/>
    </row>
    <row r="10" spans="1:64" ht="15.75" customHeight="1">
      <c r="A10" s="281" t="s">
        <v>60</v>
      </c>
      <c r="B10" s="282" t="s">
        <v>69</v>
      </c>
      <c r="C10" s="283" t="s">
        <v>69</v>
      </c>
      <c r="D10" s="1483" t="s">
        <v>69</v>
      </c>
      <c r="E10" s="1479"/>
      <c r="F10" s="1479"/>
      <c r="G10" s="1479"/>
      <c r="H10" s="1473"/>
      <c r="I10" s="1478"/>
      <c r="J10" s="1473"/>
      <c r="K10" s="1483" t="s">
        <v>69</v>
      </c>
      <c r="L10" s="1479"/>
      <c r="M10" s="1479"/>
      <c r="N10" s="1473"/>
      <c r="O10" s="1477" t="s">
        <v>140</v>
      </c>
      <c r="P10" s="1473"/>
      <c r="Q10" s="1478" t="s">
        <v>69</v>
      </c>
      <c r="R10" s="1479"/>
      <c r="S10" s="1473"/>
      <c r="T10" s="1478" t="s">
        <v>69</v>
      </c>
      <c r="U10" s="1479"/>
      <c r="V10" s="1473"/>
      <c r="W10" s="1478" t="s">
        <v>69</v>
      </c>
      <c r="X10" s="1479"/>
      <c r="Y10" s="1473"/>
      <c r="Z10" s="1478" t="s">
        <v>69</v>
      </c>
      <c r="AA10" s="1479"/>
      <c r="AB10" s="1473"/>
      <c r="AC10" s="1478" t="s">
        <v>69</v>
      </c>
      <c r="AD10" s="1479"/>
      <c r="AE10" s="1473"/>
      <c r="AF10" s="1497" t="s">
        <v>140</v>
      </c>
      <c r="AG10" s="1479"/>
      <c r="AH10" s="1473"/>
      <c r="AI10" s="1477" t="s">
        <v>140</v>
      </c>
      <c r="AJ10" s="1479"/>
      <c r="AK10" s="1473"/>
      <c r="AL10" s="1477" t="s">
        <v>140</v>
      </c>
      <c r="AM10" s="1479"/>
      <c r="AN10" s="1473"/>
      <c r="AO10" s="1477" t="s">
        <v>140</v>
      </c>
      <c r="AP10" s="1479"/>
      <c r="AQ10" s="1473"/>
      <c r="AR10" s="1477" t="s">
        <v>140</v>
      </c>
      <c r="AS10" s="1479"/>
      <c r="AT10" s="1473"/>
      <c r="AU10" s="1477" t="s">
        <v>140</v>
      </c>
      <c r="AV10" s="1479"/>
      <c r="AW10" s="1473"/>
      <c r="AX10" s="1477" t="s">
        <v>140</v>
      </c>
      <c r="AY10" s="1479"/>
      <c r="AZ10" s="1473"/>
      <c r="BA10" s="1477" t="s">
        <v>140</v>
      </c>
      <c r="BB10" s="1479"/>
      <c r="BC10" s="1473"/>
      <c r="BD10" s="262"/>
      <c r="BE10" s="284"/>
      <c r="BF10" s="284"/>
      <c r="BG10" s="284"/>
      <c r="BH10" s="285"/>
      <c r="BI10" s="1502"/>
      <c r="BJ10" s="1502"/>
      <c r="BK10" s="1504"/>
      <c r="BL10" s="1502"/>
    </row>
    <row r="11" spans="1:64" ht="16.5" customHeight="1">
      <c r="A11" s="286" t="s">
        <v>62</v>
      </c>
      <c r="B11" s="287" t="s">
        <v>142</v>
      </c>
      <c r="C11" s="288" t="s">
        <v>72</v>
      </c>
      <c r="D11" s="1466" t="s">
        <v>73</v>
      </c>
      <c r="E11" s="1467"/>
      <c r="F11" s="1467"/>
      <c r="G11" s="1467"/>
      <c r="H11" s="1468"/>
      <c r="I11" s="1469"/>
      <c r="J11" s="1468"/>
      <c r="K11" s="1466" t="s">
        <v>73</v>
      </c>
      <c r="L11" s="1467"/>
      <c r="M11" s="1467"/>
      <c r="N11" s="1468"/>
      <c r="O11" s="1466" t="s">
        <v>75</v>
      </c>
      <c r="P11" s="1468"/>
      <c r="Q11" s="1469" t="s">
        <v>75</v>
      </c>
      <c r="R11" s="1467"/>
      <c r="S11" s="1468"/>
      <c r="T11" s="1469" t="s">
        <v>75</v>
      </c>
      <c r="U11" s="1467"/>
      <c r="V11" s="1468"/>
      <c r="W11" s="1469" t="s">
        <v>75</v>
      </c>
      <c r="X11" s="1467"/>
      <c r="Y11" s="1468"/>
      <c r="Z11" s="1469" t="s">
        <v>75</v>
      </c>
      <c r="AA11" s="1467"/>
      <c r="AB11" s="1468"/>
      <c r="AC11" s="1469" t="s">
        <v>75</v>
      </c>
      <c r="AD11" s="1467"/>
      <c r="AE11" s="1468"/>
      <c r="AF11" s="1495" t="s">
        <v>75</v>
      </c>
      <c r="AG11" s="1467"/>
      <c r="AH11" s="1468"/>
      <c r="AI11" s="1496" t="s">
        <v>144</v>
      </c>
      <c r="AJ11" s="1467"/>
      <c r="AK11" s="1468"/>
      <c r="AL11" s="1496" t="s">
        <v>144</v>
      </c>
      <c r="AM11" s="1467"/>
      <c r="AN11" s="1468"/>
      <c r="AO11" s="1496" t="s">
        <v>144</v>
      </c>
      <c r="AP11" s="1467"/>
      <c r="AQ11" s="1468"/>
      <c r="AR11" s="1496" t="s">
        <v>144</v>
      </c>
      <c r="AS11" s="1467"/>
      <c r="AT11" s="1468"/>
      <c r="AU11" s="1496" t="s">
        <v>144</v>
      </c>
      <c r="AV11" s="1467"/>
      <c r="AW11" s="1468"/>
      <c r="AX11" s="1496" t="s">
        <v>144</v>
      </c>
      <c r="AY11" s="1467"/>
      <c r="AZ11" s="1468"/>
      <c r="BA11" s="1496" t="s">
        <v>144</v>
      </c>
      <c r="BB11" s="1467"/>
      <c r="BC11" s="1468"/>
      <c r="BD11" s="246"/>
      <c r="BE11" s="1498" t="s">
        <v>144</v>
      </c>
      <c r="BF11" s="1411"/>
      <c r="BG11" s="1411"/>
      <c r="BH11" s="1412"/>
      <c r="BI11" s="1438"/>
      <c r="BJ11" s="1438"/>
      <c r="BK11" s="1505"/>
      <c r="BL11" s="1438"/>
    </row>
    <row r="12" spans="1:64" ht="19.5" customHeight="1">
      <c r="A12" s="289" t="s">
        <v>66</v>
      </c>
      <c r="B12" s="290"/>
      <c r="C12" s="291" t="s">
        <v>79</v>
      </c>
      <c r="D12" s="1484" t="s">
        <v>80</v>
      </c>
      <c r="E12" s="1485"/>
      <c r="F12" s="1485"/>
      <c r="G12" s="1485"/>
      <c r="H12" s="1486"/>
      <c r="I12" s="1487"/>
      <c r="J12" s="1486"/>
      <c r="K12" s="1484" t="s">
        <v>81</v>
      </c>
      <c r="L12" s="1485"/>
      <c r="M12" s="1485"/>
      <c r="N12" s="1486"/>
      <c r="O12" s="1484" t="s">
        <v>82</v>
      </c>
      <c r="P12" s="1486"/>
      <c r="Q12" s="1488"/>
      <c r="R12" s="1489"/>
      <c r="S12" s="1490"/>
      <c r="T12" s="1488"/>
      <c r="U12" s="1489"/>
      <c r="V12" s="1490"/>
      <c r="W12" s="1488"/>
      <c r="X12" s="1489"/>
      <c r="Y12" s="1490"/>
      <c r="Z12" s="292" t="s">
        <v>85</v>
      </c>
      <c r="AA12" s="293"/>
      <c r="AB12" s="294"/>
      <c r="AC12" s="1508"/>
      <c r="AD12" s="1410"/>
      <c r="AE12" s="1504"/>
      <c r="AF12" s="292" t="s">
        <v>85</v>
      </c>
      <c r="AG12" s="295"/>
      <c r="AH12" s="296"/>
      <c r="AI12" s="1509"/>
      <c r="AJ12" s="1485"/>
      <c r="AK12" s="1486"/>
      <c r="AL12" s="1510"/>
      <c r="AM12" s="1485"/>
      <c r="AN12" s="1486"/>
      <c r="AO12" s="1499"/>
      <c r="AP12" s="1485"/>
      <c r="AQ12" s="1486"/>
      <c r="AR12" s="1484"/>
      <c r="AS12" s="1485"/>
      <c r="AT12" s="1486"/>
      <c r="AU12" s="1484"/>
      <c r="AV12" s="1485"/>
      <c r="AW12" s="1486"/>
      <c r="AX12" s="1484"/>
      <c r="AY12" s="1485"/>
      <c r="AZ12" s="1486"/>
      <c r="BA12" s="297"/>
      <c r="BB12" s="297"/>
      <c r="BC12" s="298"/>
      <c r="BD12" s="299"/>
      <c r="BE12" s="1499"/>
      <c r="BF12" s="1485"/>
      <c r="BG12" s="1485"/>
      <c r="BH12" s="1493"/>
      <c r="BI12" s="1493"/>
      <c r="BJ12" s="1493"/>
      <c r="BK12" s="1486"/>
      <c r="BL12" s="1493"/>
    </row>
    <row r="13" spans="1:64" ht="18.75" customHeight="1">
      <c r="A13" s="300" t="s">
        <v>145</v>
      </c>
      <c r="B13" s="301"/>
      <c r="C13" s="302"/>
      <c r="I13" s="301"/>
      <c r="K13" s="301"/>
      <c r="O13" s="301"/>
      <c r="Q13" s="301"/>
      <c r="T13" s="301"/>
      <c r="W13" s="301"/>
      <c r="Z13" s="301"/>
      <c r="AC13" s="301"/>
      <c r="AF13" s="301"/>
      <c r="AI13" s="301"/>
      <c r="AL13" s="301"/>
      <c r="AO13" s="301"/>
      <c r="AR13" s="301"/>
      <c r="AS13" s="303"/>
      <c r="AU13" s="301"/>
      <c r="AX13" s="301"/>
      <c r="AZ13" s="302"/>
    </row>
    <row r="14" spans="1:64" ht="18.75" customHeight="1" outlineLevel="1">
      <c r="A14" s="304">
        <v>43466</v>
      </c>
      <c r="B14" s="305">
        <f>'Degrémont Entrée'!B14</f>
        <v>0</v>
      </c>
      <c r="C14" s="305"/>
      <c r="D14" s="306"/>
      <c r="E14" s="307"/>
      <c r="F14" s="308"/>
      <c r="G14" s="309">
        <f t="shared" ref="G14:G379" si="0">IF(E14="",,(E14-D14)*1000/F14)</f>
        <v>0</v>
      </c>
      <c r="H14" s="305">
        <f t="shared" ref="H14:H39" si="1">IF(B14="",,B14*G14/1000)</f>
        <v>0</v>
      </c>
      <c r="I14" s="310"/>
      <c r="J14" s="311">
        <f t="shared" ref="J14:J379" si="2">IF(B14="",,I14*B14/1000)</f>
        <v>0</v>
      </c>
      <c r="K14" s="310"/>
      <c r="L14" s="309"/>
      <c r="M14" s="310" t="str">
        <f t="shared" ref="M14:M379" si="3">IF(L14="","",L14*K14)</f>
        <v/>
      </c>
      <c r="N14" s="305" t="e">
        <f t="shared" ref="N14:N379" si="4">IF(B14="",,B14*M14/1000)</f>
        <v>#VALUE!</v>
      </c>
      <c r="O14" s="312"/>
      <c r="P14" s="313"/>
      <c r="Q14" s="314"/>
      <c r="R14" s="315"/>
      <c r="S14" s="316"/>
      <c r="T14" s="314"/>
      <c r="U14" s="315"/>
      <c r="V14" s="316">
        <f t="shared" ref="V14:V379" si="5">IF(B14="","",IF(T14="&lt;",U14/2*B14/1000,U14*B14/1000))</f>
        <v>0</v>
      </c>
      <c r="W14" s="317"/>
      <c r="X14" s="318" t="str">
        <f t="shared" ref="X14:X379" si="6">IF(O14="","",IF(Q14="&lt;",R14/2,R14)+IF(T14="&lt;",U14/2,U14)+O14  )</f>
        <v/>
      </c>
      <c r="Y14" s="319" t="e">
        <f t="shared" ref="Y14:Y379" si="7">IF(B14="","",IF(W14="&lt;",X14/2*B14/1000,X14*B14/1000))</f>
        <v>#VALUE!</v>
      </c>
      <c r="Z14" s="310"/>
      <c r="AA14" s="309"/>
      <c r="AB14" s="320">
        <f t="shared" ref="AB14:AB379" si="8">IF(B14="","",IF(Z14="&lt;",AA14/2*B14/1000,AA14*B14/1000))</f>
        <v>0</v>
      </c>
      <c r="AC14" s="321"/>
      <c r="AD14" s="322"/>
      <c r="AE14" s="323">
        <f t="shared" ref="AE14:AE20" si="9">IF(B14="","",IF(AC14="&lt;",AD14/2*B14/1000,AD14*B14/1000))</f>
        <v>0</v>
      </c>
      <c r="AF14" s="309"/>
      <c r="AG14" s="324"/>
      <c r="AH14" s="305">
        <f t="shared" ref="AH14:AH20" si="10">IF(B14="","",IF(AF14="&lt;",AG14/2*B14/1000,AG14*B14/1000))</f>
        <v>0</v>
      </c>
      <c r="AI14" s="309"/>
      <c r="AJ14" s="325"/>
      <c r="AK14" s="305">
        <f t="shared" ref="AK14:AK379" si="11">IF(B14="","",IF(AI14="&lt;",AJ14/2*B14/1000,AJ14*B14/1000))</f>
        <v>0</v>
      </c>
      <c r="AL14" s="308"/>
      <c r="AM14" s="324"/>
      <c r="AN14" s="305">
        <f t="shared" ref="AN14:AN379" si="12">IF(B14="","",IF(AL14="&lt;",AM14/2*B14/1000,AM14*B14/1000))</f>
        <v>0</v>
      </c>
      <c r="AO14" s="309"/>
      <c r="AP14" s="324"/>
      <c r="AQ14" s="326">
        <f t="shared" ref="AQ14:AQ379" si="13">IF(B14="","",IF(AO14="&lt;",AP14/2*B14/1000,AP14*B14/1000))</f>
        <v>0</v>
      </c>
      <c r="AR14" s="327"/>
      <c r="AS14" s="324"/>
      <c r="AT14" s="305">
        <f t="shared" ref="AT14:AT379" si="14">IF(B14="","",IF(AR14="&lt;",AS14/2*B14/1000,AS14*B14/1000))</f>
        <v>0</v>
      </c>
      <c r="AU14" s="309"/>
      <c r="AV14" s="324"/>
      <c r="AW14" s="326">
        <f t="shared" ref="AW14:AW379" si="15">IF(B14="","",IF(AU14="&lt;",AV14/2*B14/1000,AV14*B14/1000))</f>
        <v>0</v>
      </c>
      <c r="AX14" s="309"/>
      <c r="AY14" s="324"/>
      <c r="AZ14" s="328">
        <f t="shared" ref="AZ14:AZ379" si="16">IF(B14="","",IF(AX14="&lt;",AY14/2*B14/1000,AY14*B14/1000))</f>
        <v>0</v>
      </c>
      <c r="BA14" s="329" t="e">
        <f>IF('Degrémont Entrée'!K14="",,('Degrémont Entrée'!K14-I14)/'Degrémont Entrée'!K14*100)</f>
        <v>#DIV/0!</v>
      </c>
      <c r="BB14" s="329" t="e">
        <f>IF('Degrémont Entrée'!G14="",,('Degrémont Entrée'!G14-G14)/'Degrémont Entrée'!G14*100)</f>
        <v>#DIV/0!</v>
      </c>
      <c r="BC14" s="329">
        <f>IF('Degrémont Entrée'!S14="",,('Degrémont Entrée'!S14-M14)/'Degrémont Entrée'!S14*100)</f>
        <v>0</v>
      </c>
      <c r="BD14" s="330">
        <f ca="1">IFERROR(__xludf.DUMMYFUNCTION("IMPORTRANGE(""https://docs.google.com/spreadsheets/d/1lUmkHeG8j6wfoY3MJfq2UmqufoNF56zS9JAuBmJdBaA/edit#gid=1390518980"",""Chaux et acide!N6:N370"")"),56)</f>
        <v>56</v>
      </c>
      <c r="BE14" s="331"/>
      <c r="BF14" s="332"/>
      <c r="BG14" s="332"/>
      <c r="BH14" s="305">
        <f t="shared" ref="BH14:BH378" si="17">IF(BG14="",,(BG14-BE14)*100/(BF14-BE14))</f>
        <v>0</v>
      </c>
      <c r="BI14" s="333"/>
      <c r="BJ14" s="334"/>
      <c r="BK14" s="335">
        <f>'Degrémont Entrée'!BH14</f>
        <v>0</v>
      </c>
      <c r="BL14" s="336">
        <f>'Degrémont Entrée'!BI14</f>
        <v>0</v>
      </c>
    </row>
    <row r="15" spans="1:64" ht="24" outlineLevel="1">
      <c r="A15" s="337">
        <f t="shared" ref="A15:A379" si="18">A14+1</f>
        <v>43467</v>
      </c>
      <c r="B15" s="338">
        <f>'Degrémont Entrée'!B15</f>
        <v>508</v>
      </c>
      <c r="C15" s="339">
        <v>8.8000000000000007</v>
      </c>
      <c r="D15" s="340">
        <v>88.9</v>
      </c>
      <c r="E15" s="341">
        <v>94.7</v>
      </c>
      <c r="F15" s="342">
        <v>92</v>
      </c>
      <c r="G15" s="329">
        <f t="shared" si="0"/>
        <v>63.043478260869534</v>
      </c>
      <c r="H15" s="338">
        <f t="shared" si="1"/>
        <v>32.026086956521723</v>
      </c>
      <c r="I15" s="343">
        <v>1051</v>
      </c>
      <c r="J15" s="344">
        <f t="shared" si="2"/>
        <v>533.90800000000002</v>
      </c>
      <c r="K15" s="343">
        <v>1</v>
      </c>
      <c r="L15" s="345">
        <v>5.36</v>
      </c>
      <c r="M15" s="346">
        <f t="shared" si="3"/>
        <v>5.36</v>
      </c>
      <c r="N15" s="338">
        <f t="shared" si="4"/>
        <v>2.72288</v>
      </c>
      <c r="O15" s="341"/>
      <c r="P15" s="347">
        <f t="shared" ref="P15:P379" si="19">IF(B15="",,B15*O15/1000)</f>
        <v>0</v>
      </c>
      <c r="Q15" s="348"/>
      <c r="R15" s="318"/>
      <c r="S15" s="349">
        <f t="shared" ref="S15:S379" si="20">IF(B15="","",IF(Q15="&lt;",R15/2*B15/1000,R15*B15/1000))</f>
        <v>0</v>
      </c>
      <c r="T15" s="348"/>
      <c r="U15" s="318"/>
      <c r="V15" s="350">
        <f t="shared" si="5"/>
        <v>0</v>
      </c>
      <c r="W15" s="348"/>
      <c r="X15" s="318" t="str">
        <f t="shared" si="6"/>
        <v/>
      </c>
      <c r="Y15" s="351" t="e">
        <f t="shared" si="7"/>
        <v>#VALUE!</v>
      </c>
      <c r="Z15" s="343" t="s">
        <v>85</v>
      </c>
      <c r="AA15" s="345">
        <v>0.01</v>
      </c>
      <c r="AB15" s="352">
        <f t="shared" si="8"/>
        <v>2.5400000000000002E-3</v>
      </c>
      <c r="AC15" s="353"/>
      <c r="AD15" s="354"/>
      <c r="AE15" s="351">
        <f t="shared" si="9"/>
        <v>0</v>
      </c>
      <c r="AF15" s="329"/>
      <c r="AG15" s="355"/>
      <c r="AH15" s="356">
        <f t="shared" si="10"/>
        <v>0</v>
      </c>
      <c r="AI15" s="329"/>
      <c r="AJ15" s="329"/>
      <c r="AK15" s="356">
        <f t="shared" si="11"/>
        <v>0</v>
      </c>
      <c r="AL15" s="357"/>
      <c r="AM15" s="358"/>
      <c r="AN15" s="356">
        <f t="shared" si="12"/>
        <v>0</v>
      </c>
      <c r="AO15" s="329"/>
      <c r="AP15" s="358"/>
      <c r="AQ15" s="359">
        <f t="shared" si="13"/>
        <v>0</v>
      </c>
      <c r="AR15" s="360"/>
      <c r="AS15" s="358"/>
      <c r="AT15" s="356">
        <f t="shared" si="14"/>
        <v>0</v>
      </c>
      <c r="AU15" s="329"/>
      <c r="AV15" s="355"/>
      <c r="AW15" s="359">
        <f t="shared" si="15"/>
        <v>0</v>
      </c>
      <c r="AX15" s="329"/>
      <c r="AY15" s="358"/>
      <c r="AZ15" s="359">
        <f t="shared" si="16"/>
        <v>0</v>
      </c>
      <c r="BA15" s="329">
        <f>IF('Degrémont Entrée'!K15="",,('Degrémont Entrée'!K15-I15)/'Degrémont Entrée'!K15*100)</f>
        <v>92.850340136054427</v>
      </c>
      <c r="BB15" s="329">
        <f>IF('Degrémont Entrée'!G15="",,('Degrémont Entrée'!G15-G15)/'Degrémont Entrée'!G15*100)</f>
        <v>99.528536736539422</v>
      </c>
      <c r="BC15" s="329">
        <f>IF('Degrémont Entrée'!S15="",,('Degrémont Entrée'!S15-M15)/'Degrémont Entrée'!S15*100)</f>
        <v>98.914979757085021</v>
      </c>
      <c r="BD15" s="361" t="str">
        <f ca="1">IFERROR(__xludf.DUMMYFUNCTION("""COMPUTED_VALUE"""),"#DIV/0!")</f>
        <v>#DIV/0!</v>
      </c>
      <c r="BE15" s="362"/>
      <c r="BF15" s="363"/>
      <c r="BG15" s="363"/>
      <c r="BH15" s="338">
        <f t="shared" si="17"/>
        <v>0</v>
      </c>
      <c r="BI15" s="364" t="s">
        <v>151</v>
      </c>
      <c r="BJ15" s="365"/>
      <c r="BK15" s="366">
        <f>'Degrémont Entrée'!BH15</f>
        <v>0</v>
      </c>
      <c r="BL15" s="367" t="str">
        <f>'Degrémont Entrée'!BI15</f>
        <v>Transfert B04 vers B01 3H48 Décanteur trouble</v>
      </c>
    </row>
    <row r="16" spans="1:64" ht="24" outlineLevel="1">
      <c r="A16" s="337">
        <f t="shared" si="18"/>
        <v>43468</v>
      </c>
      <c r="B16" s="338">
        <f>'Degrémont Entrée'!B16</f>
        <v>693</v>
      </c>
      <c r="C16" s="339">
        <v>9.1</v>
      </c>
      <c r="D16" s="340">
        <v>90.5</v>
      </c>
      <c r="E16" s="341">
        <v>91.6</v>
      </c>
      <c r="F16" s="342">
        <v>97</v>
      </c>
      <c r="G16" s="329">
        <f t="shared" si="0"/>
        <v>11.340206185566952</v>
      </c>
      <c r="H16" s="338">
        <f t="shared" si="1"/>
        <v>7.8587628865978978</v>
      </c>
      <c r="I16" s="343">
        <v>563</v>
      </c>
      <c r="J16" s="344">
        <f t="shared" si="2"/>
        <v>390.15899999999999</v>
      </c>
      <c r="K16" s="343">
        <v>1</v>
      </c>
      <c r="L16" s="345">
        <v>1.21</v>
      </c>
      <c r="M16" s="346">
        <f t="shared" si="3"/>
        <v>1.21</v>
      </c>
      <c r="N16" s="338">
        <f t="shared" si="4"/>
        <v>0.83853</v>
      </c>
      <c r="O16" s="368"/>
      <c r="P16" s="347">
        <f t="shared" si="19"/>
        <v>0</v>
      </c>
      <c r="Q16" s="348"/>
      <c r="R16" s="369"/>
      <c r="S16" s="349">
        <f t="shared" si="20"/>
        <v>0</v>
      </c>
      <c r="T16" s="348"/>
      <c r="U16" s="369"/>
      <c r="V16" s="349">
        <f t="shared" si="5"/>
        <v>0</v>
      </c>
      <c r="W16" s="348"/>
      <c r="X16" s="318" t="str">
        <f t="shared" si="6"/>
        <v/>
      </c>
      <c r="Y16" s="370" t="e">
        <f t="shared" si="7"/>
        <v>#VALUE!</v>
      </c>
      <c r="Z16" s="343" t="s">
        <v>85</v>
      </c>
      <c r="AA16" s="345">
        <v>0.01</v>
      </c>
      <c r="AB16" s="352">
        <f t="shared" si="8"/>
        <v>3.4649999999999998E-3</v>
      </c>
      <c r="AC16" s="353"/>
      <c r="AD16" s="354"/>
      <c r="AE16" s="351">
        <f t="shared" si="9"/>
        <v>0</v>
      </c>
      <c r="AF16" s="329"/>
      <c r="AG16" s="358"/>
      <c r="AH16" s="356">
        <f t="shared" si="10"/>
        <v>0</v>
      </c>
      <c r="AI16" s="329"/>
      <c r="AJ16" s="345"/>
      <c r="AK16" s="356">
        <f t="shared" si="11"/>
        <v>0</v>
      </c>
      <c r="AL16" s="357"/>
      <c r="AM16" s="355"/>
      <c r="AN16" s="356">
        <f t="shared" si="12"/>
        <v>0</v>
      </c>
      <c r="AO16" s="329"/>
      <c r="AP16" s="358"/>
      <c r="AQ16" s="359">
        <f t="shared" si="13"/>
        <v>0</v>
      </c>
      <c r="AR16" s="360"/>
      <c r="AS16" s="355"/>
      <c r="AT16" s="356">
        <f t="shared" si="14"/>
        <v>0</v>
      </c>
      <c r="AU16" s="329"/>
      <c r="AV16" s="358"/>
      <c r="AW16" s="359">
        <f t="shared" si="15"/>
        <v>0</v>
      </c>
      <c r="AX16" s="329"/>
      <c r="AY16" s="355"/>
      <c r="AZ16" s="359">
        <f t="shared" si="16"/>
        <v>0</v>
      </c>
      <c r="BA16" s="329">
        <f>IF('Degrémont Entrée'!K16="",,('Degrémont Entrée'!K16-I16)/'Degrémont Entrée'!K16*100)</f>
        <v>95.63565891472868</v>
      </c>
      <c r="BB16" s="329">
        <f>IF('Degrémont Entrée'!G16="",,('Degrémont Entrée'!G16-G16)/'Degrémont Entrée'!G16*100)</f>
        <v>99.91306485888407</v>
      </c>
      <c r="BC16" s="329">
        <f>IF('Degrémont Entrée'!S16="",,('Degrémont Entrée'!S16-M16)/'Degrémont Entrée'!S16*100)</f>
        <v>99.816666666666663</v>
      </c>
      <c r="BD16" s="361" t="str">
        <f ca="1">IFERROR(__xludf.DUMMYFUNCTION("""COMPUTED_VALUE"""),"#DIV/0!")</f>
        <v>#DIV/0!</v>
      </c>
      <c r="BE16" s="362"/>
      <c r="BF16" s="363"/>
      <c r="BG16" s="363"/>
      <c r="BH16" s="338">
        <f t="shared" si="17"/>
        <v>0</v>
      </c>
      <c r="BI16" s="364"/>
      <c r="BJ16" s="365"/>
      <c r="BK16" s="371">
        <f>'Degrémont Entrée'!BH16</f>
        <v>0</v>
      </c>
      <c r="BL16" s="372" t="str">
        <f>'Degrémont Entrée'!BI16</f>
        <v>Transfert B04 vers B01 3H48 Remontée de boue</v>
      </c>
    </row>
    <row r="17" spans="1:64" ht="14.25" outlineLevel="1">
      <c r="A17" s="337">
        <f t="shared" si="18"/>
        <v>43469</v>
      </c>
      <c r="B17" s="338">
        <f>'Degrémont Entrée'!B17</f>
        <v>997</v>
      </c>
      <c r="C17" s="339">
        <v>8.9</v>
      </c>
      <c r="D17" s="340">
        <v>89.6</v>
      </c>
      <c r="E17" s="341">
        <v>99.3</v>
      </c>
      <c r="F17" s="342">
        <v>102</v>
      </c>
      <c r="G17" s="329">
        <f t="shared" si="0"/>
        <v>95.098039215686313</v>
      </c>
      <c r="H17" s="338">
        <f t="shared" si="1"/>
        <v>94.812745098039258</v>
      </c>
      <c r="I17" s="343">
        <v>653</v>
      </c>
      <c r="J17" s="344">
        <f t="shared" si="2"/>
        <v>651.04100000000005</v>
      </c>
      <c r="K17" s="343">
        <v>1</v>
      </c>
      <c r="L17" s="345">
        <v>3.32</v>
      </c>
      <c r="M17" s="346">
        <f t="shared" si="3"/>
        <v>3.32</v>
      </c>
      <c r="N17" s="338">
        <f t="shared" si="4"/>
        <v>3.3100399999999999</v>
      </c>
      <c r="O17" s="368"/>
      <c r="P17" s="347">
        <f t="shared" si="19"/>
        <v>0</v>
      </c>
      <c r="Q17" s="348"/>
      <c r="R17" s="369"/>
      <c r="S17" s="349">
        <f t="shared" si="20"/>
        <v>0</v>
      </c>
      <c r="T17" s="348"/>
      <c r="U17" s="369"/>
      <c r="V17" s="349">
        <f t="shared" si="5"/>
        <v>0</v>
      </c>
      <c r="W17" s="348"/>
      <c r="X17" s="318" t="str">
        <f t="shared" si="6"/>
        <v/>
      </c>
      <c r="Y17" s="370" t="e">
        <f t="shared" si="7"/>
        <v>#VALUE!</v>
      </c>
      <c r="Z17" s="343" t="s">
        <v>85</v>
      </c>
      <c r="AA17" s="345">
        <v>0.01</v>
      </c>
      <c r="AB17" s="352">
        <f t="shared" si="8"/>
        <v>4.9850000000000007E-3</v>
      </c>
      <c r="AC17" s="353"/>
      <c r="AD17" s="377"/>
      <c r="AE17" s="378">
        <f t="shared" si="9"/>
        <v>0</v>
      </c>
      <c r="AF17" s="329"/>
      <c r="AG17" s="358"/>
      <c r="AH17" s="356">
        <f t="shared" si="10"/>
        <v>0</v>
      </c>
      <c r="AI17" s="329"/>
      <c r="AJ17" s="329"/>
      <c r="AK17" s="356">
        <f t="shared" si="11"/>
        <v>0</v>
      </c>
      <c r="AL17" s="380"/>
      <c r="AM17" s="381"/>
      <c r="AN17" s="356">
        <f t="shared" si="12"/>
        <v>0</v>
      </c>
      <c r="AO17" s="329"/>
      <c r="AP17" s="355"/>
      <c r="AQ17" s="359">
        <f t="shared" si="13"/>
        <v>0</v>
      </c>
      <c r="AR17" s="360"/>
      <c r="AS17" s="358"/>
      <c r="AT17" s="356">
        <f t="shared" si="14"/>
        <v>0</v>
      </c>
      <c r="AU17" s="329"/>
      <c r="AV17" s="358"/>
      <c r="AW17" s="359">
        <f t="shared" si="15"/>
        <v>0</v>
      </c>
      <c r="AX17" s="329"/>
      <c r="AY17" s="358"/>
      <c r="AZ17" s="359">
        <f t="shared" si="16"/>
        <v>0</v>
      </c>
      <c r="BA17" s="329">
        <f>IF('Degrémont Entrée'!K17="",,('Degrémont Entrée'!K17-I17)/'Degrémont Entrée'!K17*100)</f>
        <v>94.370689655172413</v>
      </c>
      <c r="BB17" s="329">
        <f>IF('Degrémont Entrée'!G17="",,('Degrémont Entrée'!G17-G17)/'Degrémont Entrée'!G17*100)</f>
        <v>99.221331427446842</v>
      </c>
      <c r="BC17" s="329">
        <f>IF('Degrémont Entrée'!S17="",,('Degrémont Entrée'!S17-M17)/'Degrémont Entrée'!S17*100)</f>
        <v>99.390825688073377</v>
      </c>
      <c r="BD17" s="361" t="str">
        <f ca="1">IFERROR(__xludf.DUMMYFUNCTION("""COMPUTED_VALUE"""),"#DIV/0!")</f>
        <v>#DIV/0!</v>
      </c>
      <c r="BE17" s="362"/>
      <c r="BF17" s="363"/>
      <c r="BG17" s="363"/>
      <c r="BH17" s="338">
        <f t="shared" si="17"/>
        <v>0</v>
      </c>
      <c r="BI17" s="364" t="s">
        <v>154</v>
      </c>
      <c r="BJ17" s="365"/>
      <c r="BK17" s="366">
        <f>'Degrémont Entrée'!BH17</f>
        <v>0</v>
      </c>
      <c r="BL17" s="367" t="str">
        <f>'Degrémont Entrée'!BI17</f>
        <v>Remontée de boue</v>
      </c>
    </row>
    <row r="18" spans="1:64" ht="14.25" outlineLevel="1">
      <c r="A18" s="337">
        <f t="shared" si="18"/>
        <v>43470</v>
      </c>
      <c r="B18" s="338">
        <f>'Degrémont Entrée'!B18</f>
        <v>648</v>
      </c>
      <c r="C18" s="339">
        <v>8.9</v>
      </c>
      <c r="D18" s="340">
        <v>90.3</v>
      </c>
      <c r="E18" s="341">
        <v>93.7</v>
      </c>
      <c r="F18" s="342">
        <v>96</v>
      </c>
      <c r="G18" s="329">
        <f t="shared" si="0"/>
        <v>35.416666666666721</v>
      </c>
      <c r="H18" s="338">
        <f t="shared" si="1"/>
        <v>22.950000000000035</v>
      </c>
      <c r="I18" s="343">
        <v>870</v>
      </c>
      <c r="J18" s="344">
        <f t="shared" si="2"/>
        <v>563.76</v>
      </c>
      <c r="K18" s="343">
        <v>1</v>
      </c>
      <c r="L18" s="345">
        <v>2.37</v>
      </c>
      <c r="M18" s="346">
        <f t="shared" si="3"/>
        <v>2.37</v>
      </c>
      <c r="N18" s="338">
        <f t="shared" si="4"/>
        <v>1.53576</v>
      </c>
      <c r="O18" s="368"/>
      <c r="P18" s="347">
        <f t="shared" si="19"/>
        <v>0</v>
      </c>
      <c r="Q18" s="348"/>
      <c r="R18" s="369"/>
      <c r="S18" s="349">
        <f t="shared" si="20"/>
        <v>0</v>
      </c>
      <c r="T18" s="348"/>
      <c r="U18" s="369"/>
      <c r="V18" s="349">
        <f t="shared" si="5"/>
        <v>0</v>
      </c>
      <c r="W18" s="348"/>
      <c r="X18" s="318" t="str">
        <f t="shared" si="6"/>
        <v/>
      </c>
      <c r="Y18" s="370" t="e">
        <f t="shared" si="7"/>
        <v>#VALUE!</v>
      </c>
      <c r="Z18" s="343" t="s">
        <v>85</v>
      </c>
      <c r="AA18" s="345">
        <v>0.01</v>
      </c>
      <c r="AB18" s="352">
        <f t="shared" si="8"/>
        <v>3.2400000000000003E-3</v>
      </c>
      <c r="AC18" s="353"/>
      <c r="AD18" s="354"/>
      <c r="AE18" s="378">
        <f t="shared" si="9"/>
        <v>0</v>
      </c>
      <c r="AF18" s="329"/>
      <c r="AG18" s="358"/>
      <c r="AH18" s="356">
        <f t="shared" si="10"/>
        <v>0</v>
      </c>
      <c r="AI18" s="329"/>
      <c r="AJ18" s="329"/>
      <c r="AK18" s="356">
        <f t="shared" si="11"/>
        <v>0</v>
      </c>
      <c r="AL18" s="357"/>
      <c r="AM18" s="358"/>
      <c r="AN18" s="356">
        <f t="shared" si="12"/>
        <v>0</v>
      </c>
      <c r="AO18" s="329"/>
      <c r="AP18" s="358"/>
      <c r="AQ18" s="359">
        <f t="shared" si="13"/>
        <v>0</v>
      </c>
      <c r="AR18" s="360"/>
      <c r="AS18" s="358"/>
      <c r="AT18" s="356">
        <f t="shared" si="14"/>
        <v>0</v>
      </c>
      <c r="AU18" s="329"/>
      <c r="AV18" s="358"/>
      <c r="AW18" s="359">
        <f t="shared" si="15"/>
        <v>0</v>
      </c>
      <c r="AX18" s="329"/>
      <c r="AY18" s="358"/>
      <c r="AZ18" s="359">
        <f t="shared" si="16"/>
        <v>0</v>
      </c>
      <c r="BA18" s="329">
        <f>IF('Degrémont Entrée'!K18="",,('Degrémont Entrée'!K18-I18)/'Degrémont Entrée'!K18*100)</f>
        <v>92.627118644067792</v>
      </c>
      <c r="BB18" s="329">
        <f>IF('Degrémont Entrée'!G18="",,('Degrémont Entrée'!G18-G18)/'Degrémont Entrée'!G18*100)</f>
        <v>99.678030303030312</v>
      </c>
      <c r="BC18" s="329">
        <f>IF('Degrémont Entrée'!S18="",,('Degrémont Entrée'!S18-M18)/'Degrémont Entrée'!S18*100)</f>
        <v>99.539805825242723</v>
      </c>
      <c r="BD18" s="361" t="str">
        <f ca="1">IFERROR(__xludf.DUMMYFUNCTION("""COMPUTED_VALUE"""),"#DIV/0!")</f>
        <v>#DIV/0!</v>
      </c>
      <c r="BE18" s="362"/>
      <c r="BF18" s="363"/>
      <c r="BG18" s="363"/>
      <c r="BH18" s="338">
        <f t="shared" si="17"/>
        <v>0</v>
      </c>
      <c r="BI18" s="364"/>
      <c r="BJ18" s="365"/>
      <c r="BK18" s="371">
        <f>'Degrémont Entrée'!BH18</f>
        <v>0</v>
      </c>
      <c r="BL18" s="372" t="str">
        <f>'Degrémont Entrée'!BI18</f>
        <v>Remontée de boue</v>
      </c>
    </row>
    <row r="19" spans="1:64" ht="14.25" outlineLevel="1">
      <c r="A19" s="337">
        <f t="shared" si="18"/>
        <v>43471</v>
      </c>
      <c r="B19" s="338">
        <f>'Degrémont Entrée'!B19</f>
        <v>455</v>
      </c>
      <c r="C19" s="339">
        <v>9</v>
      </c>
      <c r="D19" s="340">
        <v>87.8</v>
      </c>
      <c r="E19" s="341">
        <v>92.9</v>
      </c>
      <c r="F19" s="342">
        <v>100</v>
      </c>
      <c r="G19" s="329">
        <f t="shared" si="0"/>
        <v>51.000000000000085</v>
      </c>
      <c r="H19" s="338">
        <f t="shared" si="1"/>
        <v>23.205000000000041</v>
      </c>
      <c r="I19" s="343">
        <v>1246</v>
      </c>
      <c r="J19" s="344">
        <f t="shared" si="2"/>
        <v>566.92999999999995</v>
      </c>
      <c r="K19" s="343">
        <v>1</v>
      </c>
      <c r="L19" s="345">
        <v>2.35</v>
      </c>
      <c r="M19" s="346">
        <f t="shared" si="3"/>
        <v>2.35</v>
      </c>
      <c r="N19" s="338">
        <f t="shared" si="4"/>
        <v>1.06925</v>
      </c>
      <c r="O19" s="368"/>
      <c r="P19" s="347">
        <f t="shared" si="19"/>
        <v>0</v>
      </c>
      <c r="Q19" s="348"/>
      <c r="R19" s="369"/>
      <c r="S19" s="349">
        <f t="shared" si="20"/>
        <v>0</v>
      </c>
      <c r="T19" s="348"/>
      <c r="U19" s="369"/>
      <c r="V19" s="349">
        <f t="shared" si="5"/>
        <v>0</v>
      </c>
      <c r="W19" s="348"/>
      <c r="X19" s="318" t="str">
        <f t="shared" si="6"/>
        <v/>
      </c>
      <c r="Y19" s="370" t="e">
        <f t="shared" si="7"/>
        <v>#VALUE!</v>
      </c>
      <c r="Z19" s="343" t="s">
        <v>85</v>
      </c>
      <c r="AA19" s="345">
        <v>0.01</v>
      </c>
      <c r="AB19" s="352">
        <f t="shared" si="8"/>
        <v>2.2750000000000001E-3</v>
      </c>
      <c r="AC19" s="353"/>
      <c r="AD19" s="354"/>
      <c r="AE19" s="378">
        <f t="shared" si="9"/>
        <v>0</v>
      </c>
      <c r="AF19" s="329"/>
      <c r="AG19" s="358"/>
      <c r="AH19" s="356">
        <f t="shared" si="10"/>
        <v>0</v>
      </c>
      <c r="AI19" s="329"/>
      <c r="AJ19" s="329"/>
      <c r="AK19" s="356">
        <f t="shared" si="11"/>
        <v>0</v>
      </c>
      <c r="AL19" s="357"/>
      <c r="AM19" s="358"/>
      <c r="AN19" s="356">
        <f t="shared" si="12"/>
        <v>0</v>
      </c>
      <c r="AO19" s="329"/>
      <c r="AP19" s="358"/>
      <c r="AQ19" s="359">
        <f t="shared" si="13"/>
        <v>0</v>
      </c>
      <c r="AR19" s="360"/>
      <c r="AS19" s="358"/>
      <c r="AT19" s="356">
        <f t="shared" si="14"/>
        <v>0</v>
      </c>
      <c r="AU19" s="329"/>
      <c r="AV19" s="358"/>
      <c r="AW19" s="359">
        <f t="shared" si="15"/>
        <v>0</v>
      </c>
      <c r="AX19" s="329"/>
      <c r="AY19" s="358"/>
      <c r="AZ19" s="359">
        <f t="shared" si="16"/>
        <v>0</v>
      </c>
      <c r="BA19" s="329">
        <f>IF('Degrémont Entrée'!K19="",,('Degrémont Entrée'!K19-I19)/'Degrémont Entrée'!K19*100)</f>
        <v>90.701492537313428</v>
      </c>
      <c r="BB19" s="329">
        <f>IF('Degrémont Entrée'!G19="",,('Degrémont Entrée'!G19-G19)/'Degrémont Entrée'!G19*100)</f>
        <v>99.583358547655067</v>
      </c>
      <c r="BC19" s="329">
        <f>IF('Degrémont Entrée'!S19="",,('Degrémont Entrée'!S19-M19)/'Degrémont Entrée'!S19*100)</f>
        <v>99.587719298245617</v>
      </c>
      <c r="BD19" s="361" t="str">
        <f ca="1">IFERROR(__xludf.DUMMYFUNCTION("""COMPUTED_VALUE"""),"#DIV/0!")</f>
        <v>#DIV/0!</v>
      </c>
      <c r="BE19" s="362"/>
      <c r="BF19" s="363"/>
      <c r="BG19" s="363"/>
      <c r="BH19" s="338">
        <f t="shared" si="17"/>
        <v>0</v>
      </c>
      <c r="BI19" s="364"/>
      <c r="BJ19" s="365"/>
      <c r="BK19" s="366">
        <f>'Degrémont Entrée'!BH19</f>
        <v>0</v>
      </c>
      <c r="BL19" s="367">
        <f>'Degrémont Entrée'!BI19</f>
        <v>0</v>
      </c>
    </row>
    <row r="20" spans="1:64" ht="14.25" outlineLevel="1">
      <c r="A20" s="337">
        <f t="shared" si="18"/>
        <v>43472</v>
      </c>
      <c r="B20" s="338">
        <f>'Degrémont Entrée'!B20</f>
        <v>1052</v>
      </c>
      <c r="C20" s="339">
        <v>8.8000000000000007</v>
      </c>
      <c r="D20" s="340">
        <v>90.9</v>
      </c>
      <c r="E20" s="341">
        <v>93.4</v>
      </c>
      <c r="F20" s="342">
        <v>100</v>
      </c>
      <c r="G20" s="329">
        <f t="shared" si="0"/>
        <v>25</v>
      </c>
      <c r="H20" s="338">
        <f t="shared" si="1"/>
        <v>26.3</v>
      </c>
      <c r="I20" s="343">
        <v>918</v>
      </c>
      <c r="J20" s="344">
        <f t="shared" si="2"/>
        <v>965.73599999999999</v>
      </c>
      <c r="K20" s="343">
        <v>1</v>
      </c>
      <c r="L20" s="345">
        <v>0.99</v>
      </c>
      <c r="M20" s="346">
        <f t="shared" si="3"/>
        <v>0.99</v>
      </c>
      <c r="N20" s="338">
        <f t="shared" si="4"/>
        <v>1.04148</v>
      </c>
      <c r="O20" s="368"/>
      <c r="P20" s="347">
        <f t="shared" si="19"/>
        <v>0</v>
      </c>
      <c r="Q20" s="348"/>
      <c r="R20" s="369"/>
      <c r="S20" s="349">
        <f t="shared" si="20"/>
        <v>0</v>
      </c>
      <c r="T20" s="348"/>
      <c r="U20" s="369"/>
      <c r="V20" s="349">
        <f t="shared" si="5"/>
        <v>0</v>
      </c>
      <c r="W20" s="348"/>
      <c r="X20" s="318" t="str">
        <f t="shared" si="6"/>
        <v/>
      </c>
      <c r="Y20" s="370" t="e">
        <f t="shared" si="7"/>
        <v>#VALUE!</v>
      </c>
      <c r="Z20" s="343" t="s">
        <v>85</v>
      </c>
      <c r="AA20" s="345">
        <v>0.01</v>
      </c>
      <c r="AB20" s="352">
        <f t="shared" si="8"/>
        <v>5.2599999999999999E-3</v>
      </c>
      <c r="AC20" s="353"/>
      <c r="AD20" s="354"/>
      <c r="AE20" s="378">
        <f t="shared" si="9"/>
        <v>0</v>
      </c>
      <c r="AF20" s="329"/>
      <c r="AG20" s="358"/>
      <c r="AH20" s="356">
        <f t="shared" si="10"/>
        <v>0</v>
      </c>
      <c r="AI20" s="329"/>
      <c r="AJ20" s="329"/>
      <c r="AK20" s="356">
        <f t="shared" si="11"/>
        <v>0</v>
      </c>
      <c r="AL20" s="357"/>
      <c r="AM20" s="358"/>
      <c r="AN20" s="356">
        <f t="shared" si="12"/>
        <v>0</v>
      </c>
      <c r="AO20" s="329"/>
      <c r="AP20" s="358"/>
      <c r="AQ20" s="359">
        <f t="shared" si="13"/>
        <v>0</v>
      </c>
      <c r="AR20" s="360"/>
      <c r="AS20" s="358"/>
      <c r="AT20" s="356">
        <f t="shared" si="14"/>
        <v>0</v>
      </c>
      <c r="AU20" s="329"/>
      <c r="AV20" s="358"/>
      <c r="AW20" s="359">
        <f t="shared" si="15"/>
        <v>0</v>
      </c>
      <c r="AX20" s="329"/>
      <c r="AY20" s="358"/>
      <c r="AZ20" s="359">
        <f t="shared" si="16"/>
        <v>0</v>
      </c>
      <c r="BA20" s="329">
        <f>IF('Degrémont Entrée'!K20="",,('Degrémont Entrée'!K20-I20)/'Degrémont Entrée'!K20*100)</f>
        <v>92.883720930232556</v>
      </c>
      <c r="BB20" s="329">
        <f>IF('Degrémont Entrée'!G20="",,('Degrémont Entrée'!G20-G20)/'Degrémont Entrée'!G20*100)</f>
        <v>99.787750151607042</v>
      </c>
      <c r="BC20" s="329">
        <f>IF('Degrémont Entrée'!S20="",,('Degrémont Entrée'!S20-M20)/'Degrémont Entrée'!S20*100)</f>
        <v>99.818348623853211</v>
      </c>
      <c r="BD20" s="361" t="str">
        <f ca="1">IFERROR(__xludf.DUMMYFUNCTION("""COMPUTED_VALUE"""),"#DIV/0!")</f>
        <v>#DIV/0!</v>
      </c>
      <c r="BE20" s="362"/>
      <c r="BF20" s="363"/>
      <c r="BG20" s="363"/>
      <c r="BH20" s="338">
        <f t="shared" si="17"/>
        <v>0</v>
      </c>
      <c r="BI20" s="364"/>
      <c r="BJ20" s="365"/>
      <c r="BK20" s="371">
        <f>'Degrémont Entrée'!BH20</f>
        <v>0</v>
      </c>
      <c r="BL20" s="372" t="str">
        <f>'Degrémont Entrée'!BI20</f>
        <v>Transfert B04 vers B01 15H50</v>
      </c>
    </row>
    <row r="21" spans="1:64" ht="14.25" outlineLevel="1">
      <c r="A21" s="337">
        <f t="shared" si="18"/>
        <v>43473</v>
      </c>
      <c r="B21" s="338">
        <f>'Degrémont Entrée'!B21</f>
        <v>945</v>
      </c>
      <c r="C21" s="339">
        <v>8.9</v>
      </c>
      <c r="D21" s="340">
        <v>89.9</v>
      </c>
      <c r="E21" s="341">
        <v>92.7</v>
      </c>
      <c r="F21" s="342">
        <v>100</v>
      </c>
      <c r="G21" s="329">
        <f t="shared" si="0"/>
        <v>27.999999999999972</v>
      </c>
      <c r="H21" s="338">
        <f t="shared" si="1"/>
        <v>26.459999999999976</v>
      </c>
      <c r="I21" s="343">
        <v>524</v>
      </c>
      <c r="J21" s="344">
        <f t="shared" si="2"/>
        <v>495.18</v>
      </c>
      <c r="K21" s="343">
        <v>1</v>
      </c>
      <c r="L21" s="345">
        <v>1.75</v>
      </c>
      <c r="M21" s="346">
        <f t="shared" si="3"/>
        <v>1.75</v>
      </c>
      <c r="N21" s="338">
        <f t="shared" si="4"/>
        <v>1.6537500000000001</v>
      </c>
      <c r="O21" s="341">
        <v>11.4</v>
      </c>
      <c r="P21" s="347">
        <f t="shared" si="19"/>
        <v>10.773</v>
      </c>
      <c r="Q21" s="348"/>
      <c r="R21" s="369"/>
      <c r="S21" s="349">
        <f t="shared" si="20"/>
        <v>0</v>
      </c>
      <c r="T21" s="348"/>
      <c r="U21" s="369"/>
      <c r="V21" s="349">
        <f t="shared" si="5"/>
        <v>0</v>
      </c>
      <c r="W21" s="348"/>
      <c r="X21" s="318">
        <f t="shared" si="6"/>
        <v>11.4</v>
      </c>
      <c r="Y21" s="370">
        <f t="shared" si="7"/>
        <v>10.773</v>
      </c>
      <c r="Z21" s="343" t="s">
        <v>85</v>
      </c>
      <c r="AA21" s="345">
        <v>0.01</v>
      </c>
      <c r="AB21" s="352">
        <f t="shared" si="8"/>
        <v>4.7250000000000009E-3</v>
      </c>
      <c r="AC21" s="385"/>
      <c r="AD21" s="377"/>
      <c r="AE21" s="378" t="str">
        <f t="shared" ref="AE21:AE379" si="21">IF(AD21="","",IF(AC21="&lt;",AD21*(SUM(B15:B21)/1000)/2,AD21*(SUM(B15:B21)/1000)))</f>
        <v/>
      </c>
      <c r="AF21" s="345" t="s">
        <v>85</v>
      </c>
      <c r="AG21" s="355">
        <v>0.51</v>
      </c>
      <c r="AH21" s="356">
        <f t="shared" ref="AH21:AH379" si="22">IF(AG21="","",IF(AF21="&lt;",AG21*(SUM(B15:B21)/1000)/2,AG21*(SUM(B15:B21)/1000)))</f>
        <v>1.3509900000000001</v>
      </c>
      <c r="AI21" s="329"/>
      <c r="AJ21" s="345">
        <v>0.87</v>
      </c>
      <c r="AK21" s="356">
        <f t="shared" si="11"/>
        <v>0.82214999999999994</v>
      </c>
      <c r="AL21" s="342" t="s">
        <v>85</v>
      </c>
      <c r="AM21" s="355">
        <v>0.03</v>
      </c>
      <c r="AN21" s="356">
        <f t="shared" si="12"/>
        <v>1.4174999999999998E-2</v>
      </c>
      <c r="AO21" s="329"/>
      <c r="AP21" s="355">
        <v>0.17</v>
      </c>
      <c r="AQ21" s="359">
        <f t="shared" si="13"/>
        <v>0.16065000000000002</v>
      </c>
      <c r="AR21" s="360"/>
      <c r="AS21" s="355">
        <v>0.63</v>
      </c>
      <c r="AT21" s="356">
        <f t="shared" si="14"/>
        <v>0.59535000000000005</v>
      </c>
      <c r="AU21" s="345" t="s">
        <v>85</v>
      </c>
      <c r="AV21" s="355">
        <v>0.15</v>
      </c>
      <c r="AW21" s="359">
        <f t="shared" si="15"/>
        <v>7.0874999999999994E-2</v>
      </c>
      <c r="AX21" s="345" t="s">
        <v>85</v>
      </c>
      <c r="AY21" s="355">
        <v>0.13</v>
      </c>
      <c r="AZ21" s="359">
        <f t="shared" si="16"/>
        <v>6.1425000000000007E-2</v>
      </c>
      <c r="BA21" s="329">
        <f>IF('Degrémont Entrée'!K21="",,('Degrémont Entrée'!K21-I21)/'Degrémont Entrée'!K21*100)</f>
        <v>95.443478260869568</v>
      </c>
      <c r="BB21" s="329">
        <f>IF('Degrémont Entrée'!G21="",,('Degrémont Entrée'!G21-G21)/'Degrémont Entrée'!G21*100)</f>
        <v>99.747572815533985</v>
      </c>
      <c r="BC21" s="329">
        <f>IF('Degrémont Entrée'!S21="",,('Degrémont Entrée'!S21-M21)/'Degrémont Entrée'!S21*100)</f>
        <v>99.669811320754718</v>
      </c>
      <c r="BD21" s="361" t="str">
        <f ca="1">IFERROR(__xludf.DUMMYFUNCTION("""COMPUTED_VALUE"""),"#DIV/0!")</f>
        <v>#DIV/0!</v>
      </c>
      <c r="BE21" s="362"/>
      <c r="BF21" s="363"/>
      <c r="BG21" s="363"/>
      <c r="BH21" s="338">
        <f t="shared" si="17"/>
        <v>0</v>
      </c>
      <c r="BI21" s="364"/>
      <c r="BJ21" s="365"/>
      <c r="BK21" s="366">
        <f>'Degrémont Entrée'!BH21</f>
        <v>0</v>
      </c>
      <c r="BL21" s="367" t="str">
        <f>'Degrémont Entrée'!BI21</f>
        <v>Transfert B04 vers B01 10H27</v>
      </c>
    </row>
    <row r="22" spans="1:64" ht="14.25" outlineLevel="1">
      <c r="A22" s="337">
        <f t="shared" si="18"/>
        <v>43474</v>
      </c>
      <c r="B22" s="338">
        <f>'Degrémont Entrée'!B22</f>
        <v>655</v>
      </c>
      <c r="C22" s="339">
        <v>8.9</v>
      </c>
      <c r="D22" s="340">
        <v>90.2</v>
      </c>
      <c r="E22" s="341">
        <v>93.2</v>
      </c>
      <c r="F22" s="342">
        <v>100</v>
      </c>
      <c r="G22" s="329">
        <f t="shared" si="0"/>
        <v>30</v>
      </c>
      <c r="H22" s="338">
        <f t="shared" si="1"/>
        <v>19.649999999999999</v>
      </c>
      <c r="I22" s="343">
        <v>481</v>
      </c>
      <c r="J22" s="344">
        <f t="shared" si="2"/>
        <v>315.05500000000001</v>
      </c>
      <c r="K22" s="343">
        <v>1</v>
      </c>
      <c r="L22" s="345">
        <v>2.3199999999999998</v>
      </c>
      <c r="M22" s="346">
        <f t="shared" si="3"/>
        <v>2.3199999999999998</v>
      </c>
      <c r="N22" s="338">
        <f t="shared" si="4"/>
        <v>1.5195999999999998</v>
      </c>
      <c r="O22" s="368"/>
      <c r="P22" s="347">
        <f t="shared" si="19"/>
        <v>0</v>
      </c>
      <c r="Q22" s="348"/>
      <c r="R22" s="369"/>
      <c r="S22" s="349">
        <f t="shared" si="20"/>
        <v>0</v>
      </c>
      <c r="T22" s="348"/>
      <c r="U22" s="369"/>
      <c r="V22" s="349">
        <f t="shared" si="5"/>
        <v>0</v>
      </c>
      <c r="W22" s="348"/>
      <c r="X22" s="318" t="str">
        <f t="shared" si="6"/>
        <v/>
      </c>
      <c r="Y22" s="370" t="e">
        <f t="shared" si="7"/>
        <v>#VALUE!</v>
      </c>
      <c r="Z22" s="343" t="s">
        <v>85</v>
      </c>
      <c r="AA22" s="345">
        <v>0.01</v>
      </c>
      <c r="AB22" s="352">
        <f t="shared" si="8"/>
        <v>3.2749999999999997E-3</v>
      </c>
      <c r="AC22" s="353"/>
      <c r="AD22" s="354"/>
      <c r="AE22" s="378" t="str">
        <f t="shared" si="21"/>
        <v/>
      </c>
      <c r="AF22" s="329"/>
      <c r="AG22" s="358"/>
      <c r="AH22" s="356" t="str">
        <f t="shared" si="22"/>
        <v/>
      </c>
      <c r="AI22" s="329"/>
      <c r="AJ22" s="329"/>
      <c r="AK22" s="356">
        <f t="shared" si="11"/>
        <v>0</v>
      </c>
      <c r="AL22" s="357"/>
      <c r="AM22" s="358"/>
      <c r="AN22" s="356">
        <f t="shared" si="12"/>
        <v>0</v>
      </c>
      <c r="AO22" s="329"/>
      <c r="AP22" s="358"/>
      <c r="AQ22" s="359">
        <f t="shared" si="13"/>
        <v>0</v>
      </c>
      <c r="AR22" s="360"/>
      <c r="AS22" s="358"/>
      <c r="AT22" s="356">
        <f t="shared" si="14"/>
        <v>0</v>
      </c>
      <c r="AU22" s="329"/>
      <c r="AV22" s="358"/>
      <c r="AW22" s="359">
        <f t="shared" si="15"/>
        <v>0</v>
      </c>
      <c r="AX22" s="329"/>
      <c r="AY22" s="358"/>
      <c r="AZ22" s="359">
        <f t="shared" si="16"/>
        <v>0</v>
      </c>
      <c r="BA22" s="329">
        <f>IF('Degrémont Entrée'!K22="",,('Degrémont Entrée'!K22-I22)/'Degrémont Entrée'!K22*100)</f>
        <v>94.38739789964994</v>
      </c>
      <c r="BB22" s="329">
        <f>IF('Degrémont Entrée'!G22="",,('Degrémont Entrée'!G22-G22)/'Degrémont Entrée'!G22*100)</f>
        <v>99.608525445846013</v>
      </c>
      <c r="BC22" s="329">
        <f>IF('Degrémont Entrée'!S22="",,('Degrémont Entrée'!S22-M22)/'Degrémont Entrée'!S22*100)</f>
        <v>99.393464052287584</v>
      </c>
      <c r="BD22" s="361" t="str">
        <f ca="1">IFERROR(__xludf.DUMMYFUNCTION("""COMPUTED_VALUE"""),"#DIV/0!")</f>
        <v>#DIV/0!</v>
      </c>
      <c r="BE22" s="386">
        <v>21.85</v>
      </c>
      <c r="BF22" s="387">
        <v>33.26</v>
      </c>
      <c r="BG22" s="387">
        <v>27.61</v>
      </c>
      <c r="BH22" s="338">
        <f t="shared" si="17"/>
        <v>50.482033304119192</v>
      </c>
      <c r="BI22" s="364"/>
      <c r="BJ22" s="365"/>
      <c r="BK22" s="371">
        <f>'Degrémont Entrée'!BH22</f>
        <v>0</v>
      </c>
      <c r="BL22" s="372">
        <f>'Degrémont Entrée'!BI22</f>
        <v>0</v>
      </c>
    </row>
    <row r="23" spans="1:64" ht="15.75" customHeight="1" outlineLevel="1">
      <c r="A23" s="337">
        <f t="shared" si="18"/>
        <v>43475</v>
      </c>
      <c r="B23" s="338">
        <f>'Degrémont Entrée'!B23</f>
        <v>872</v>
      </c>
      <c r="C23" s="339">
        <v>8.8000000000000007</v>
      </c>
      <c r="D23" s="340">
        <v>90.3</v>
      </c>
      <c r="E23" s="341">
        <v>94.9</v>
      </c>
      <c r="F23" s="342">
        <v>200</v>
      </c>
      <c r="G23" s="329">
        <f t="shared" si="0"/>
        <v>23.000000000000043</v>
      </c>
      <c r="H23" s="338">
        <f t="shared" si="1"/>
        <v>20.056000000000036</v>
      </c>
      <c r="I23" s="343">
        <v>673</v>
      </c>
      <c r="J23" s="344">
        <f t="shared" si="2"/>
        <v>586.85599999999999</v>
      </c>
      <c r="K23" s="343">
        <v>1</v>
      </c>
      <c r="L23" s="345">
        <v>1.45</v>
      </c>
      <c r="M23" s="346">
        <f t="shared" si="3"/>
        <v>1.45</v>
      </c>
      <c r="N23" s="338">
        <f t="shared" si="4"/>
        <v>1.2644</v>
      </c>
      <c r="O23" s="368"/>
      <c r="P23" s="347">
        <f t="shared" si="19"/>
        <v>0</v>
      </c>
      <c r="Q23" s="348"/>
      <c r="R23" s="369"/>
      <c r="S23" s="349">
        <f t="shared" si="20"/>
        <v>0</v>
      </c>
      <c r="T23" s="348"/>
      <c r="U23" s="369"/>
      <c r="V23" s="349">
        <f t="shared" si="5"/>
        <v>0</v>
      </c>
      <c r="W23" s="348"/>
      <c r="X23" s="318" t="str">
        <f t="shared" si="6"/>
        <v/>
      </c>
      <c r="Y23" s="370" t="e">
        <f t="shared" si="7"/>
        <v>#VALUE!</v>
      </c>
      <c r="Z23" s="343" t="s">
        <v>85</v>
      </c>
      <c r="AA23" s="345">
        <v>0.01</v>
      </c>
      <c r="AB23" s="352">
        <f t="shared" si="8"/>
        <v>4.3600000000000002E-3</v>
      </c>
      <c r="AC23" s="353"/>
      <c r="AD23" s="354"/>
      <c r="AE23" s="378" t="str">
        <f t="shared" si="21"/>
        <v/>
      </c>
      <c r="AF23" s="329"/>
      <c r="AG23" s="358"/>
      <c r="AH23" s="356" t="str">
        <f t="shared" si="22"/>
        <v/>
      </c>
      <c r="AI23" s="329"/>
      <c r="AJ23" s="329"/>
      <c r="AK23" s="356">
        <f t="shared" si="11"/>
        <v>0</v>
      </c>
      <c r="AL23" s="357"/>
      <c r="AM23" s="358"/>
      <c r="AN23" s="356">
        <f t="shared" si="12"/>
        <v>0</v>
      </c>
      <c r="AO23" s="329"/>
      <c r="AP23" s="358"/>
      <c r="AQ23" s="359">
        <f t="shared" si="13"/>
        <v>0</v>
      </c>
      <c r="AR23" s="360"/>
      <c r="AS23" s="358"/>
      <c r="AT23" s="356">
        <f t="shared" si="14"/>
        <v>0</v>
      </c>
      <c r="AU23" s="329"/>
      <c r="AV23" s="358"/>
      <c r="AW23" s="359">
        <f t="shared" si="15"/>
        <v>0</v>
      </c>
      <c r="AX23" s="329"/>
      <c r="AY23" s="358"/>
      <c r="AZ23" s="359">
        <f t="shared" si="16"/>
        <v>0</v>
      </c>
      <c r="BA23" s="329">
        <f>IF('Degrémont Entrée'!K23="",,('Degrémont Entrée'!K23-I23)/'Degrémont Entrée'!K23*100)</f>
        <v>88.211595726046582</v>
      </c>
      <c r="BB23" s="329">
        <f>IF('Degrémont Entrée'!G23="",,('Degrémont Entrée'!G23-G23)/'Degrémont Entrée'!G23*100)</f>
        <v>99.622455679579787</v>
      </c>
      <c r="BC23" s="329">
        <f>IF('Degrémont Entrée'!S23="",,('Degrémont Entrée'!S23-M23)/'Degrémont Entrée'!S23*100)</f>
        <v>99.563253012048193</v>
      </c>
      <c r="BD23" s="361" t="str">
        <f ca="1">IFERROR(__xludf.DUMMYFUNCTION("""COMPUTED_VALUE"""),"#DIV/0!")</f>
        <v>#DIV/0!</v>
      </c>
      <c r="BE23" s="362"/>
      <c r="BF23" s="363"/>
      <c r="BG23" s="363"/>
      <c r="BH23" s="338">
        <f t="shared" si="17"/>
        <v>0</v>
      </c>
      <c r="BI23" s="364"/>
      <c r="BJ23" s="365"/>
      <c r="BK23" s="366">
        <f>'Degrémont Entrée'!BH23</f>
        <v>0</v>
      </c>
      <c r="BL23" s="367" t="str">
        <f>'Degrémont Entrée'!BI23</f>
        <v>Camion 22 big bag</v>
      </c>
    </row>
    <row r="24" spans="1:64" ht="14.25" outlineLevel="1">
      <c r="A24" s="337">
        <f t="shared" si="18"/>
        <v>43476</v>
      </c>
      <c r="B24" s="338">
        <f>'Degrémont Entrée'!B24</f>
        <v>934</v>
      </c>
      <c r="C24" s="339">
        <v>9.6</v>
      </c>
      <c r="D24" s="340">
        <v>89.7</v>
      </c>
      <c r="E24" s="341">
        <v>92.2</v>
      </c>
      <c r="F24" s="342">
        <v>91</v>
      </c>
      <c r="G24" s="329">
        <f t="shared" si="0"/>
        <v>27.472527472527471</v>
      </c>
      <c r="H24" s="338">
        <f t="shared" si="1"/>
        <v>25.659340659340657</v>
      </c>
      <c r="I24" s="343">
        <v>1142</v>
      </c>
      <c r="J24" s="344">
        <f t="shared" si="2"/>
        <v>1066.6279999999999</v>
      </c>
      <c r="K24" s="343">
        <v>1</v>
      </c>
      <c r="L24" s="345">
        <v>1.23</v>
      </c>
      <c r="M24" s="346">
        <f t="shared" si="3"/>
        <v>1.23</v>
      </c>
      <c r="N24" s="338">
        <f t="shared" si="4"/>
        <v>1.14882</v>
      </c>
      <c r="O24" s="368"/>
      <c r="P24" s="347">
        <f t="shared" si="19"/>
        <v>0</v>
      </c>
      <c r="Q24" s="348"/>
      <c r="R24" s="369"/>
      <c r="S24" s="349">
        <f t="shared" si="20"/>
        <v>0</v>
      </c>
      <c r="T24" s="348"/>
      <c r="U24" s="369"/>
      <c r="V24" s="349">
        <f t="shared" si="5"/>
        <v>0</v>
      </c>
      <c r="W24" s="348"/>
      <c r="X24" s="318" t="str">
        <f t="shared" si="6"/>
        <v/>
      </c>
      <c r="Y24" s="370" t="e">
        <f t="shared" si="7"/>
        <v>#VALUE!</v>
      </c>
      <c r="Z24" s="343" t="s">
        <v>85</v>
      </c>
      <c r="AA24" s="345">
        <v>0.01</v>
      </c>
      <c r="AB24" s="352">
        <f t="shared" si="8"/>
        <v>4.6699999999999997E-3</v>
      </c>
      <c r="AC24" s="353"/>
      <c r="AD24" s="354"/>
      <c r="AE24" s="378" t="str">
        <f t="shared" si="21"/>
        <v/>
      </c>
      <c r="AF24" s="329"/>
      <c r="AG24" s="358"/>
      <c r="AH24" s="356" t="str">
        <f t="shared" si="22"/>
        <v/>
      </c>
      <c r="AI24" s="329"/>
      <c r="AJ24" s="329"/>
      <c r="AK24" s="356">
        <f t="shared" si="11"/>
        <v>0</v>
      </c>
      <c r="AL24" s="357"/>
      <c r="AM24" s="358"/>
      <c r="AN24" s="356">
        <f t="shared" si="12"/>
        <v>0</v>
      </c>
      <c r="AO24" s="329"/>
      <c r="AP24" s="358"/>
      <c r="AQ24" s="359">
        <f t="shared" si="13"/>
        <v>0</v>
      </c>
      <c r="AR24" s="360"/>
      <c r="AS24" s="358"/>
      <c r="AT24" s="356">
        <f t="shared" si="14"/>
        <v>0</v>
      </c>
      <c r="AU24" s="329"/>
      <c r="AV24" s="358"/>
      <c r="AW24" s="359">
        <f t="shared" si="15"/>
        <v>0</v>
      </c>
      <c r="AX24" s="329"/>
      <c r="AY24" s="358"/>
      <c r="AZ24" s="359">
        <f t="shared" si="16"/>
        <v>0</v>
      </c>
      <c r="BA24" s="329">
        <f>IF('Degrémont Entrée'!K24="",,('Degrémont Entrée'!K24-I24)/'Degrémont Entrée'!K24*100)</f>
        <v>73.236465901101482</v>
      </c>
      <c r="BB24" s="329">
        <f>IF('Degrémont Entrée'!G24="",,('Degrémont Entrée'!G24-G24)/'Degrémont Entrée'!G24*100)</f>
        <v>99.127856270713409</v>
      </c>
      <c r="BC24" s="329">
        <f>IF('Degrémont Entrée'!S24="",,('Degrémont Entrée'!S24-M24)/'Degrémont Entrée'!S24*100)</f>
        <v>99.356020942408378</v>
      </c>
      <c r="BD24" s="361" t="str">
        <f ca="1">IFERROR(__xludf.DUMMYFUNCTION("""COMPUTED_VALUE"""),"#DIV/0!")</f>
        <v>#DIV/0!</v>
      </c>
      <c r="BE24" s="362"/>
      <c r="BF24" s="363"/>
      <c r="BG24" s="363"/>
      <c r="BH24" s="338">
        <f t="shared" si="17"/>
        <v>0</v>
      </c>
      <c r="BI24" s="364"/>
      <c r="BJ24" s="365"/>
      <c r="BK24" s="371">
        <f>'Degrémont Entrée'!BH24</f>
        <v>0</v>
      </c>
      <c r="BL24" s="372" t="str">
        <f>'Degrémont Entrée'!BI24</f>
        <v>Transfert B04 vers B01 2H15</v>
      </c>
    </row>
    <row r="25" spans="1:64" ht="15.75" customHeight="1" outlineLevel="1">
      <c r="A25" s="337">
        <f t="shared" si="18"/>
        <v>43477</v>
      </c>
      <c r="B25" s="338">
        <f>'Degrémont Entrée'!B25</f>
        <v>683</v>
      </c>
      <c r="C25" s="339">
        <v>9.4</v>
      </c>
      <c r="D25" s="340">
        <v>88.6</v>
      </c>
      <c r="E25" s="341">
        <v>91.8</v>
      </c>
      <c r="F25" s="342">
        <v>96</v>
      </c>
      <c r="G25" s="329">
        <f t="shared" si="0"/>
        <v>33.333333333333364</v>
      </c>
      <c r="H25" s="338">
        <f t="shared" si="1"/>
        <v>22.766666666666687</v>
      </c>
      <c r="I25" s="343">
        <v>894</v>
      </c>
      <c r="J25" s="344">
        <f t="shared" si="2"/>
        <v>610.60199999999998</v>
      </c>
      <c r="K25" s="343">
        <v>1</v>
      </c>
      <c r="L25" s="345">
        <v>1.62</v>
      </c>
      <c r="M25" s="346">
        <f t="shared" si="3"/>
        <v>1.62</v>
      </c>
      <c r="N25" s="338">
        <f t="shared" si="4"/>
        <v>1.10646</v>
      </c>
      <c r="O25" s="368"/>
      <c r="P25" s="347">
        <f t="shared" si="19"/>
        <v>0</v>
      </c>
      <c r="Q25" s="348"/>
      <c r="R25" s="369"/>
      <c r="S25" s="349">
        <f t="shared" si="20"/>
        <v>0</v>
      </c>
      <c r="T25" s="348"/>
      <c r="U25" s="369"/>
      <c r="V25" s="349">
        <f t="shared" si="5"/>
        <v>0</v>
      </c>
      <c r="W25" s="348"/>
      <c r="X25" s="318" t="str">
        <f t="shared" si="6"/>
        <v/>
      </c>
      <c r="Y25" s="370" t="e">
        <f t="shared" si="7"/>
        <v>#VALUE!</v>
      </c>
      <c r="Z25" s="343" t="s">
        <v>85</v>
      </c>
      <c r="AA25" s="345">
        <v>0.01</v>
      </c>
      <c r="AB25" s="352">
        <f t="shared" si="8"/>
        <v>3.4150000000000001E-3</v>
      </c>
      <c r="AC25" s="353"/>
      <c r="AD25" s="354"/>
      <c r="AE25" s="378" t="str">
        <f t="shared" si="21"/>
        <v/>
      </c>
      <c r="AF25" s="329"/>
      <c r="AG25" s="358"/>
      <c r="AH25" s="356" t="str">
        <f t="shared" si="22"/>
        <v/>
      </c>
      <c r="AI25" s="329"/>
      <c r="AJ25" s="329"/>
      <c r="AK25" s="356">
        <f t="shared" si="11"/>
        <v>0</v>
      </c>
      <c r="AL25" s="357"/>
      <c r="AM25" s="358"/>
      <c r="AN25" s="356">
        <f t="shared" si="12"/>
        <v>0</v>
      </c>
      <c r="AO25" s="329"/>
      <c r="AP25" s="358"/>
      <c r="AQ25" s="359">
        <f t="shared" si="13"/>
        <v>0</v>
      </c>
      <c r="AR25" s="360"/>
      <c r="AS25" s="358"/>
      <c r="AT25" s="356">
        <f t="shared" si="14"/>
        <v>0</v>
      </c>
      <c r="AU25" s="329"/>
      <c r="AV25" s="358"/>
      <c r="AW25" s="359">
        <f t="shared" si="15"/>
        <v>0</v>
      </c>
      <c r="AX25" s="329"/>
      <c r="AY25" s="358"/>
      <c r="AZ25" s="359">
        <f t="shared" si="16"/>
        <v>0</v>
      </c>
      <c r="BA25" s="329">
        <f>IF('Degrémont Entrée'!K25="",,('Degrémont Entrée'!K25-I25)/'Degrémont Entrée'!K25*100)</f>
        <v>25.685785536159599</v>
      </c>
      <c r="BB25" s="329">
        <f>IF('Degrémont Entrée'!G25="",,('Degrémont Entrée'!G25-G25)/'Degrémont Entrée'!G25*100)</f>
        <v>46.03174603174584</v>
      </c>
      <c r="BC25" s="329">
        <f>IF('Degrémont Entrée'!S25="",,('Degrémont Entrée'!S25-M25)/'Degrémont Entrée'!S25*100)</f>
        <v>91.606217616580309</v>
      </c>
      <c r="BD25" s="361" t="str">
        <f ca="1">IFERROR(__xludf.DUMMYFUNCTION("""COMPUTED_VALUE"""),"#DIV/0!")</f>
        <v>#DIV/0!</v>
      </c>
      <c r="BE25" s="362"/>
      <c r="BF25" s="363"/>
      <c r="BG25" s="363"/>
      <c r="BH25" s="338">
        <f t="shared" si="17"/>
        <v>0</v>
      </c>
      <c r="BI25" s="364"/>
      <c r="BJ25" s="365"/>
      <c r="BK25" s="366">
        <f>'Degrémont Entrée'!BH25</f>
        <v>0</v>
      </c>
      <c r="BL25" s="367" t="str">
        <f>'Degrémont Entrée'!BI25</f>
        <v>Transfert B04 vers B01 0H40</v>
      </c>
    </row>
    <row r="26" spans="1:64" ht="14.25" outlineLevel="1">
      <c r="A26" s="337">
        <f t="shared" si="18"/>
        <v>43478</v>
      </c>
      <c r="B26" s="338">
        <f>'Degrémont Entrée'!B26</f>
        <v>293</v>
      </c>
      <c r="C26" s="339">
        <v>9.1</v>
      </c>
      <c r="D26" s="340">
        <v>88.4</v>
      </c>
      <c r="E26" s="341">
        <v>91.3</v>
      </c>
      <c r="F26" s="342">
        <v>89</v>
      </c>
      <c r="G26" s="329">
        <f t="shared" si="0"/>
        <v>32.584269662921251</v>
      </c>
      <c r="H26" s="338">
        <f t="shared" si="1"/>
        <v>9.5471910112359275</v>
      </c>
      <c r="I26" s="343">
        <v>931</v>
      </c>
      <c r="J26" s="344">
        <f t="shared" si="2"/>
        <v>272.78300000000002</v>
      </c>
      <c r="K26" s="343">
        <v>1</v>
      </c>
      <c r="L26" s="345">
        <v>3.32</v>
      </c>
      <c r="M26" s="346">
        <f t="shared" si="3"/>
        <v>3.32</v>
      </c>
      <c r="N26" s="338">
        <f t="shared" si="4"/>
        <v>0.97275999999999996</v>
      </c>
      <c r="O26" s="368"/>
      <c r="P26" s="347">
        <f t="shared" si="19"/>
        <v>0</v>
      </c>
      <c r="Q26" s="348"/>
      <c r="R26" s="369"/>
      <c r="S26" s="349">
        <f t="shared" si="20"/>
        <v>0</v>
      </c>
      <c r="T26" s="348"/>
      <c r="U26" s="369"/>
      <c r="V26" s="349">
        <f t="shared" si="5"/>
        <v>0</v>
      </c>
      <c r="W26" s="348"/>
      <c r="X26" s="318" t="str">
        <f t="shared" si="6"/>
        <v/>
      </c>
      <c r="Y26" s="370" t="e">
        <f t="shared" si="7"/>
        <v>#VALUE!</v>
      </c>
      <c r="Z26" s="343" t="s">
        <v>85</v>
      </c>
      <c r="AA26" s="345">
        <v>0.01</v>
      </c>
      <c r="AB26" s="352">
        <f t="shared" si="8"/>
        <v>1.4650000000000002E-3</v>
      </c>
      <c r="AC26" s="353"/>
      <c r="AD26" s="354"/>
      <c r="AE26" s="378" t="str">
        <f t="shared" si="21"/>
        <v/>
      </c>
      <c r="AF26" s="329"/>
      <c r="AG26" s="358"/>
      <c r="AH26" s="356" t="str">
        <f t="shared" si="22"/>
        <v/>
      </c>
      <c r="AI26" s="329"/>
      <c r="AJ26" s="329"/>
      <c r="AK26" s="356">
        <f t="shared" si="11"/>
        <v>0</v>
      </c>
      <c r="AL26" s="357"/>
      <c r="AM26" s="358"/>
      <c r="AN26" s="356">
        <f t="shared" si="12"/>
        <v>0</v>
      </c>
      <c r="AO26" s="329"/>
      <c r="AP26" s="358"/>
      <c r="AQ26" s="359">
        <f t="shared" si="13"/>
        <v>0</v>
      </c>
      <c r="AR26" s="360"/>
      <c r="AS26" s="358"/>
      <c r="AT26" s="356">
        <f t="shared" si="14"/>
        <v>0</v>
      </c>
      <c r="AU26" s="329"/>
      <c r="AV26" s="358"/>
      <c r="AW26" s="359">
        <f t="shared" si="15"/>
        <v>0</v>
      </c>
      <c r="AX26" s="329"/>
      <c r="AY26" s="358"/>
      <c r="AZ26" s="359">
        <f t="shared" si="16"/>
        <v>0</v>
      </c>
      <c r="BA26" s="329">
        <f>IF('Degrémont Entrée'!K26="",,('Degrémont Entrée'!K26-I26)/'Degrémont Entrée'!K26*100)</f>
        <v>83.176725695699318</v>
      </c>
      <c r="BB26" s="329">
        <f>IF('Degrémont Entrée'!G26="",,('Degrémont Entrée'!G26-G26)/'Degrémont Entrée'!G26*100)</f>
        <v>99.328736075613634</v>
      </c>
      <c r="BC26" s="329">
        <f>IF('Degrémont Entrée'!S26="",,('Degrémont Entrée'!S26-M26)/'Degrémont Entrée'!S26*100)</f>
        <v>98.433962264150949</v>
      </c>
      <c r="BD26" s="361" t="str">
        <f ca="1">IFERROR(__xludf.DUMMYFUNCTION("""COMPUTED_VALUE"""),"#DIV/0!")</f>
        <v>#DIV/0!</v>
      </c>
      <c r="BE26" s="362"/>
      <c r="BF26" s="363"/>
      <c r="BG26" s="363"/>
      <c r="BH26" s="338">
        <f t="shared" si="17"/>
        <v>0</v>
      </c>
      <c r="BI26" s="364"/>
      <c r="BJ26" s="365"/>
      <c r="BK26" s="371">
        <f>'Degrémont Entrée'!BH26</f>
        <v>0</v>
      </c>
      <c r="BL26" s="372" t="str">
        <f>'Degrémont Entrée'!BI26</f>
        <v>Transfert B04 vers B01 0H30</v>
      </c>
    </row>
    <row r="27" spans="1:64" ht="15.75" customHeight="1" outlineLevel="1">
      <c r="A27" s="337">
        <f t="shared" si="18"/>
        <v>43479</v>
      </c>
      <c r="B27" s="338">
        <f>'Degrémont Entrée'!B27</f>
        <v>868</v>
      </c>
      <c r="C27" s="339">
        <v>8.8000000000000007</v>
      </c>
      <c r="D27" s="340">
        <v>89.5</v>
      </c>
      <c r="E27" s="341">
        <v>93.1</v>
      </c>
      <c r="F27" s="342">
        <v>100</v>
      </c>
      <c r="G27" s="329">
        <f t="shared" si="0"/>
        <v>35.999999999999943</v>
      </c>
      <c r="H27" s="338">
        <f t="shared" si="1"/>
        <v>31.247999999999948</v>
      </c>
      <c r="I27" s="343">
        <v>869</v>
      </c>
      <c r="J27" s="344">
        <f t="shared" si="2"/>
        <v>754.29200000000003</v>
      </c>
      <c r="K27" s="343">
        <v>1</v>
      </c>
      <c r="L27" s="345">
        <v>1.64</v>
      </c>
      <c r="M27" s="346">
        <f t="shared" si="3"/>
        <v>1.64</v>
      </c>
      <c r="N27" s="338">
        <f t="shared" si="4"/>
        <v>1.4235199999999999</v>
      </c>
      <c r="O27" s="368"/>
      <c r="P27" s="347">
        <f t="shared" si="19"/>
        <v>0</v>
      </c>
      <c r="Q27" s="348"/>
      <c r="R27" s="369"/>
      <c r="S27" s="349">
        <f t="shared" si="20"/>
        <v>0</v>
      </c>
      <c r="T27" s="348"/>
      <c r="U27" s="369"/>
      <c r="V27" s="349">
        <f t="shared" si="5"/>
        <v>0</v>
      </c>
      <c r="W27" s="348"/>
      <c r="X27" s="318" t="str">
        <f t="shared" si="6"/>
        <v/>
      </c>
      <c r="Y27" s="370" t="e">
        <f t="shared" si="7"/>
        <v>#VALUE!</v>
      </c>
      <c r="Z27" s="343" t="s">
        <v>85</v>
      </c>
      <c r="AA27" s="345">
        <v>0.01</v>
      </c>
      <c r="AB27" s="352">
        <f t="shared" si="8"/>
        <v>4.3400000000000001E-3</v>
      </c>
      <c r="AC27" s="353"/>
      <c r="AD27" s="354"/>
      <c r="AE27" s="378" t="str">
        <f t="shared" si="21"/>
        <v/>
      </c>
      <c r="AF27" s="329"/>
      <c r="AG27" s="358"/>
      <c r="AH27" s="356" t="str">
        <f t="shared" si="22"/>
        <v/>
      </c>
      <c r="AI27" s="329"/>
      <c r="AJ27" s="329"/>
      <c r="AK27" s="356">
        <f t="shared" si="11"/>
        <v>0</v>
      </c>
      <c r="AL27" s="357"/>
      <c r="AM27" s="358"/>
      <c r="AN27" s="356">
        <f t="shared" si="12"/>
        <v>0</v>
      </c>
      <c r="AO27" s="329"/>
      <c r="AP27" s="358"/>
      <c r="AQ27" s="359">
        <f t="shared" si="13"/>
        <v>0</v>
      </c>
      <c r="AR27" s="360"/>
      <c r="AS27" s="358"/>
      <c r="AT27" s="356">
        <f t="shared" si="14"/>
        <v>0</v>
      </c>
      <c r="AU27" s="329"/>
      <c r="AV27" s="358"/>
      <c r="AW27" s="359">
        <f t="shared" si="15"/>
        <v>0</v>
      </c>
      <c r="AX27" s="329"/>
      <c r="AY27" s="358"/>
      <c r="AZ27" s="359">
        <f t="shared" si="16"/>
        <v>0</v>
      </c>
      <c r="BA27" s="329">
        <f>IF('Degrémont Entrée'!K27="",,('Degrémont Entrée'!K27-I27)/'Degrémont Entrée'!K27*100)</f>
        <v>89.752358490566039</v>
      </c>
      <c r="BB27" s="329">
        <f>IF('Degrémont Entrée'!G27="",,('Degrémont Entrée'!G27-G27)/'Degrémont Entrée'!G27*100)</f>
        <v>99.624565469293159</v>
      </c>
      <c r="BC27" s="329">
        <f>IF('Degrémont Entrée'!S27="",,('Degrémont Entrée'!S27-M27)/'Degrémont Entrée'!S27*100)</f>
        <v>99.607655502392348</v>
      </c>
      <c r="BD27" s="361" t="str">
        <f ca="1">IFERROR(__xludf.DUMMYFUNCTION("""COMPUTED_VALUE"""),"#DIV/0!")</f>
        <v>#DIV/0!</v>
      </c>
      <c r="BE27" s="386">
        <v>22.43</v>
      </c>
      <c r="BF27" s="387">
        <v>31.98</v>
      </c>
      <c r="BG27" s="387">
        <v>27.29</v>
      </c>
      <c r="BH27" s="338">
        <f t="shared" si="17"/>
        <v>50.890052356020931</v>
      </c>
      <c r="BI27" s="364"/>
      <c r="BJ27" s="365"/>
      <c r="BK27" s="366">
        <f>'Degrémont Entrée'!BH27</f>
        <v>0</v>
      </c>
      <c r="BL27" s="367" t="str">
        <f>'Degrémont Entrée'!BI27</f>
        <v>Transfert B04 vers B01 1H30</v>
      </c>
    </row>
    <row r="28" spans="1:64" ht="14.25" outlineLevel="1">
      <c r="A28" s="337">
        <f t="shared" si="18"/>
        <v>43480</v>
      </c>
      <c r="B28" s="338">
        <f>'Degrémont Entrée'!B28</f>
        <v>962</v>
      </c>
      <c r="C28" s="339">
        <v>8.9</v>
      </c>
      <c r="D28" s="340">
        <v>91.1</v>
      </c>
      <c r="E28" s="341">
        <v>94.5</v>
      </c>
      <c r="F28" s="342">
        <v>100</v>
      </c>
      <c r="G28" s="329">
        <f t="shared" si="0"/>
        <v>34.000000000000057</v>
      </c>
      <c r="H28" s="338">
        <f t="shared" si="1"/>
        <v>32.708000000000055</v>
      </c>
      <c r="I28" s="343">
        <v>806</v>
      </c>
      <c r="J28" s="344">
        <f t="shared" si="2"/>
        <v>775.37199999999996</v>
      </c>
      <c r="K28" s="343">
        <v>1</v>
      </c>
      <c r="L28" s="345">
        <v>1.46</v>
      </c>
      <c r="M28" s="346">
        <f t="shared" si="3"/>
        <v>1.46</v>
      </c>
      <c r="N28" s="338">
        <f t="shared" si="4"/>
        <v>1.40452</v>
      </c>
      <c r="O28" s="341">
        <v>14.8</v>
      </c>
      <c r="P28" s="347">
        <f t="shared" si="19"/>
        <v>14.2376</v>
      </c>
      <c r="Q28" s="348"/>
      <c r="R28" s="369"/>
      <c r="S28" s="349">
        <f t="shared" si="20"/>
        <v>0</v>
      </c>
      <c r="T28" s="348"/>
      <c r="U28" s="369"/>
      <c r="V28" s="349">
        <f t="shared" si="5"/>
        <v>0</v>
      </c>
      <c r="W28" s="348"/>
      <c r="X28" s="318">
        <f t="shared" si="6"/>
        <v>14.8</v>
      </c>
      <c r="Y28" s="370">
        <f t="shared" si="7"/>
        <v>14.2376</v>
      </c>
      <c r="Z28" s="343" t="s">
        <v>85</v>
      </c>
      <c r="AA28" s="345">
        <v>0.01</v>
      </c>
      <c r="AB28" s="352">
        <f t="shared" si="8"/>
        <v>4.8100000000000009E-3</v>
      </c>
      <c r="AC28" s="353"/>
      <c r="AD28" s="354"/>
      <c r="AE28" s="378" t="str">
        <f t="shared" si="21"/>
        <v/>
      </c>
      <c r="AF28" s="329"/>
      <c r="AG28" s="355">
        <v>0.56000000000000005</v>
      </c>
      <c r="AH28" s="356">
        <f t="shared" si="22"/>
        <v>2.9495200000000006</v>
      </c>
      <c r="AI28" s="329"/>
      <c r="AJ28" s="345">
        <v>0.88</v>
      </c>
      <c r="AK28" s="356">
        <f t="shared" si="11"/>
        <v>0.84656000000000009</v>
      </c>
      <c r="AL28" s="342" t="s">
        <v>85</v>
      </c>
      <c r="AM28" s="355">
        <v>0.03</v>
      </c>
      <c r="AN28" s="356">
        <f t="shared" si="12"/>
        <v>1.443E-2</v>
      </c>
      <c r="AO28" s="329"/>
      <c r="AP28" s="355">
        <v>0.18</v>
      </c>
      <c r="AQ28" s="359">
        <f t="shared" si="13"/>
        <v>0.17316000000000001</v>
      </c>
      <c r="AR28" s="360"/>
      <c r="AS28" s="355">
        <v>0.78</v>
      </c>
      <c r="AT28" s="356">
        <f t="shared" si="14"/>
        <v>0.75036000000000003</v>
      </c>
      <c r="AU28" s="345" t="s">
        <v>85</v>
      </c>
      <c r="AV28" s="355">
        <v>0.15</v>
      </c>
      <c r="AW28" s="359">
        <f t="shared" si="15"/>
        <v>7.2149999999999992E-2</v>
      </c>
      <c r="AX28" s="345" t="s">
        <v>85</v>
      </c>
      <c r="AY28" s="355">
        <v>0.13</v>
      </c>
      <c r="AZ28" s="359">
        <f t="shared" si="16"/>
        <v>6.2530000000000002E-2</v>
      </c>
      <c r="BA28" s="329">
        <f>IF('Degrémont Entrée'!K28="",,('Degrémont Entrée'!K28-I28)/'Degrémont Entrée'!K28*100)</f>
        <v>93.751937984496124</v>
      </c>
      <c r="BB28" s="329">
        <f>IF('Degrémont Entrée'!G28="",,('Degrémont Entrée'!G28-G28)/'Degrémont Entrée'!G28*100)</f>
        <v>99.722048569367644</v>
      </c>
      <c r="BC28" s="329">
        <f>IF('Degrémont Entrée'!S28="",,('Degrémont Entrée'!S28-M28)/'Degrémont Entrée'!S28*100)</f>
        <v>99.697095435684645</v>
      </c>
      <c r="BD28" s="361" t="str">
        <f ca="1">IFERROR(__xludf.DUMMYFUNCTION("""COMPUTED_VALUE"""),"#DIV/0!")</f>
        <v>#DIV/0!</v>
      </c>
      <c r="BE28" s="362"/>
      <c r="BF28" s="363"/>
      <c r="BG28" s="363"/>
      <c r="BH28" s="338">
        <f t="shared" si="17"/>
        <v>0</v>
      </c>
      <c r="BI28" s="364"/>
      <c r="BJ28" s="365"/>
      <c r="BK28" s="371">
        <f>'Degrémont Entrée'!BH28</f>
        <v>0</v>
      </c>
      <c r="BL28" s="372" t="str">
        <f>'Degrémont Entrée'!BI28</f>
        <v>Transfert B04 vers B01 1H30</v>
      </c>
    </row>
    <row r="29" spans="1:64" ht="15.75" customHeight="1" outlineLevel="1">
      <c r="A29" s="337">
        <f t="shared" si="18"/>
        <v>43481</v>
      </c>
      <c r="B29" s="338">
        <f>'Degrémont Entrée'!B29</f>
        <v>797</v>
      </c>
      <c r="C29" s="339">
        <v>8.8000000000000007</v>
      </c>
      <c r="D29" s="340">
        <v>89.2</v>
      </c>
      <c r="E29" s="341">
        <v>91.6</v>
      </c>
      <c r="F29" s="342">
        <v>94</v>
      </c>
      <c r="G29" s="329">
        <f t="shared" si="0"/>
        <v>25.531914893616928</v>
      </c>
      <c r="H29" s="338">
        <f t="shared" si="1"/>
        <v>20.348936170212692</v>
      </c>
      <c r="I29" s="343">
        <v>657</v>
      </c>
      <c r="J29" s="344">
        <f t="shared" si="2"/>
        <v>523.62900000000002</v>
      </c>
      <c r="K29" s="343">
        <v>1</v>
      </c>
      <c r="L29" s="345">
        <v>2.2999999999999998</v>
      </c>
      <c r="M29" s="346">
        <f t="shared" si="3"/>
        <v>2.2999999999999998</v>
      </c>
      <c r="N29" s="338">
        <f t="shared" si="4"/>
        <v>1.8331</v>
      </c>
      <c r="O29" s="368"/>
      <c r="P29" s="347">
        <f t="shared" si="19"/>
        <v>0</v>
      </c>
      <c r="Q29" s="348"/>
      <c r="R29" s="369"/>
      <c r="S29" s="349">
        <f t="shared" si="20"/>
        <v>0</v>
      </c>
      <c r="T29" s="348"/>
      <c r="U29" s="369"/>
      <c r="V29" s="349">
        <f t="shared" si="5"/>
        <v>0</v>
      </c>
      <c r="W29" s="348"/>
      <c r="X29" s="318" t="str">
        <f t="shared" si="6"/>
        <v/>
      </c>
      <c r="Y29" s="370" t="e">
        <f t="shared" si="7"/>
        <v>#VALUE!</v>
      </c>
      <c r="Z29" s="343" t="s">
        <v>85</v>
      </c>
      <c r="AA29" s="345">
        <v>0.01</v>
      </c>
      <c r="AB29" s="352">
        <f t="shared" si="8"/>
        <v>3.9849999999999998E-3</v>
      </c>
      <c r="AC29" s="353"/>
      <c r="AD29" s="354"/>
      <c r="AE29" s="378" t="str">
        <f t="shared" si="21"/>
        <v/>
      </c>
      <c r="AF29" s="329"/>
      <c r="AG29" s="358"/>
      <c r="AH29" s="356" t="str">
        <f t="shared" si="22"/>
        <v/>
      </c>
      <c r="AI29" s="329"/>
      <c r="AJ29" s="329"/>
      <c r="AK29" s="356">
        <f t="shared" si="11"/>
        <v>0</v>
      </c>
      <c r="AL29" s="357"/>
      <c r="AM29" s="358"/>
      <c r="AN29" s="356">
        <f t="shared" si="12"/>
        <v>0</v>
      </c>
      <c r="AO29" s="329"/>
      <c r="AP29" s="358"/>
      <c r="AQ29" s="359">
        <f t="shared" si="13"/>
        <v>0</v>
      </c>
      <c r="AR29" s="360"/>
      <c r="AS29" s="358"/>
      <c r="AT29" s="356">
        <f t="shared" si="14"/>
        <v>0</v>
      </c>
      <c r="AU29" s="329"/>
      <c r="AV29" s="358"/>
      <c r="AW29" s="359">
        <f t="shared" si="15"/>
        <v>0</v>
      </c>
      <c r="AX29" s="329"/>
      <c r="AY29" s="358"/>
      <c r="AZ29" s="359">
        <f t="shared" si="16"/>
        <v>0</v>
      </c>
      <c r="BA29" s="329">
        <f>IF('Degrémont Entrée'!K29="",,('Degrémont Entrée'!K29-I29)/'Degrémont Entrée'!K29*100)</f>
        <v>94.384615384615387</v>
      </c>
      <c r="BB29" s="329">
        <f>IF('Degrémont Entrée'!G29="",,('Degrémont Entrée'!G29-G29)/'Degrémont Entrée'!G29*100)</f>
        <v>99.746145396851219</v>
      </c>
      <c r="BC29" s="329">
        <f>IF('Degrémont Entrée'!S29="",,('Degrémont Entrée'!S29-M29)/'Degrémont Entrée'!S29*100)</f>
        <v>99.589285714285722</v>
      </c>
      <c r="BD29" s="361" t="str">
        <f ca="1">IFERROR(__xludf.DUMMYFUNCTION("""COMPUTED_VALUE"""),"#DIV/0!")</f>
        <v>#DIV/0!</v>
      </c>
      <c r="BE29" s="362"/>
      <c r="BF29" s="363"/>
      <c r="BG29" s="363"/>
      <c r="BH29" s="338">
        <f t="shared" si="17"/>
        <v>0</v>
      </c>
      <c r="BI29" s="364"/>
      <c r="BJ29" s="365"/>
      <c r="BK29" s="366">
        <f>'Degrémont Entrée'!BH29</f>
        <v>0</v>
      </c>
      <c r="BL29" s="367" t="str">
        <f>'Degrémont Entrée'!BI29</f>
        <v>Transfert B04 vers B01 1H30</v>
      </c>
    </row>
    <row r="30" spans="1:64" ht="14.25" outlineLevel="1">
      <c r="A30" s="337">
        <f t="shared" si="18"/>
        <v>43482</v>
      </c>
      <c r="B30" s="338">
        <f>'Degrémont Entrée'!B30</f>
        <v>649</v>
      </c>
      <c r="C30" s="339">
        <v>8.8000000000000007</v>
      </c>
      <c r="D30" s="340">
        <v>90.1</v>
      </c>
      <c r="E30" s="341">
        <v>92</v>
      </c>
      <c r="F30" s="342">
        <v>97</v>
      </c>
      <c r="G30" s="329">
        <f t="shared" si="0"/>
        <v>19.58762886597944</v>
      </c>
      <c r="H30" s="338">
        <f t="shared" si="1"/>
        <v>12.712371134020655</v>
      </c>
      <c r="I30" s="343">
        <v>385</v>
      </c>
      <c r="J30" s="344">
        <f t="shared" si="2"/>
        <v>249.86500000000001</v>
      </c>
      <c r="K30" s="343">
        <v>1</v>
      </c>
      <c r="L30" s="345">
        <v>1.34</v>
      </c>
      <c r="M30" s="346">
        <f t="shared" si="3"/>
        <v>1.34</v>
      </c>
      <c r="N30" s="338">
        <f t="shared" si="4"/>
        <v>0.8696600000000001</v>
      </c>
      <c r="O30" s="368"/>
      <c r="P30" s="347">
        <f t="shared" si="19"/>
        <v>0</v>
      </c>
      <c r="Q30" s="348"/>
      <c r="R30" s="369"/>
      <c r="S30" s="349">
        <f t="shared" si="20"/>
        <v>0</v>
      </c>
      <c r="T30" s="348"/>
      <c r="U30" s="369"/>
      <c r="V30" s="349">
        <f t="shared" si="5"/>
        <v>0</v>
      </c>
      <c r="W30" s="348"/>
      <c r="X30" s="318" t="str">
        <f t="shared" si="6"/>
        <v/>
      </c>
      <c r="Y30" s="370" t="e">
        <f t="shared" si="7"/>
        <v>#VALUE!</v>
      </c>
      <c r="Z30" s="343" t="s">
        <v>85</v>
      </c>
      <c r="AA30" s="345">
        <v>0.01</v>
      </c>
      <c r="AB30" s="352">
        <f t="shared" si="8"/>
        <v>3.2450000000000001E-3</v>
      </c>
      <c r="AC30" s="353"/>
      <c r="AD30" s="354"/>
      <c r="AE30" s="378" t="str">
        <f t="shared" si="21"/>
        <v/>
      </c>
      <c r="AF30" s="329"/>
      <c r="AG30" s="358"/>
      <c r="AH30" s="356" t="str">
        <f t="shared" si="22"/>
        <v/>
      </c>
      <c r="AI30" s="329"/>
      <c r="AJ30" s="329"/>
      <c r="AK30" s="356">
        <f t="shared" si="11"/>
        <v>0</v>
      </c>
      <c r="AL30" s="357"/>
      <c r="AM30" s="358"/>
      <c r="AN30" s="356">
        <f t="shared" si="12"/>
        <v>0</v>
      </c>
      <c r="AO30" s="329"/>
      <c r="AP30" s="358"/>
      <c r="AQ30" s="359">
        <f t="shared" si="13"/>
        <v>0</v>
      </c>
      <c r="AR30" s="360"/>
      <c r="AS30" s="358"/>
      <c r="AT30" s="356">
        <f t="shared" si="14"/>
        <v>0</v>
      </c>
      <c r="AU30" s="329"/>
      <c r="AV30" s="358"/>
      <c r="AW30" s="359">
        <f t="shared" si="15"/>
        <v>0</v>
      </c>
      <c r="AX30" s="329"/>
      <c r="AY30" s="358"/>
      <c r="AZ30" s="359">
        <f t="shared" si="16"/>
        <v>0</v>
      </c>
      <c r="BA30" s="329">
        <f>IF('Degrémont Entrée'!K30="",,('Degrémont Entrée'!K30-I30)/'Degrémont Entrée'!K30*100)</f>
        <v>95.837387825710891</v>
      </c>
      <c r="BB30" s="329">
        <f>IF('Degrémont Entrée'!G30="",,('Degrémont Entrée'!G30-G30)/'Degrémont Entrée'!G30*100)</f>
        <v>99.814335271412517</v>
      </c>
      <c r="BC30" s="329">
        <f>IF('Degrémont Entrée'!S30="",,('Degrémont Entrée'!S30-M30)/'Degrémont Entrée'!S30*100)</f>
        <v>99.87358490566038</v>
      </c>
      <c r="BD30" s="361" t="str">
        <f ca="1">IFERROR(__xludf.DUMMYFUNCTION("""COMPUTED_VALUE"""),"#DIV/0!")</f>
        <v>#DIV/0!</v>
      </c>
      <c r="BE30" s="362"/>
      <c r="BF30" s="363"/>
      <c r="BG30" s="363"/>
      <c r="BH30" s="338">
        <f t="shared" si="17"/>
        <v>0</v>
      </c>
      <c r="BI30" s="364"/>
      <c r="BJ30" s="365"/>
      <c r="BK30" s="371">
        <f>'Degrémont Entrée'!BH30</f>
        <v>0</v>
      </c>
      <c r="BL30" s="372" t="str">
        <f>'Degrémont Entrée'!BI30</f>
        <v>Transfert B04 vers B01 1H30</v>
      </c>
    </row>
    <row r="31" spans="1:64" ht="15.75" customHeight="1" outlineLevel="1">
      <c r="A31" s="337">
        <f t="shared" si="18"/>
        <v>43483</v>
      </c>
      <c r="B31" s="338">
        <f>'Degrémont Entrée'!B31</f>
        <v>728</v>
      </c>
      <c r="C31" s="339">
        <v>8.6999999999999993</v>
      </c>
      <c r="D31" s="340">
        <v>90.8</v>
      </c>
      <c r="E31" s="341">
        <v>92.8</v>
      </c>
      <c r="F31" s="342">
        <v>100</v>
      </c>
      <c r="G31" s="329">
        <f t="shared" si="0"/>
        <v>20</v>
      </c>
      <c r="H31" s="338">
        <f t="shared" si="1"/>
        <v>14.56</v>
      </c>
      <c r="I31" s="343">
        <v>350</v>
      </c>
      <c r="J31" s="344">
        <f t="shared" si="2"/>
        <v>254.8</v>
      </c>
      <c r="K31" s="343">
        <v>1</v>
      </c>
      <c r="L31" s="345">
        <v>1.19</v>
      </c>
      <c r="M31" s="346">
        <f t="shared" si="3"/>
        <v>1.19</v>
      </c>
      <c r="N31" s="338">
        <f t="shared" si="4"/>
        <v>0.86631999999999998</v>
      </c>
      <c r="O31" s="368"/>
      <c r="P31" s="347">
        <f t="shared" si="19"/>
        <v>0</v>
      </c>
      <c r="Q31" s="348"/>
      <c r="R31" s="369"/>
      <c r="S31" s="349">
        <f t="shared" si="20"/>
        <v>0</v>
      </c>
      <c r="T31" s="348"/>
      <c r="U31" s="369"/>
      <c r="V31" s="349">
        <f t="shared" si="5"/>
        <v>0</v>
      </c>
      <c r="W31" s="348"/>
      <c r="X31" s="318" t="str">
        <f t="shared" si="6"/>
        <v/>
      </c>
      <c r="Y31" s="370" t="e">
        <f t="shared" si="7"/>
        <v>#VALUE!</v>
      </c>
      <c r="Z31" s="343" t="s">
        <v>85</v>
      </c>
      <c r="AA31" s="345">
        <v>0.01</v>
      </c>
      <c r="AB31" s="352">
        <f t="shared" si="8"/>
        <v>3.64E-3</v>
      </c>
      <c r="AC31" s="353"/>
      <c r="AD31" s="354"/>
      <c r="AE31" s="378" t="str">
        <f t="shared" si="21"/>
        <v/>
      </c>
      <c r="AF31" s="329"/>
      <c r="AG31" s="358"/>
      <c r="AH31" s="356" t="str">
        <f t="shared" si="22"/>
        <v/>
      </c>
      <c r="AI31" s="329"/>
      <c r="AJ31" s="329"/>
      <c r="AK31" s="356">
        <f t="shared" si="11"/>
        <v>0</v>
      </c>
      <c r="AL31" s="357"/>
      <c r="AM31" s="358"/>
      <c r="AN31" s="356">
        <f t="shared" si="12"/>
        <v>0</v>
      </c>
      <c r="AO31" s="329"/>
      <c r="AP31" s="358"/>
      <c r="AQ31" s="359">
        <f t="shared" si="13"/>
        <v>0</v>
      </c>
      <c r="AR31" s="360"/>
      <c r="AS31" s="358"/>
      <c r="AT31" s="356">
        <f t="shared" si="14"/>
        <v>0</v>
      </c>
      <c r="AU31" s="329"/>
      <c r="AV31" s="358"/>
      <c r="AW31" s="359">
        <f t="shared" si="15"/>
        <v>0</v>
      </c>
      <c r="AX31" s="329"/>
      <c r="AY31" s="358"/>
      <c r="AZ31" s="359">
        <f t="shared" si="16"/>
        <v>0</v>
      </c>
      <c r="BA31" s="329">
        <f>IF('Degrémont Entrée'!K31="",,('Degrémont Entrée'!K31-I31)/'Degrémont Entrée'!K31*100)</f>
        <v>95.119230232882444</v>
      </c>
      <c r="BB31" s="329">
        <f>IF('Degrémont Entrée'!G31="",,('Degrémont Entrée'!G31-G31)/'Degrémont Entrée'!G31*100)</f>
        <v>99.803508771929828</v>
      </c>
      <c r="BC31" s="329">
        <f>IF('Degrémont Entrée'!S31="",,('Degrémont Entrée'!S31-M31)/'Degrémont Entrée'!S31*100)</f>
        <v>99.789380530973432</v>
      </c>
      <c r="BD31" s="361" t="str">
        <f ca="1">IFERROR(__xludf.DUMMYFUNCTION("""COMPUTED_VALUE"""),"#DIV/0!")</f>
        <v>#DIV/0!</v>
      </c>
      <c r="BE31" s="362"/>
      <c r="BF31" s="363"/>
      <c r="BG31" s="363"/>
      <c r="BH31" s="338">
        <f t="shared" si="17"/>
        <v>0</v>
      </c>
      <c r="BI31" s="364"/>
      <c r="BJ31" s="365"/>
      <c r="BK31" s="366">
        <f>'Degrémont Entrée'!BH31</f>
        <v>0</v>
      </c>
      <c r="BL31" s="367" t="str">
        <f>'Degrémont Entrée'!BI31</f>
        <v>Transfert B04 vers B01 23H30</v>
      </c>
    </row>
    <row r="32" spans="1:64" ht="14.25" outlineLevel="1">
      <c r="A32" s="337">
        <f t="shared" si="18"/>
        <v>43484</v>
      </c>
      <c r="B32" s="338">
        <f>'Degrémont Entrée'!B32</f>
        <v>525</v>
      </c>
      <c r="C32" s="339">
        <v>8.5</v>
      </c>
      <c r="D32" s="340">
        <v>89.3</v>
      </c>
      <c r="E32" s="341">
        <v>92.4</v>
      </c>
      <c r="F32" s="342">
        <v>100</v>
      </c>
      <c r="G32" s="329">
        <f t="shared" si="0"/>
        <v>31.000000000000085</v>
      </c>
      <c r="H32" s="338">
        <f t="shared" si="1"/>
        <v>16.275000000000045</v>
      </c>
      <c r="I32" s="343">
        <v>668</v>
      </c>
      <c r="J32" s="344">
        <f t="shared" si="2"/>
        <v>350.7</v>
      </c>
      <c r="K32" s="343">
        <v>1</v>
      </c>
      <c r="L32" s="345">
        <v>1.24</v>
      </c>
      <c r="M32" s="346">
        <f t="shared" si="3"/>
        <v>1.24</v>
      </c>
      <c r="N32" s="338">
        <f t="shared" si="4"/>
        <v>0.65100000000000002</v>
      </c>
      <c r="O32" s="368"/>
      <c r="P32" s="347">
        <f t="shared" si="19"/>
        <v>0</v>
      </c>
      <c r="Q32" s="348"/>
      <c r="R32" s="369"/>
      <c r="S32" s="349">
        <f t="shared" si="20"/>
        <v>0</v>
      </c>
      <c r="T32" s="348"/>
      <c r="U32" s="369"/>
      <c r="V32" s="349">
        <f t="shared" si="5"/>
        <v>0</v>
      </c>
      <c r="W32" s="348"/>
      <c r="X32" s="318" t="str">
        <f t="shared" si="6"/>
        <v/>
      </c>
      <c r="Y32" s="370" t="e">
        <f t="shared" si="7"/>
        <v>#VALUE!</v>
      </c>
      <c r="Z32" s="343" t="s">
        <v>85</v>
      </c>
      <c r="AA32" s="345">
        <v>0.01</v>
      </c>
      <c r="AB32" s="352">
        <f t="shared" si="8"/>
        <v>2.6250000000000002E-3</v>
      </c>
      <c r="AC32" s="353"/>
      <c r="AD32" s="354"/>
      <c r="AE32" s="378" t="str">
        <f t="shared" si="21"/>
        <v/>
      </c>
      <c r="AF32" s="329"/>
      <c r="AG32" s="358"/>
      <c r="AH32" s="356" t="str">
        <f t="shared" si="22"/>
        <v/>
      </c>
      <c r="AI32" s="329"/>
      <c r="AJ32" s="329"/>
      <c r="AK32" s="356">
        <f t="shared" si="11"/>
        <v>0</v>
      </c>
      <c r="AL32" s="357"/>
      <c r="AM32" s="358"/>
      <c r="AN32" s="356">
        <f t="shared" si="12"/>
        <v>0</v>
      </c>
      <c r="AO32" s="329"/>
      <c r="AP32" s="358"/>
      <c r="AQ32" s="359">
        <f t="shared" si="13"/>
        <v>0</v>
      </c>
      <c r="AR32" s="360"/>
      <c r="AS32" s="358"/>
      <c r="AT32" s="356">
        <f t="shared" si="14"/>
        <v>0</v>
      </c>
      <c r="AU32" s="329"/>
      <c r="AV32" s="358"/>
      <c r="AW32" s="359">
        <f t="shared" si="15"/>
        <v>0</v>
      </c>
      <c r="AX32" s="329"/>
      <c r="AY32" s="358"/>
      <c r="AZ32" s="359">
        <f t="shared" si="16"/>
        <v>0</v>
      </c>
      <c r="BA32" s="329">
        <f>IF('Degrémont Entrée'!K32="",,('Degrémont Entrée'!K32-I32)/'Degrémont Entrée'!K32*100)</f>
        <v>92.294382281693387</v>
      </c>
      <c r="BB32" s="329">
        <f>IF('Degrémont Entrée'!G32="",,('Degrémont Entrée'!G32-G32)/'Degrémont Entrée'!G32*100)</f>
        <v>99.677217825905871</v>
      </c>
      <c r="BC32" s="329">
        <f>IF('Degrémont Entrée'!S32="",,('Degrémont Entrée'!S32-M32)/'Degrémont Entrée'!S32*100)</f>
        <v>99.772477064220183</v>
      </c>
      <c r="BD32" s="361" t="str">
        <f ca="1">IFERROR(__xludf.DUMMYFUNCTION("""COMPUTED_VALUE"""),"#DIV/0!")</f>
        <v>#DIV/0!</v>
      </c>
      <c r="BE32" s="362"/>
      <c r="BF32" s="363"/>
      <c r="BG32" s="363"/>
      <c r="BH32" s="338">
        <f t="shared" si="17"/>
        <v>0</v>
      </c>
      <c r="BI32" s="364"/>
      <c r="BJ32" s="365"/>
      <c r="BK32" s="371">
        <f>'Degrémont Entrée'!BH32</f>
        <v>0</v>
      </c>
      <c r="BL32" s="372" t="str">
        <f>'Degrémont Entrée'!BI32</f>
        <v>Transfert B04 vers B01 1H00</v>
      </c>
    </row>
    <row r="33" spans="1:64" ht="15.75" customHeight="1" outlineLevel="1">
      <c r="A33" s="337">
        <f t="shared" si="18"/>
        <v>43485</v>
      </c>
      <c r="B33" s="338">
        <f>'Degrémont Entrée'!B33</f>
        <v>0</v>
      </c>
      <c r="C33" s="338"/>
      <c r="D33" s="388"/>
      <c r="E33" s="368"/>
      <c r="F33" s="342">
        <v>100</v>
      </c>
      <c r="G33" s="329">
        <f t="shared" si="0"/>
        <v>0</v>
      </c>
      <c r="H33" s="338">
        <f t="shared" si="1"/>
        <v>0</v>
      </c>
      <c r="I33" s="346"/>
      <c r="J33" s="344">
        <f t="shared" si="2"/>
        <v>0</v>
      </c>
      <c r="K33" s="343">
        <v>1</v>
      </c>
      <c r="L33" s="329"/>
      <c r="M33" s="346" t="str">
        <f t="shared" si="3"/>
        <v/>
      </c>
      <c r="N33" s="338" t="e">
        <f t="shared" si="4"/>
        <v>#VALUE!</v>
      </c>
      <c r="O33" s="368"/>
      <c r="P33" s="347">
        <f t="shared" si="19"/>
        <v>0</v>
      </c>
      <c r="Q33" s="348"/>
      <c r="R33" s="369"/>
      <c r="S33" s="349">
        <f t="shared" si="20"/>
        <v>0</v>
      </c>
      <c r="T33" s="348"/>
      <c r="U33" s="369"/>
      <c r="V33" s="349">
        <f t="shared" si="5"/>
        <v>0</v>
      </c>
      <c r="W33" s="348"/>
      <c r="X33" s="318" t="str">
        <f t="shared" si="6"/>
        <v/>
      </c>
      <c r="Y33" s="370" t="e">
        <f t="shared" si="7"/>
        <v>#VALUE!</v>
      </c>
      <c r="Z33" s="346"/>
      <c r="AA33" s="329"/>
      <c r="AB33" s="352">
        <f t="shared" si="8"/>
        <v>0</v>
      </c>
      <c r="AC33" s="353"/>
      <c r="AD33" s="354"/>
      <c r="AE33" s="378" t="str">
        <f t="shared" si="21"/>
        <v/>
      </c>
      <c r="AF33" s="329"/>
      <c r="AG33" s="358"/>
      <c r="AH33" s="356" t="str">
        <f t="shared" si="22"/>
        <v/>
      </c>
      <c r="AI33" s="329"/>
      <c r="AJ33" s="329"/>
      <c r="AK33" s="356">
        <f t="shared" si="11"/>
        <v>0</v>
      </c>
      <c r="AL33" s="357"/>
      <c r="AM33" s="358"/>
      <c r="AN33" s="356">
        <f t="shared" si="12"/>
        <v>0</v>
      </c>
      <c r="AO33" s="329"/>
      <c r="AP33" s="358"/>
      <c r="AQ33" s="359">
        <f t="shared" si="13"/>
        <v>0</v>
      </c>
      <c r="AR33" s="360"/>
      <c r="AS33" s="358"/>
      <c r="AT33" s="356">
        <f t="shared" si="14"/>
        <v>0</v>
      </c>
      <c r="AU33" s="329"/>
      <c r="AV33" s="358"/>
      <c r="AW33" s="359">
        <f t="shared" si="15"/>
        <v>0</v>
      </c>
      <c r="AX33" s="329"/>
      <c r="AY33" s="358"/>
      <c r="AZ33" s="359">
        <f t="shared" si="16"/>
        <v>0</v>
      </c>
      <c r="BA33" s="329" t="e">
        <f>IF('Degrémont Entrée'!K33="",,('Degrémont Entrée'!K33-I33)/'Degrémont Entrée'!K33*100)</f>
        <v>#DIV/0!</v>
      </c>
      <c r="BB33" s="329" t="e">
        <f>IF('Degrémont Entrée'!G33="",,('Degrémont Entrée'!G33-G33)/'Degrémont Entrée'!G33*100)</f>
        <v>#DIV/0!</v>
      </c>
      <c r="BC33" s="329">
        <f>IF('Degrémont Entrée'!S33="",,('Degrémont Entrée'!S33-M33)/'Degrémont Entrée'!S33*100)</f>
        <v>0</v>
      </c>
      <c r="BD33" s="361" t="str">
        <f ca="1">IFERROR(__xludf.DUMMYFUNCTION("""COMPUTED_VALUE"""),"#DIV/0!")</f>
        <v>#DIV/0!</v>
      </c>
      <c r="BE33" s="362"/>
      <c r="BF33" s="363"/>
      <c r="BG33" s="363"/>
      <c r="BH33" s="338">
        <f t="shared" si="17"/>
        <v>0</v>
      </c>
      <c r="BI33" s="364"/>
      <c r="BJ33" s="365"/>
      <c r="BK33" s="366">
        <f>'Degrémont Entrée'!BH33</f>
        <v>0</v>
      </c>
      <c r="BL33" s="367">
        <f>'Degrémont Entrée'!BI33</f>
        <v>0</v>
      </c>
    </row>
    <row r="34" spans="1:64" ht="14.25" outlineLevel="1">
      <c r="A34" s="337">
        <f t="shared" si="18"/>
        <v>43486</v>
      </c>
      <c r="B34" s="338">
        <f>'Degrémont Entrée'!B34</f>
        <v>847</v>
      </c>
      <c r="C34" s="339">
        <v>9.1</v>
      </c>
      <c r="D34" s="340">
        <v>89.9</v>
      </c>
      <c r="E34" s="341">
        <v>91.8</v>
      </c>
      <c r="F34" s="342">
        <v>100</v>
      </c>
      <c r="G34" s="329">
        <f t="shared" si="0"/>
        <v>18.999999999999915</v>
      </c>
      <c r="H34" s="338">
        <f t="shared" si="1"/>
        <v>16.092999999999929</v>
      </c>
      <c r="I34" s="343">
        <v>965</v>
      </c>
      <c r="J34" s="344">
        <f t="shared" si="2"/>
        <v>817.35500000000002</v>
      </c>
      <c r="K34" s="343">
        <v>1</v>
      </c>
      <c r="L34" s="345">
        <v>0.97</v>
      </c>
      <c r="M34" s="346">
        <f t="shared" si="3"/>
        <v>0.97</v>
      </c>
      <c r="N34" s="338">
        <f t="shared" si="4"/>
        <v>0.82159000000000004</v>
      </c>
      <c r="O34" s="368"/>
      <c r="P34" s="347">
        <f t="shared" si="19"/>
        <v>0</v>
      </c>
      <c r="Q34" s="348"/>
      <c r="R34" s="369"/>
      <c r="S34" s="349">
        <f t="shared" si="20"/>
        <v>0</v>
      </c>
      <c r="T34" s="348"/>
      <c r="U34" s="369"/>
      <c r="V34" s="349">
        <f t="shared" si="5"/>
        <v>0</v>
      </c>
      <c r="W34" s="348"/>
      <c r="X34" s="318" t="str">
        <f t="shared" si="6"/>
        <v/>
      </c>
      <c r="Y34" s="370" t="e">
        <f t="shared" si="7"/>
        <v>#VALUE!</v>
      </c>
      <c r="Z34" s="343" t="s">
        <v>85</v>
      </c>
      <c r="AA34" s="345">
        <v>0.01</v>
      </c>
      <c r="AB34" s="352">
        <f t="shared" si="8"/>
        <v>4.235E-3</v>
      </c>
      <c r="AC34" s="353"/>
      <c r="AD34" s="354"/>
      <c r="AE34" s="378" t="str">
        <f t="shared" si="21"/>
        <v/>
      </c>
      <c r="AF34" s="329"/>
      <c r="AG34" s="358"/>
      <c r="AH34" s="356" t="str">
        <f t="shared" si="22"/>
        <v/>
      </c>
      <c r="AI34" s="329"/>
      <c r="AJ34" s="329"/>
      <c r="AK34" s="356">
        <f t="shared" si="11"/>
        <v>0</v>
      </c>
      <c r="AL34" s="357"/>
      <c r="AM34" s="358"/>
      <c r="AN34" s="356">
        <f t="shared" si="12"/>
        <v>0</v>
      </c>
      <c r="AO34" s="329"/>
      <c r="AP34" s="358"/>
      <c r="AQ34" s="359">
        <f t="shared" si="13"/>
        <v>0</v>
      </c>
      <c r="AR34" s="360"/>
      <c r="AS34" s="358"/>
      <c r="AT34" s="356">
        <f t="shared" si="14"/>
        <v>0</v>
      </c>
      <c r="AU34" s="329"/>
      <c r="AV34" s="358"/>
      <c r="AW34" s="359">
        <f t="shared" si="15"/>
        <v>0</v>
      </c>
      <c r="AX34" s="329"/>
      <c r="AY34" s="358"/>
      <c r="AZ34" s="359">
        <f t="shared" si="16"/>
        <v>0</v>
      </c>
      <c r="BA34" s="329">
        <f>IF('Degrémont Entrée'!K34="",,('Degrémont Entrée'!K34-I34)/'Degrémont Entrée'!K34*100)</f>
        <v>88.106975597732315</v>
      </c>
      <c r="BB34" s="329">
        <f>IF('Degrémont Entrée'!G34="",,('Degrémont Entrée'!G34-G34)/'Degrémont Entrée'!G34*100)</f>
        <v>99.833666833416714</v>
      </c>
      <c r="BC34" s="329">
        <f>IF('Degrémont Entrée'!S34="",,('Degrémont Entrée'!S34-M34)/'Degrémont Entrée'!S34*100)</f>
        <v>99.804632426988917</v>
      </c>
      <c r="BD34" s="361" t="str">
        <f ca="1">IFERROR(__xludf.DUMMYFUNCTION("""COMPUTED_VALUE"""),"#DIV/0!")</f>
        <v>#DIV/0!</v>
      </c>
      <c r="BE34" s="362"/>
      <c r="BF34" s="363"/>
      <c r="BG34" s="363"/>
      <c r="BH34" s="338">
        <f t="shared" si="17"/>
        <v>0</v>
      </c>
      <c r="BI34" s="364"/>
      <c r="BJ34" s="365"/>
      <c r="BK34" s="371">
        <f>'Degrémont Entrée'!BH34</f>
        <v>0</v>
      </c>
      <c r="BL34" s="372" t="str">
        <f>'Degrémont Entrée'!BI34</f>
        <v>Transfert B04 vers B01 14H30</v>
      </c>
    </row>
    <row r="35" spans="1:64" ht="15.75" customHeight="1" outlineLevel="1">
      <c r="A35" s="337">
        <f t="shared" si="18"/>
        <v>43487</v>
      </c>
      <c r="B35" s="338">
        <f>'Degrémont Entrée'!B35</f>
        <v>920</v>
      </c>
      <c r="C35" s="339">
        <v>9.1</v>
      </c>
      <c r="D35" s="340">
        <v>90.4</v>
      </c>
      <c r="E35" s="341">
        <v>92.3</v>
      </c>
      <c r="F35" s="342">
        <v>200</v>
      </c>
      <c r="G35" s="329">
        <f t="shared" si="0"/>
        <v>9.4999999999999574</v>
      </c>
      <c r="H35" s="338">
        <f t="shared" si="1"/>
        <v>8.7399999999999594</v>
      </c>
      <c r="I35" s="343">
        <v>1011</v>
      </c>
      <c r="J35" s="344">
        <f t="shared" si="2"/>
        <v>930.12</v>
      </c>
      <c r="K35" s="343">
        <v>1</v>
      </c>
      <c r="L35" s="345">
        <v>0.74</v>
      </c>
      <c r="M35" s="346">
        <f t="shared" si="3"/>
        <v>0.74</v>
      </c>
      <c r="N35" s="338">
        <f t="shared" si="4"/>
        <v>0.68079999999999996</v>
      </c>
      <c r="O35" s="341">
        <v>10.8</v>
      </c>
      <c r="P35" s="347">
        <f t="shared" si="19"/>
        <v>9.9359999999999999</v>
      </c>
      <c r="Q35" s="348"/>
      <c r="R35" s="369"/>
      <c r="S35" s="349">
        <f t="shared" si="20"/>
        <v>0</v>
      </c>
      <c r="T35" s="348"/>
      <c r="U35" s="369"/>
      <c r="V35" s="349">
        <f t="shared" si="5"/>
        <v>0</v>
      </c>
      <c r="W35" s="348"/>
      <c r="X35" s="318">
        <f t="shared" si="6"/>
        <v>10.8</v>
      </c>
      <c r="Y35" s="370">
        <f t="shared" si="7"/>
        <v>9.9359999999999999</v>
      </c>
      <c r="Z35" s="343" t="s">
        <v>85</v>
      </c>
      <c r="AA35" s="345">
        <v>0.01</v>
      </c>
      <c r="AB35" s="352">
        <f t="shared" si="8"/>
        <v>4.6000000000000008E-3</v>
      </c>
      <c r="AC35" s="353"/>
      <c r="AD35" s="354"/>
      <c r="AE35" s="378" t="str">
        <f t="shared" si="21"/>
        <v/>
      </c>
      <c r="AF35" s="329"/>
      <c r="AG35" s="355">
        <v>0.46</v>
      </c>
      <c r="AH35" s="356">
        <f t="shared" si="22"/>
        <v>2.05436</v>
      </c>
      <c r="AI35" s="329"/>
      <c r="AJ35" s="345">
        <v>0.56999999999999995</v>
      </c>
      <c r="AK35" s="356">
        <f t="shared" si="11"/>
        <v>0.52439999999999998</v>
      </c>
      <c r="AL35" s="342" t="s">
        <v>85</v>
      </c>
      <c r="AM35" s="355">
        <v>0.03</v>
      </c>
      <c r="AN35" s="356">
        <f t="shared" si="12"/>
        <v>1.38E-2</v>
      </c>
      <c r="AO35" s="329"/>
      <c r="AP35" s="355">
        <v>0.19</v>
      </c>
      <c r="AQ35" s="359">
        <f t="shared" si="13"/>
        <v>0.17480000000000001</v>
      </c>
      <c r="AR35" s="360"/>
      <c r="AS35" s="355">
        <v>0.53</v>
      </c>
      <c r="AT35" s="356">
        <f t="shared" si="14"/>
        <v>0.48760000000000003</v>
      </c>
      <c r="AU35" s="345" t="s">
        <v>85</v>
      </c>
      <c r="AV35" s="355">
        <v>0.15</v>
      </c>
      <c r="AW35" s="359">
        <f t="shared" si="15"/>
        <v>6.9000000000000006E-2</v>
      </c>
      <c r="AX35" s="345" t="s">
        <v>85</v>
      </c>
      <c r="AY35" s="355">
        <v>0.13</v>
      </c>
      <c r="AZ35" s="359">
        <f t="shared" si="16"/>
        <v>5.9800000000000006E-2</v>
      </c>
      <c r="BA35" s="329">
        <f>IF('Degrémont Entrée'!K35="",,('Degrémont Entrée'!K35-I35)/'Degrémont Entrée'!K35*100)</f>
        <v>87.364079490063745</v>
      </c>
      <c r="BB35" s="329">
        <f>IF('Degrémont Entrée'!G35="",,('Degrémont Entrée'!G35-G35)/'Degrémont Entrée'!G35*100)</f>
        <v>99.893169512703039</v>
      </c>
      <c r="BC35" s="329">
        <f>IF('Degrémont Entrée'!S35="",,('Degrémont Entrée'!S35-M35)/'Degrémont Entrée'!S35*100)</f>
        <v>99.923711340206182</v>
      </c>
      <c r="BD35" s="361" t="str">
        <f ca="1">IFERROR(__xludf.DUMMYFUNCTION("""COMPUTED_VALUE"""),"#DIV/0!")</f>
        <v>#DIV/0!</v>
      </c>
      <c r="BE35" s="362"/>
      <c r="BF35" s="363"/>
      <c r="BG35" s="363"/>
      <c r="BH35" s="338">
        <f t="shared" si="17"/>
        <v>0</v>
      </c>
      <c r="BI35" s="364"/>
      <c r="BJ35" s="365"/>
      <c r="BK35" s="366">
        <f>'Degrémont Entrée'!BH35</f>
        <v>0</v>
      </c>
      <c r="BL35" s="367" t="str">
        <f>'Degrémont Entrée'!BI35</f>
        <v>Transfert B04 vers B01 16H30</v>
      </c>
    </row>
    <row r="36" spans="1:64" ht="14.25" outlineLevel="1">
      <c r="A36" s="337">
        <f t="shared" si="18"/>
        <v>43488</v>
      </c>
      <c r="B36" s="338">
        <f>'Degrémont Entrée'!B36</f>
        <v>956</v>
      </c>
      <c r="C36" s="339">
        <v>9</v>
      </c>
      <c r="D36" s="340">
        <v>89.1</v>
      </c>
      <c r="E36" s="341">
        <v>91.9</v>
      </c>
      <c r="F36" s="342">
        <v>200</v>
      </c>
      <c r="G36" s="329">
        <f t="shared" si="0"/>
        <v>14.000000000000057</v>
      </c>
      <c r="H36" s="338">
        <f t="shared" si="1"/>
        <v>13.384000000000055</v>
      </c>
      <c r="I36" s="343">
        <v>960</v>
      </c>
      <c r="J36" s="344">
        <f t="shared" si="2"/>
        <v>917.76</v>
      </c>
      <c r="K36" s="343">
        <v>1</v>
      </c>
      <c r="L36" s="345">
        <v>0.88</v>
      </c>
      <c r="M36" s="346">
        <f t="shared" si="3"/>
        <v>0.88</v>
      </c>
      <c r="N36" s="338">
        <f t="shared" si="4"/>
        <v>0.84128000000000003</v>
      </c>
      <c r="O36" s="368"/>
      <c r="P36" s="347">
        <f t="shared" si="19"/>
        <v>0</v>
      </c>
      <c r="Q36" s="348"/>
      <c r="R36" s="369"/>
      <c r="S36" s="349">
        <f t="shared" si="20"/>
        <v>0</v>
      </c>
      <c r="T36" s="348"/>
      <c r="U36" s="369"/>
      <c r="V36" s="349">
        <f t="shared" si="5"/>
        <v>0</v>
      </c>
      <c r="W36" s="348"/>
      <c r="X36" s="318" t="str">
        <f t="shared" si="6"/>
        <v/>
      </c>
      <c r="Y36" s="370" t="e">
        <f t="shared" si="7"/>
        <v>#VALUE!</v>
      </c>
      <c r="Z36" s="343" t="s">
        <v>85</v>
      </c>
      <c r="AA36" s="345">
        <v>0.01</v>
      </c>
      <c r="AB36" s="352">
        <f t="shared" si="8"/>
        <v>4.7800000000000004E-3</v>
      </c>
      <c r="AC36" s="353"/>
      <c r="AD36" s="354"/>
      <c r="AE36" s="378" t="str">
        <f t="shared" si="21"/>
        <v/>
      </c>
      <c r="AF36" s="329"/>
      <c r="AG36" s="358"/>
      <c r="AH36" s="356" t="str">
        <f t="shared" si="22"/>
        <v/>
      </c>
      <c r="AI36" s="329"/>
      <c r="AJ36" s="329"/>
      <c r="AK36" s="356">
        <f t="shared" si="11"/>
        <v>0</v>
      </c>
      <c r="AL36" s="357"/>
      <c r="AM36" s="358"/>
      <c r="AN36" s="356">
        <f t="shared" si="12"/>
        <v>0</v>
      </c>
      <c r="AO36" s="329"/>
      <c r="AP36" s="358"/>
      <c r="AQ36" s="359">
        <f t="shared" si="13"/>
        <v>0</v>
      </c>
      <c r="AR36" s="360"/>
      <c r="AS36" s="358"/>
      <c r="AT36" s="356">
        <f t="shared" si="14"/>
        <v>0</v>
      </c>
      <c r="AU36" s="329"/>
      <c r="AV36" s="358"/>
      <c r="AW36" s="359">
        <f t="shared" si="15"/>
        <v>0</v>
      </c>
      <c r="AX36" s="329"/>
      <c r="AY36" s="358"/>
      <c r="AZ36" s="359">
        <f t="shared" si="16"/>
        <v>0</v>
      </c>
      <c r="BA36" s="329">
        <f>IF('Degrémont Entrée'!K36="",,('Degrémont Entrée'!K36-I36)/'Degrémont Entrée'!K36*100)</f>
        <v>87.108902913925064</v>
      </c>
      <c r="BB36" s="329">
        <f>IF('Degrémont Entrée'!G36="",,('Degrémont Entrée'!G36-G36)/'Degrémont Entrée'!G36*100)</f>
        <v>99.807915567282322</v>
      </c>
      <c r="BC36" s="329">
        <f>IF('Degrémont Entrée'!S36="",,('Degrémont Entrée'!S36-M36)/'Degrémont Entrée'!S36*100)</f>
        <v>99.712418300653596</v>
      </c>
      <c r="BD36" s="361" t="str">
        <f ca="1">IFERROR(__xludf.DUMMYFUNCTION("""COMPUTED_VALUE"""),"#DIV/0!")</f>
        <v>#DIV/0!</v>
      </c>
      <c r="BE36" s="386">
        <v>22.43</v>
      </c>
      <c r="BF36" s="387">
        <v>29.61</v>
      </c>
      <c r="BG36" s="387">
        <v>25.38</v>
      </c>
      <c r="BH36" s="338">
        <f t="shared" si="17"/>
        <v>41.086350974930355</v>
      </c>
      <c r="BI36" s="364"/>
      <c r="BJ36" s="365"/>
      <c r="BK36" s="371">
        <f>'Degrémont Entrée'!BH36</f>
        <v>0</v>
      </c>
      <c r="BL36" s="372" t="str">
        <f>'Degrémont Entrée'!BI36</f>
        <v>Transfert B04 vers B01 4H30</v>
      </c>
    </row>
    <row r="37" spans="1:64" ht="15.75" customHeight="1" outlineLevel="1">
      <c r="A37" s="337">
        <f t="shared" si="18"/>
        <v>43489</v>
      </c>
      <c r="B37" s="338">
        <f>'Degrémont Entrée'!B37</f>
        <v>915</v>
      </c>
      <c r="C37" s="339">
        <v>9</v>
      </c>
      <c r="D37" s="340">
        <v>88.2</v>
      </c>
      <c r="E37" s="341">
        <v>90.1</v>
      </c>
      <c r="F37" s="342">
        <v>100</v>
      </c>
      <c r="G37" s="329">
        <f t="shared" si="0"/>
        <v>18.999999999999915</v>
      </c>
      <c r="H37" s="338">
        <f t="shared" si="1"/>
        <v>17.384999999999923</v>
      </c>
      <c r="I37" s="343">
        <v>960</v>
      </c>
      <c r="J37" s="344">
        <f t="shared" si="2"/>
        <v>878.4</v>
      </c>
      <c r="K37" s="343">
        <v>1</v>
      </c>
      <c r="L37" s="345">
        <v>1.01</v>
      </c>
      <c r="M37" s="346">
        <f t="shared" si="3"/>
        <v>1.01</v>
      </c>
      <c r="N37" s="338">
        <f t="shared" si="4"/>
        <v>0.92415000000000003</v>
      </c>
      <c r="O37" s="368"/>
      <c r="P37" s="347">
        <f t="shared" si="19"/>
        <v>0</v>
      </c>
      <c r="Q37" s="348"/>
      <c r="R37" s="369"/>
      <c r="S37" s="349">
        <f t="shared" si="20"/>
        <v>0</v>
      </c>
      <c r="T37" s="348"/>
      <c r="U37" s="369"/>
      <c r="V37" s="349">
        <f t="shared" si="5"/>
        <v>0</v>
      </c>
      <c r="W37" s="348"/>
      <c r="X37" s="318" t="str">
        <f t="shared" si="6"/>
        <v/>
      </c>
      <c r="Y37" s="370" t="e">
        <f t="shared" si="7"/>
        <v>#VALUE!</v>
      </c>
      <c r="Z37" s="343" t="s">
        <v>85</v>
      </c>
      <c r="AA37" s="345">
        <v>0.01</v>
      </c>
      <c r="AB37" s="352">
        <f t="shared" si="8"/>
        <v>4.5750000000000001E-3</v>
      </c>
      <c r="AC37" s="353"/>
      <c r="AD37" s="354"/>
      <c r="AE37" s="378" t="str">
        <f t="shared" si="21"/>
        <v/>
      </c>
      <c r="AF37" s="329"/>
      <c r="AG37" s="358"/>
      <c r="AH37" s="356" t="str">
        <f t="shared" si="22"/>
        <v/>
      </c>
      <c r="AI37" s="329"/>
      <c r="AJ37" s="329"/>
      <c r="AK37" s="356">
        <f t="shared" si="11"/>
        <v>0</v>
      </c>
      <c r="AL37" s="357"/>
      <c r="AM37" s="358"/>
      <c r="AN37" s="356">
        <f t="shared" si="12"/>
        <v>0</v>
      </c>
      <c r="AO37" s="329"/>
      <c r="AP37" s="358"/>
      <c r="AQ37" s="359">
        <f t="shared" si="13"/>
        <v>0</v>
      </c>
      <c r="AR37" s="360"/>
      <c r="AS37" s="358"/>
      <c r="AT37" s="356">
        <f t="shared" si="14"/>
        <v>0</v>
      </c>
      <c r="AU37" s="329"/>
      <c r="AV37" s="358"/>
      <c r="AW37" s="359">
        <f t="shared" si="15"/>
        <v>0</v>
      </c>
      <c r="AX37" s="329"/>
      <c r="AY37" s="358"/>
      <c r="AZ37" s="359">
        <f t="shared" si="16"/>
        <v>0</v>
      </c>
      <c r="BA37" s="329">
        <f>IF('Degrémont Entrée'!K37="",,('Degrémont Entrée'!K37-I37)/'Degrémont Entrée'!K37*100)</f>
        <v>86.131175960704994</v>
      </c>
      <c r="BB37" s="329">
        <f>IF('Degrémont Entrée'!G37="",,('Degrémont Entrée'!G37-G37)/'Degrémont Entrée'!G37*100)</f>
        <v>99.698070374574343</v>
      </c>
      <c r="BC37" s="329">
        <f>IF('Degrémont Entrée'!S37="",,('Degrémont Entrée'!S37-M37)/'Degrémont Entrée'!S37*100)</f>
        <v>99.725543478260875</v>
      </c>
      <c r="BD37" s="361" t="str">
        <f ca="1">IFERROR(__xludf.DUMMYFUNCTION("""COMPUTED_VALUE"""),"#DIV/0!")</f>
        <v>#DIV/0!</v>
      </c>
      <c r="BE37" s="362"/>
      <c r="BF37" s="363"/>
      <c r="BG37" s="363"/>
      <c r="BH37" s="338">
        <f t="shared" si="17"/>
        <v>0</v>
      </c>
      <c r="BI37" s="364"/>
      <c r="BJ37" s="365"/>
      <c r="BK37" s="366">
        <f>'Degrémont Entrée'!BH37</f>
        <v>0</v>
      </c>
      <c r="BL37" s="367" t="str">
        <f>'Degrémont Entrée'!BI37</f>
        <v>Transfert B04 vers B01 2H10</v>
      </c>
    </row>
    <row r="38" spans="1:64" ht="14.25" outlineLevel="1">
      <c r="A38" s="337">
        <f t="shared" si="18"/>
        <v>43490</v>
      </c>
      <c r="B38" s="338">
        <f>'Degrémont Entrée'!B38</f>
        <v>911</v>
      </c>
      <c r="C38" s="339">
        <v>8.6999999999999993</v>
      </c>
      <c r="D38" s="340">
        <v>89.9</v>
      </c>
      <c r="E38" s="341">
        <v>92.5</v>
      </c>
      <c r="F38" s="342">
        <v>100</v>
      </c>
      <c r="G38" s="329">
        <f t="shared" si="0"/>
        <v>25.999999999999947</v>
      </c>
      <c r="H38" s="338">
        <f t="shared" si="1"/>
        <v>23.685999999999954</v>
      </c>
      <c r="I38" s="343">
        <v>655</v>
      </c>
      <c r="J38" s="344">
        <f t="shared" si="2"/>
        <v>596.70500000000004</v>
      </c>
      <c r="K38" s="343">
        <v>1</v>
      </c>
      <c r="L38" s="345">
        <v>1.02</v>
      </c>
      <c r="M38" s="346">
        <f t="shared" si="3"/>
        <v>1.02</v>
      </c>
      <c r="N38" s="338">
        <f t="shared" si="4"/>
        <v>0.92922000000000005</v>
      </c>
      <c r="O38" s="368"/>
      <c r="P38" s="347">
        <f t="shared" si="19"/>
        <v>0</v>
      </c>
      <c r="Q38" s="348"/>
      <c r="R38" s="369"/>
      <c r="S38" s="349">
        <f t="shared" si="20"/>
        <v>0</v>
      </c>
      <c r="T38" s="348"/>
      <c r="U38" s="369"/>
      <c r="V38" s="349">
        <f t="shared" si="5"/>
        <v>0</v>
      </c>
      <c r="W38" s="348"/>
      <c r="X38" s="318" t="str">
        <f t="shared" si="6"/>
        <v/>
      </c>
      <c r="Y38" s="370" t="e">
        <f t="shared" si="7"/>
        <v>#VALUE!</v>
      </c>
      <c r="Z38" s="343" t="s">
        <v>85</v>
      </c>
      <c r="AA38" s="345">
        <v>0.01</v>
      </c>
      <c r="AB38" s="352">
        <f t="shared" si="8"/>
        <v>4.555E-3</v>
      </c>
      <c r="AC38" s="353"/>
      <c r="AD38" s="354"/>
      <c r="AE38" s="378" t="str">
        <f t="shared" si="21"/>
        <v/>
      </c>
      <c r="AF38" s="329"/>
      <c r="AG38" s="358"/>
      <c r="AH38" s="356" t="str">
        <f t="shared" si="22"/>
        <v/>
      </c>
      <c r="AI38" s="329"/>
      <c r="AJ38" s="329"/>
      <c r="AK38" s="356">
        <f t="shared" si="11"/>
        <v>0</v>
      </c>
      <c r="AL38" s="357"/>
      <c r="AM38" s="358"/>
      <c r="AN38" s="356">
        <f t="shared" si="12"/>
        <v>0</v>
      </c>
      <c r="AO38" s="329"/>
      <c r="AP38" s="358"/>
      <c r="AQ38" s="359">
        <f t="shared" si="13"/>
        <v>0</v>
      </c>
      <c r="AR38" s="360"/>
      <c r="AS38" s="358"/>
      <c r="AT38" s="356">
        <f t="shared" si="14"/>
        <v>0</v>
      </c>
      <c r="AU38" s="329"/>
      <c r="AV38" s="358"/>
      <c r="AW38" s="359">
        <f t="shared" si="15"/>
        <v>0</v>
      </c>
      <c r="AX38" s="329"/>
      <c r="AY38" s="358"/>
      <c r="AZ38" s="359">
        <f t="shared" si="16"/>
        <v>0</v>
      </c>
      <c r="BA38" s="329">
        <f>IF('Degrémont Entrée'!K38="",,('Degrémont Entrée'!K38-I38)/'Degrémont Entrée'!K38*100)</f>
        <v>68.615237182558701</v>
      </c>
      <c r="BB38" s="329">
        <f>IF('Degrémont Entrée'!G38="",,('Degrémont Entrée'!G38-G38)/'Degrémont Entrée'!G38*100)</f>
        <v>98.142857142857139</v>
      </c>
      <c r="BC38" s="329">
        <f>IF('Degrémont Entrée'!S38="",,('Degrémont Entrée'!S38-M38)/'Degrémont Entrée'!S38*100)</f>
        <v>98.881578947368425</v>
      </c>
      <c r="BD38" s="361" t="str">
        <f ca="1">IFERROR(__xludf.DUMMYFUNCTION("""COMPUTED_VALUE"""),"#DIV/0!")</f>
        <v>#DIV/0!</v>
      </c>
      <c r="BE38" s="362"/>
      <c r="BF38" s="363"/>
      <c r="BG38" s="363"/>
      <c r="BH38" s="338">
        <f t="shared" si="17"/>
        <v>0</v>
      </c>
      <c r="BI38" s="364"/>
      <c r="BJ38" s="365"/>
      <c r="BK38" s="371">
        <f>'Degrémont Entrée'!BH38</f>
        <v>0</v>
      </c>
      <c r="BL38" s="372" t="str">
        <f>'Degrémont Entrée'!BI38</f>
        <v>Transfert B04 vers B01 1H</v>
      </c>
    </row>
    <row r="39" spans="1:64" ht="15.75" customHeight="1" outlineLevel="1">
      <c r="A39" s="337">
        <f t="shared" si="18"/>
        <v>43491</v>
      </c>
      <c r="B39" s="338">
        <f>'Degrémont Entrée'!B39</f>
        <v>271</v>
      </c>
      <c r="C39" s="339">
        <v>8.4</v>
      </c>
      <c r="D39" s="340">
        <v>88.4</v>
      </c>
      <c r="E39" s="341">
        <v>90.8</v>
      </c>
      <c r="F39" s="342">
        <v>100</v>
      </c>
      <c r="G39" s="329">
        <f t="shared" si="0"/>
        <v>23.999999999999915</v>
      </c>
      <c r="H39" s="338">
        <f t="shared" si="1"/>
        <v>6.5039999999999774</v>
      </c>
      <c r="I39" s="343">
        <v>623</v>
      </c>
      <c r="J39" s="344">
        <f t="shared" si="2"/>
        <v>168.833</v>
      </c>
      <c r="K39" s="343">
        <v>1</v>
      </c>
      <c r="L39" s="345">
        <v>0.96</v>
      </c>
      <c r="M39" s="346">
        <f t="shared" si="3"/>
        <v>0.96</v>
      </c>
      <c r="N39" s="338">
        <f t="shared" si="4"/>
        <v>0.26015999999999995</v>
      </c>
      <c r="O39" s="368"/>
      <c r="P39" s="347">
        <f t="shared" si="19"/>
        <v>0</v>
      </c>
      <c r="Q39" s="348"/>
      <c r="R39" s="369"/>
      <c r="S39" s="349">
        <f t="shared" si="20"/>
        <v>0</v>
      </c>
      <c r="T39" s="348"/>
      <c r="U39" s="369"/>
      <c r="V39" s="349">
        <f t="shared" si="5"/>
        <v>0</v>
      </c>
      <c r="W39" s="348"/>
      <c r="X39" s="318" t="str">
        <f t="shared" si="6"/>
        <v/>
      </c>
      <c r="Y39" s="370" t="e">
        <f t="shared" si="7"/>
        <v>#VALUE!</v>
      </c>
      <c r="Z39" s="343" t="s">
        <v>85</v>
      </c>
      <c r="AA39" s="345">
        <v>0.01</v>
      </c>
      <c r="AB39" s="352">
        <f t="shared" si="8"/>
        <v>1.3550000000000001E-3</v>
      </c>
      <c r="AC39" s="353"/>
      <c r="AD39" s="354"/>
      <c r="AE39" s="378" t="str">
        <f t="shared" si="21"/>
        <v/>
      </c>
      <c r="AF39" s="329"/>
      <c r="AG39" s="358"/>
      <c r="AH39" s="356" t="str">
        <f t="shared" si="22"/>
        <v/>
      </c>
      <c r="AI39" s="329"/>
      <c r="AJ39" s="329"/>
      <c r="AK39" s="356">
        <f t="shared" si="11"/>
        <v>0</v>
      </c>
      <c r="AL39" s="357"/>
      <c r="AM39" s="358"/>
      <c r="AN39" s="356">
        <f t="shared" si="12"/>
        <v>0</v>
      </c>
      <c r="AO39" s="329"/>
      <c r="AP39" s="358"/>
      <c r="AQ39" s="359">
        <f t="shared" si="13"/>
        <v>0</v>
      </c>
      <c r="AR39" s="360"/>
      <c r="AS39" s="358"/>
      <c r="AT39" s="356">
        <f t="shared" si="14"/>
        <v>0</v>
      </c>
      <c r="AU39" s="329"/>
      <c r="AV39" s="358"/>
      <c r="AW39" s="359">
        <f t="shared" si="15"/>
        <v>0</v>
      </c>
      <c r="AX39" s="329"/>
      <c r="AY39" s="358"/>
      <c r="AZ39" s="359">
        <f t="shared" si="16"/>
        <v>0</v>
      </c>
      <c r="BA39" s="329">
        <f>IF('Degrémont Entrée'!K39="",,('Degrémont Entrée'!K39-I39)/'Degrémont Entrée'!K39*100)</f>
        <v>87.572311988829043</v>
      </c>
      <c r="BB39" s="329">
        <f>IF('Degrémont Entrée'!G39="",,('Degrémont Entrée'!G39-G39)/'Degrémont Entrée'!G39*100)</f>
        <v>99.453625632377737</v>
      </c>
      <c r="BC39" s="329">
        <f>IF('Degrémont Entrée'!S39="",,('Degrémont Entrée'!S39-M39)/'Degrémont Entrée'!S39*100)</f>
        <v>99.654676258992808</v>
      </c>
      <c r="BD39" s="361" t="str">
        <f ca="1">IFERROR(__xludf.DUMMYFUNCTION("""COMPUTED_VALUE"""),"#DIV/0!")</f>
        <v>#DIV/0!</v>
      </c>
      <c r="BE39" s="362"/>
      <c r="BF39" s="363"/>
      <c r="BG39" s="363"/>
      <c r="BH39" s="338">
        <f t="shared" si="17"/>
        <v>0</v>
      </c>
      <c r="BI39" s="364"/>
      <c r="BJ39" s="365"/>
      <c r="BK39" s="366">
        <f>'Degrémont Entrée'!BH39</f>
        <v>0</v>
      </c>
      <c r="BL39" s="367" t="str">
        <f>'Degrémont Entrée'!BI39</f>
        <v>Transfert B04 vers B01 1H30</v>
      </c>
    </row>
    <row r="40" spans="1:64" ht="14.25" outlineLevel="1">
      <c r="A40" s="337">
        <f t="shared" si="18"/>
        <v>43492</v>
      </c>
      <c r="B40" s="338">
        <f>'Degrémont Entrée'!B40</f>
        <v>0</v>
      </c>
      <c r="C40" s="338"/>
      <c r="D40" s="388"/>
      <c r="E40" s="368"/>
      <c r="F40" s="357"/>
      <c r="G40" s="329">
        <f t="shared" si="0"/>
        <v>0</v>
      </c>
      <c r="H40" s="338"/>
      <c r="I40" s="346"/>
      <c r="J40" s="344">
        <f t="shared" si="2"/>
        <v>0</v>
      </c>
      <c r="K40" s="343">
        <v>1</v>
      </c>
      <c r="L40" s="329"/>
      <c r="M40" s="346" t="str">
        <f t="shared" si="3"/>
        <v/>
      </c>
      <c r="N40" s="338" t="e">
        <f t="shared" si="4"/>
        <v>#VALUE!</v>
      </c>
      <c r="O40" s="368"/>
      <c r="P40" s="347">
        <f t="shared" si="19"/>
        <v>0</v>
      </c>
      <c r="Q40" s="348"/>
      <c r="R40" s="369"/>
      <c r="S40" s="349">
        <f t="shared" si="20"/>
        <v>0</v>
      </c>
      <c r="T40" s="348"/>
      <c r="U40" s="369"/>
      <c r="V40" s="349">
        <f t="shared" si="5"/>
        <v>0</v>
      </c>
      <c r="W40" s="348"/>
      <c r="X40" s="318" t="str">
        <f t="shared" si="6"/>
        <v/>
      </c>
      <c r="Y40" s="370" t="e">
        <f t="shared" si="7"/>
        <v>#VALUE!</v>
      </c>
      <c r="Z40" s="346"/>
      <c r="AA40" s="329"/>
      <c r="AB40" s="352">
        <f t="shared" si="8"/>
        <v>0</v>
      </c>
      <c r="AC40" s="353"/>
      <c r="AD40" s="354"/>
      <c r="AE40" s="378" t="str">
        <f t="shared" si="21"/>
        <v/>
      </c>
      <c r="AF40" s="329"/>
      <c r="AG40" s="358"/>
      <c r="AH40" s="356" t="str">
        <f t="shared" si="22"/>
        <v/>
      </c>
      <c r="AI40" s="329"/>
      <c r="AJ40" s="329"/>
      <c r="AK40" s="356">
        <f t="shared" si="11"/>
        <v>0</v>
      </c>
      <c r="AL40" s="357"/>
      <c r="AM40" s="358"/>
      <c r="AN40" s="356">
        <f t="shared" si="12"/>
        <v>0</v>
      </c>
      <c r="AO40" s="329"/>
      <c r="AP40" s="358"/>
      <c r="AQ40" s="359">
        <f t="shared" si="13"/>
        <v>0</v>
      </c>
      <c r="AR40" s="360"/>
      <c r="AS40" s="358"/>
      <c r="AT40" s="356">
        <f t="shared" si="14"/>
        <v>0</v>
      </c>
      <c r="AU40" s="329"/>
      <c r="AV40" s="358"/>
      <c r="AW40" s="359">
        <f t="shared" si="15"/>
        <v>0</v>
      </c>
      <c r="AX40" s="329"/>
      <c r="AY40" s="358"/>
      <c r="AZ40" s="359">
        <f t="shared" si="16"/>
        <v>0</v>
      </c>
      <c r="BA40" s="329" t="e">
        <f>IF('Degrémont Entrée'!K40="",,('Degrémont Entrée'!K40-I40)/'Degrémont Entrée'!K40*100)</f>
        <v>#DIV/0!</v>
      </c>
      <c r="BB40" s="329" t="e">
        <f>IF('Degrémont Entrée'!G40="",,('Degrémont Entrée'!G40-G40)/'Degrémont Entrée'!G40*100)</f>
        <v>#DIV/0!</v>
      </c>
      <c r="BC40" s="329">
        <f>IF('Degrémont Entrée'!S40="",,('Degrémont Entrée'!S40-M40)/'Degrémont Entrée'!S40*100)</f>
        <v>0</v>
      </c>
      <c r="BD40" s="361" t="str">
        <f ca="1">IFERROR(__xludf.DUMMYFUNCTION("""COMPUTED_VALUE"""),"#DIV/0!")</f>
        <v>#DIV/0!</v>
      </c>
      <c r="BE40" s="362"/>
      <c r="BF40" s="363"/>
      <c r="BG40" s="363"/>
      <c r="BH40" s="338">
        <f t="shared" si="17"/>
        <v>0</v>
      </c>
      <c r="BI40" s="364"/>
      <c r="BJ40" s="365"/>
      <c r="BK40" s="371">
        <f>'Degrémont Entrée'!BH40</f>
        <v>0</v>
      </c>
      <c r="BL40" s="372">
        <f>'Degrémont Entrée'!BI40</f>
        <v>0</v>
      </c>
    </row>
    <row r="41" spans="1:64" ht="15.75" customHeight="1" outlineLevel="1">
      <c r="A41" s="337">
        <f t="shared" si="18"/>
        <v>43493</v>
      </c>
      <c r="B41" s="338">
        <f>'Degrémont Entrée'!B41</f>
        <v>919</v>
      </c>
      <c r="C41" s="339">
        <v>9</v>
      </c>
      <c r="D41" s="340">
        <v>88.2</v>
      </c>
      <c r="E41" s="341">
        <v>89.1</v>
      </c>
      <c r="F41" s="342">
        <v>91</v>
      </c>
      <c r="G41" s="329">
        <f t="shared" si="0"/>
        <v>9.8901098901097964</v>
      </c>
      <c r="H41" s="338"/>
      <c r="I41" s="343">
        <v>1336</v>
      </c>
      <c r="J41" s="344">
        <f t="shared" si="2"/>
        <v>1227.7840000000001</v>
      </c>
      <c r="K41" s="343">
        <v>1</v>
      </c>
      <c r="L41" s="345">
        <v>1.25</v>
      </c>
      <c r="M41" s="346">
        <f t="shared" si="3"/>
        <v>1.25</v>
      </c>
      <c r="N41" s="338">
        <f t="shared" si="4"/>
        <v>1.1487499999999999</v>
      </c>
      <c r="O41" s="368"/>
      <c r="P41" s="347">
        <f t="shared" si="19"/>
        <v>0</v>
      </c>
      <c r="Q41" s="348"/>
      <c r="R41" s="369"/>
      <c r="S41" s="349">
        <f t="shared" si="20"/>
        <v>0</v>
      </c>
      <c r="T41" s="348"/>
      <c r="U41" s="369"/>
      <c r="V41" s="349">
        <f t="shared" si="5"/>
        <v>0</v>
      </c>
      <c r="W41" s="348"/>
      <c r="X41" s="318" t="str">
        <f t="shared" si="6"/>
        <v/>
      </c>
      <c r="Y41" s="370" t="e">
        <f t="shared" si="7"/>
        <v>#VALUE!</v>
      </c>
      <c r="Z41" s="343" t="s">
        <v>85</v>
      </c>
      <c r="AA41" s="345">
        <v>0.01</v>
      </c>
      <c r="AB41" s="352">
        <f t="shared" si="8"/>
        <v>4.5950000000000001E-3</v>
      </c>
      <c r="AC41" s="353"/>
      <c r="AD41" s="354"/>
      <c r="AE41" s="378" t="str">
        <f t="shared" si="21"/>
        <v/>
      </c>
      <c r="AF41" s="329"/>
      <c r="AG41" s="358"/>
      <c r="AH41" s="356" t="str">
        <f t="shared" si="22"/>
        <v/>
      </c>
      <c r="AI41" s="329"/>
      <c r="AJ41" s="329"/>
      <c r="AK41" s="356">
        <f t="shared" si="11"/>
        <v>0</v>
      </c>
      <c r="AL41" s="357"/>
      <c r="AM41" s="358"/>
      <c r="AN41" s="356">
        <f t="shared" si="12"/>
        <v>0</v>
      </c>
      <c r="AO41" s="329"/>
      <c r="AP41" s="358"/>
      <c r="AQ41" s="359">
        <f t="shared" si="13"/>
        <v>0</v>
      </c>
      <c r="AR41" s="360"/>
      <c r="AS41" s="358"/>
      <c r="AT41" s="356">
        <f t="shared" si="14"/>
        <v>0</v>
      </c>
      <c r="AU41" s="329"/>
      <c r="AV41" s="358"/>
      <c r="AW41" s="359">
        <f t="shared" si="15"/>
        <v>0</v>
      </c>
      <c r="AX41" s="329"/>
      <c r="AY41" s="358"/>
      <c r="AZ41" s="359">
        <f t="shared" si="16"/>
        <v>0</v>
      </c>
      <c r="BA41" s="329">
        <f>IF('Degrémont Entrée'!K41="",,('Degrémont Entrée'!K41-I41)/'Degrémont Entrée'!K41*100)</f>
        <v>42.064180398959238</v>
      </c>
      <c r="BB41" s="329">
        <f>IF('Degrémont Entrée'!G41="",,('Degrémont Entrée'!G41-G41)/'Degrémont Entrée'!G41*100)</f>
        <v>99.222728491021172</v>
      </c>
      <c r="BC41" s="329">
        <f>IF('Degrémont Entrée'!S41="",,('Degrémont Entrée'!S41-M41)/'Degrémont Entrée'!S41*100)</f>
        <v>97.86689419795222</v>
      </c>
      <c r="BD41" s="361" t="str">
        <f ca="1">IFERROR(__xludf.DUMMYFUNCTION("""COMPUTED_VALUE"""),"#DIV/0!")</f>
        <v>#DIV/0!</v>
      </c>
      <c r="BE41" s="362"/>
      <c r="BF41" s="363"/>
      <c r="BG41" s="363"/>
      <c r="BH41" s="338">
        <f t="shared" si="17"/>
        <v>0</v>
      </c>
      <c r="BI41" s="364"/>
      <c r="BJ41" s="365"/>
      <c r="BK41" s="366">
        <f>'Degrémont Entrée'!BH41</f>
        <v>0</v>
      </c>
      <c r="BL41" s="367" t="str">
        <f>'Degrémont Entrée'!BI41</f>
        <v>Transfert B04 vers B01 1H30</v>
      </c>
    </row>
    <row r="42" spans="1:64" ht="14.25" outlineLevel="1">
      <c r="A42" s="337">
        <f t="shared" si="18"/>
        <v>43494</v>
      </c>
      <c r="B42" s="338">
        <f>'Degrémont Entrée'!B42</f>
        <v>948</v>
      </c>
      <c r="C42" s="339">
        <v>9.1</v>
      </c>
      <c r="D42" s="340">
        <v>89.2</v>
      </c>
      <c r="E42" s="341">
        <v>90.1</v>
      </c>
      <c r="F42" s="342">
        <v>100</v>
      </c>
      <c r="G42" s="329">
        <f t="shared" si="0"/>
        <v>8.9999999999999147</v>
      </c>
      <c r="H42" s="338"/>
      <c r="I42" s="343">
        <v>694</v>
      </c>
      <c r="J42" s="344">
        <f t="shared" si="2"/>
        <v>657.91200000000003</v>
      </c>
      <c r="K42" s="343">
        <v>1</v>
      </c>
      <c r="L42" s="345">
        <v>0.92</v>
      </c>
      <c r="M42" s="346">
        <f t="shared" si="3"/>
        <v>0.92</v>
      </c>
      <c r="N42" s="338">
        <f t="shared" si="4"/>
        <v>0.87216000000000005</v>
      </c>
      <c r="O42" s="341">
        <v>11.8</v>
      </c>
      <c r="P42" s="347">
        <f t="shared" si="19"/>
        <v>11.186400000000001</v>
      </c>
      <c r="Q42" s="348"/>
      <c r="R42" s="369"/>
      <c r="S42" s="349">
        <f t="shared" si="20"/>
        <v>0</v>
      </c>
      <c r="T42" s="348"/>
      <c r="U42" s="369"/>
      <c r="V42" s="349">
        <f t="shared" si="5"/>
        <v>0</v>
      </c>
      <c r="W42" s="348"/>
      <c r="X42" s="318">
        <f t="shared" si="6"/>
        <v>11.8</v>
      </c>
      <c r="Y42" s="370">
        <f t="shared" si="7"/>
        <v>11.186400000000001</v>
      </c>
      <c r="Z42" s="343" t="s">
        <v>85</v>
      </c>
      <c r="AA42" s="345">
        <v>0.01</v>
      </c>
      <c r="AB42" s="352">
        <f t="shared" si="8"/>
        <v>4.7400000000000003E-3</v>
      </c>
      <c r="AC42" s="353"/>
      <c r="AD42" s="354"/>
      <c r="AE42" s="378" t="str">
        <f t="shared" si="21"/>
        <v/>
      </c>
      <c r="AF42" s="329"/>
      <c r="AG42" s="355">
        <v>0.39</v>
      </c>
      <c r="AH42" s="356">
        <f t="shared" si="22"/>
        <v>1.9188000000000001</v>
      </c>
      <c r="AI42" s="329"/>
      <c r="AJ42" s="345">
        <v>0.62</v>
      </c>
      <c r="AK42" s="356">
        <f t="shared" si="11"/>
        <v>0.58775999999999995</v>
      </c>
      <c r="AL42" s="342" t="s">
        <v>85</v>
      </c>
      <c r="AM42" s="355">
        <v>0.03</v>
      </c>
      <c r="AN42" s="356">
        <f t="shared" si="12"/>
        <v>1.4219999999999998E-2</v>
      </c>
      <c r="AO42" s="329"/>
      <c r="AP42" s="355">
        <v>0.22</v>
      </c>
      <c r="AQ42" s="359">
        <f t="shared" si="13"/>
        <v>0.20856</v>
      </c>
      <c r="AR42" s="360"/>
      <c r="AS42" s="355">
        <v>0.5</v>
      </c>
      <c r="AT42" s="356">
        <f t="shared" si="14"/>
        <v>0.47399999999999998</v>
      </c>
      <c r="AU42" s="329"/>
      <c r="AV42" s="355">
        <v>0.17</v>
      </c>
      <c r="AW42" s="359">
        <f t="shared" si="15"/>
        <v>0.16116000000000003</v>
      </c>
      <c r="AX42" s="329"/>
      <c r="AY42" s="355">
        <v>0.13</v>
      </c>
      <c r="AZ42" s="359">
        <f t="shared" si="16"/>
        <v>0.12324</v>
      </c>
      <c r="BA42" s="329">
        <f>IF('Degrémont Entrée'!K42="",,('Degrémont Entrée'!K42-I42)/'Degrémont Entrée'!K42*100)</f>
        <v>28.893442622950822</v>
      </c>
      <c r="BB42" s="329">
        <f>IF('Degrémont Entrée'!G42="",,('Degrémont Entrée'!G42-G42)/'Degrémont Entrée'!G42*100)</f>
        <v>98.990654205607484</v>
      </c>
      <c r="BC42" s="329">
        <f>IF('Degrémont Entrée'!S42="",,('Degrémont Entrée'!S42-M42)/'Degrémont Entrée'!S42*100)</f>
        <v>98.476821192052981</v>
      </c>
      <c r="BD42" s="361" t="str">
        <f ca="1">IFERROR(__xludf.DUMMYFUNCTION("""COMPUTED_VALUE"""),"#DIV/0!")</f>
        <v>#DIV/0!</v>
      </c>
      <c r="BE42" s="362"/>
      <c r="BF42" s="363"/>
      <c r="BG42" s="363"/>
      <c r="BH42" s="338">
        <f t="shared" si="17"/>
        <v>0</v>
      </c>
      <c r="BI42" s="364"/>
      <c r="BJ42" s="365"/>
      <c r="BK42" s="371">
        <f>'Degrémont Entrée'!BH42</f>
        <v>0</v>
      </c>
      <c r="BL42" s="372" t="str">
        <f>'Degrémont Entrée'!BI42</f>
        <v>Transfert B04 vers B01 1H45</v>
      </c>
    </row>
    <row r="43" spans="1:64" ht="15.75" customHeight="1" outlineLevel="1">
      <c r="A43" s="337">
        <f t="shared" si="18"/>
        <v>43495</v>
      </c>
      <c r="B43" s="338">
        <f>'Degrémont Entrée'!B43</f>
        <v>882</v>
      </c>
      <c r="C43" s="339">
        <v>8.9</v>
      </c>
      <c r="D43" s="340">
        <v>90.2</v>
      </c>
      <c r="E43" s="341">
        <v>91.6</v>
      </c>
      <c r="F43" s="342">
        <v>93</v>
      </c>
      <c r="G43" s="329">
        <f t="shared" si="0"/>
        <v>15.053763440860122</v>
      </c>
      <c r="H43" s="338"/>
      <c r="I43" s="343">
        <v>805</v>
      </c>
      <c r="J43" s="344">
        <f t="shared" si="2"/>
        <v>710.01</v>
      </c>
      <c r="K43" s="343">
        <v>1</v>
      </c>
      <c r="L43" s="345">
        <v>0.97</v>
      </c>
      <c r="M43" s="346">
        <f t="shared" si="3"/>
        <v>0.97</v>
      </c>
      <c r="N43" s="338">
        <f t="shared" si="4"/>
        <v>0.85553999999999997</v>
      </c>
      <c r="O43" s="368"/>
      <c r="P43" s="347">
        <f t="shared" si="19"/>
        <v>0</v>
      </c>
      <c r="Q43" s="348"/>
      <c r="R43" s="369"/>
      <c r="S43" s="349">
        <f t="shared" si="20"/>
        <v>0</v>
      </c>
      <c r="T43" s="348"/>
      <c r="U43" s="369"/>
      <c r="V43" s="349">
        <f t="shared" si="5"/>
        <v>0</v>
      </c>
      <c r="W43" s="348"/>
      <c r="X43" s="318" t="str">
        <f t="shared" si="6"/>
        <v/>
      </c>
      <c r="Y43" s="370" t="e">
        <f t="shared" si="7"/>
        <v>#VALUE!</v>
      </c>
      <c r="Z43" s="343" t="s">
        <v>85</v>
      </c>
      <c r="AA43" s="345">
        <v>0.01</v>
      </c>
      <c r="AB43" s="352">
        <f t="shared" si="8"/>
        <v>4.4099999999999999E-3</v>
      </c>
      <c r="AC43" s="353"/>
      <c r="AD43" s="354"/>
      <c r="AE43" s="378" t="str">
        <f t="shared" si="21"/>
        <v/>
      </c>
      <c r="AF43" s="329"/>
      <c r="AG43" s="358"/>
      <c r="AH43" s="356" t="str">
        <f t="shared" si="22"/>
        <v/>
      </c>
      <c r="AI43" s="329"/>
      <c r="AJ43" s="329"/>
      <c r="AK43" s="356">
        <f t="shared" si="11"/>
        <v>0</v>
      </c>
      <c r="AL43" s="357"/>
      <c r="AM43" s="358"/>
      <c r="AN43" s="356">
        <f t="shared" si="12"/>
        <v>0</v>
      </c>
      <c r="AO43" s="329"/>
      <c r="AP43" s="358"/>
      <c r="AQ43" s="359">
        <f t="shared" si="13"/>
        <v>0</v>
      </c>
      <c r="AR43" s="360"/>
      <c r="AS43" s="358"/>
      <c r="AT43" s="356">
        <f t="shared" si="14"/>
        <v>0</v>
      </c>
      <c r="AU43" s="329"/>
      <c r="AV43" s="358"/>
      <c r="AW43" s="359">
        <f t="shared" si="15"/>
        <v>0</v>
      </c>
      <c r="AX43" s="329"/>
      <c r="AY43" s="358"/>
      <c r="AZ43" s="359">
        <f t="shared" si="16"/>
        <v>0</v>
      </c>
      <c r="BA43" s="329">
        <f>IF('Degrémont Entrée'!K43="",,('Degrémont Entrée'!K43-I43)/'Degrémont Entrée'!K43*100)</f>
        <v>41.454545454545453</v>
      </c>
      <c r="BB43" s="329">
        <f>IF('Degrémont Entrée'!G43="",,('Degrémont Entrée'!G43-G43)/'Degrémont Entrée'!G43*100)</f>
        <v>98.985447636954788</v>
      </c>
      <c r="BC43" s="329">
        <f>IF('Degrémont Entrée'!S43="",,('Degrémont Entrée'!S43-M43)/'Degrémont Entrée'!S43*100)</f>
        <v>98.663911845730027</v>
      </c>
      <c r="BD43" s="361" t="str">
        <f ca="1">IFERROR(__xludf.DUMMYFUNCTION("""COMPUTED_VALUE"""),"#DIV/0!")</f>
        <v>#DIV/0!</v>
      </c>
      <c r="BE43" s="362"/>
      <c r="BF43" s="363"/>
      <c r="BG43" s="363"/>
      <c r="BH43" s="338">
        <f t="shared" si="17"/>
        <v>0</v>
      </c>
      <c r="BI43" s="364"/>
      <c r="BJ43" s="365"/>
      <c r="BK43" s="366">
        <f>'Degrémont Entrée'!BH43</f>
        <v>0</v>
      </c>
      <c r="BL43" s="367" t="str">
        <f>'Degrémont Entrée'!BI43</f>
        <v>Transfert B04 vers B01 2H</v>
      </c>
    </row>
    <row r="44" spans="1:64" ht="24" outlineLevel="1">
      <c r="A44" s="337">
        <f t="shared" si="18"/>
        <v>43496</v>
      </c>
      <c r="B44" s="338">
        <f>'Degrémont Entrée'!B44</f>
        <v>886</v>
      </c>
      <c r="C44" s="339">
        <v>9</v>
      </c>
      <c r="D44" s="340">
        <v>90.3</v>
      </c>
      <c r="E44" s="341">
        <v>90.9</v>
      </c>
      <c r="F44" s="342">
        <v>100</v>
      </c>
      <c r="G44" s="329">
        <f t="shared" si="0"/>
        <v>6.0000000000000853</v>
      </c>
      <c r="H44" s="338"/>
      <c r="I44" s="343">
        <v>870</v>
      </c>
      <c r="J44" s="344">
        <f t="shared" si="2"/>
        <v>770.82</v>
      </c>
      <c r="K44" s="343">
        <v>1</v>
      </c>
      <c r="L44" s="345">
        <v>1.23</v>
      </c>
      <c r="M44" s="346">
        <f t="shared" si="3"/>
        <v>1.23</v>
      </c>
      <c r="N44" s="338">
        <f t="shared" si="4"/>
        <v>1.08978</v>
      </c>
      <c r="O44" s="368"/>
      <c r="P44" s="347">
        <f t="shared" si="19"/>
        <v>0</v>
      </c>
      <c r="Q44" s="348"/>
      <c r="R44" s="369"/>
      <c r="S44" s="349">
        <f t="shared" si="20"/>
        <v>0</v>
      </c>
      <c r="T44" s="348"/>
      <c r="U44" s="369"/>
      <c r="V44" s="349">
        <f t="shared" si="5"/>
        <v>0</v>
      </c>
      <c r="W44" s="348"/>
      <c r="X44" s="318" t="str">
        <f t="shared" si="6"/>
        <v/>
      </c>
      <c r="Y44" s="370" t="e">
        <f t="shared" si="7"/>
        <v>#VALUE!</v>
      </c>
      <c r="Z44" s="343" t="s">
        <v>85</v>
      </c>
      <c r="AA44" s="345">
        <v>0.01</v>
      </c>
      <c r="AB44" s="352">
        <f t="shared" si="8"/>
        <v>4.4299999999999999E-3</v>
      </c>
      <c r="AC44" s="353"/>
      <c r="AD44" s="354"/>
      <c r="AE44" s="378" t="str">
        <f t="shared" si="21"/>
        <v/>
      </c>
      <c r="AF44" s="329"/>
      <c r="AG44" s="358"/>
      <c r="AH44" s="356" t="str">
        <f t="shared" si="22"/>
        <v/>
      </c>
      <c r="AI44" s="329"/>
      <c r="AJ44" s="329"/>
      <c r="AK44" s="356">
        <f t="shared" si="11"/>
        <v>0</v>
      </c>
      <c r="AL44" s="357"/>
      <c r="AM44" s="358"/>
      <c r="AN44" s="356">
        <f t="shared" si="12"/>
        <v>0</v>
      </c>
      <c r="AO44" s="329"/>
      <c r="AP44" s="358"/>
      <c r="AQ44" s="359">
        <f t="shared" si="13"/>
        <v>0</v>
      </c>
      <c r="AR44" s="360"/>
      <c r="AS44" s="358"/>
      <c r="AT44" s="356">
        <f t="shared" si="14"/>
        <v>0</v>
      </c>
      <c r="AU44" s="329"/>
      <c r="AV44" s="358"/>
      <c r="AW44" s="359">
        <f t="shared" si="15"/>
        <v>0</v>
      </c>
      <c r="AX44" s="329"/>
      <c r="AY44" s="358"/>
      <c r="AZ44" s="359">
        <f t="shared" si="16"/>
        <v>0</v>
      </c>
      <c r="BA44" s="329">
        <f>IF('Degrémont Entrée'!K44="",,('Degrémont Entrée'!K44-I44)/'Degrémont Entrée'!K44*100)</f>
        <v>40.165061898211832</v>
      </c>
      <c r="BB44" s="329">
        <f>IF('Degrémont Entrée'!G44="",,('Degrémont Entrée'!G44-G44)/'Degrémont Entrée'!G44*100)</f>
        <v>99.638938053097348</v>
      </c>
      <c r="BC44" s="329">
        <f>IF('Degrémont Entrée'!S44="",,('Degrémont Entrée'!S44-M44)/'Degrémont Entrée'!S44*100)</f>
        <v>98.739754098360649</v>
      </c>
      <c r="BD44" s="361" t="str">
        <f ca="1">IFERROR(__xludf.DUMMYFUNCTION("""COMPUTED_VALUE"""),"#DIV/0!")</f>
        <v>#DIV/0!</v>
      </c>
      <c r="BE44" s="362"/>
      <c r="BF44" s="363"/>
      <c r="BG44" s="363"/>
      <c r="BH44" s="338">
        <f t="shared" si="17"/>
        <v>0</v>
      </c>
      <c r="BI44" s="364"/>
      <c r="BJ44" s="365"/>
      <c r="BK44" s="371">
        <f>'Degrémont Entrée'!BH44</f>
        <v>0</v>
      </c>
      <c r="BL44" s="372" t="str">
        <f>'Degrémont Entrée'!BI44</f>
        <v>Transfert B04 vers B01 2H30 Camion 22 big bag</v>
      </c>
    </row>
    <row r="45" spans="1:64" ht="15.75" customHeight="1" outlineLevel="1">
      <c r="A45" s="337">
        <f t="shared" si="18"/>
        <v>43497</v>
      </c>
      <c r="B45" s="338">
        <f>'Degrémont Entrée'!B45</f>
        <v>899</v>
      </c>
      <c r="C45" s="339">
        <v>9</v>
      </c>
      <c r="D45" s="340">
        <v>90.8</v>
      </c>
      <c r="E45" s="341">
        <v>93</v>
      </c>
      <c r="F45" s="342">
        <v>100</v>
      </c>
      <c r="G45" s="329">
        <f t="shared" si="0"/>
        <v>22.000000000000028</v>
      </c>
      <c r="H45" s="338"/>
      <c r="I45" s="343">
        <v>689</v>
      </c>
      <c r="J45" s="344">
        <f t="shared" si="2"/>
        <v>619.41099999999994</v>
      </c>
      <c r="K45" s="343">
        <v>1</v>
      </c>
      <c r="L45" s="345">
        <v>1.01</v>
      </c>
      <c r="M45" s="346">
        <f t="shared" si="3"/>
        <v>1.01</v>
      </c>
      <c r="N45" s="338">
        <f t="shared" si="4"/>
        <v>0.90798999999999996</v>
      </c>
      <c r="O45" s="368"/>
      <c r="P45" s="347">
        <f t="shared" si="19"/>
        <v>0</v>
      </c>
      <c r="Q45" s="348"/>
      <c r="R45" s="369"/>
      <c r="S45" s="349">
        <f t="shared" si="20"/>
        <v>0</v>
      </c>
      <c r="T45" s="348"/>
      <c r="U45" s="369"/>
      <c r="V45" s="349">
        <f t="shared" si="5"/>
        <v>0</v>
      </c>
      <c r="W45" s="348"/>
      <c r="X45" s="318" t="str">
        <f t="shared" si="6"/>
        <v/>
      </c>
      <c r="Y45" s="370" t="e">
        <f t="shared" si="7"/>
        <v>#VALUE!</v>
      </c>
      <c r="Z45" s="343" t="s">
        <v>85</v>
      </c>
      <c r="AA45" s="345">
        <v>0.01</v>
      </c>
      <c r="AB45" s="352">
        <f t="shared" si="8"/>
        <v>4.4949999999999999E-3</v>
      </c>
      <c r="AC45" s="353"/>
      <c r="AD45" s="354"/>
      <c r="AE45" s="378" t="str">
        <f t="shared" si="21"/>
        <v/>
      </c>
      <c r="AF45" s="329"/>
      <c r="AG45" s="358"/>
      <c r="AH45" s="356" t="str">
        <f t="shared" si="22"/>
        <v/>
      </c>
      <c r="AI45" s="329"/>
      <c r="AJ45" s="329"/>
      <c r="AK45" s="356">
        <f t="shared" si="11"/>
        <v>0</v>
      </c>
      <c r="AL45" s="357"/>
      <c r="AM45" s="358"/>
      <c r="AN45" s="356">
        <f t="shared" si="12"/>
        <v>0</v>
      </c>
      <c r="AO45" s="329"/>
      <c r="AP45" s="358"/>
      <c r="AQ45" s="359">
        <f t="shared" si="13"/>
        <v>0</v>
      </c>
      <c r="AR45" s="360"/>
      <c r="AS45" s="358"/>
      <c r="AT45" s="356">
        <f t="shared" si="14"/>
        <v>0</v>
      </c>
      <c r="AU45" s="329"/>
      <c r="AV45" s="358"/>
      <c r="AW45" s="359">
        <f t="shared" si="15"/>
        <v>0</v>
      </c>
      <c r="AX45" s="329"/>
      <c r="AY45" s="358"/>
      <c r="AZ45" s="359">
        <f t="shared" si="16"/>
        <v>0</v>
      </c>
      <c r="BA45" s="329">
        <f>IF('Degrémont Entrée'!K45="",,('Degrémont Entrée'!K45-I45)/'Degrémont Entrée'!K45*100)</f>
        <v>76.084692814994796</v>
      </c>
      <c r="BB45" s="329">
        <f>IF('Degrémont Entrée'!G45="",,('Degrémont Entrée'!G45-G45)/'Degrémont Entrée'!G45*100)</f>
        <v>98.72035794183445</v>
      </c>
      <c r="BC45" s="329">
        <f>IF('Degrémont Entrée'!S45="",,('Degrémont Entrée'!S45-M45)/'Degrémont Entrée'!S45*100)</f>
        <v>98.828306264501151</v>
      </c>
      <c r="BD45" s="361" t="str">
        <f ca="1">IFERROR(__xludf.DUMMYFUNCTION("""COMPUTED_VALUE"""),"#DIV/0!")</f>
        <v>#DIV/0!</v>
      </c>
      <c r="BE45" s="362"/>
      <c r="BF45" s="363"/>
      <c r="BG45" s="363"/>
      <c r="BH45" s="338">
        <f t="shared" si="17"/>
        <v>0</v>
      </c>
      <c r="BI45" s="364"/>
      <c r="BJ45" s="365"/>
      <c r="BK45" s="366">
        <f>'Degrémont Entrée'!BH45</f>
        <v>0</v>
      </c>
      <c r="BL45" s="367">
        <f>'Degrémont Entrée'!BI45</f>
        <v>0</v>
      </c>
    </row>
    <row r="46" spans="1:64" ht="14.25" outlineLevel="1">
      <c r="A46" s="337">
        <f t="shared" si="18"/>
        <v>43498</v>
      </c>
      <c r="B46" s="338">
        <f>'Degrémont Entrée'!B46</f>
        <v>857</v>
      </c>
      <c r="C46" s="339">
        <v>9</v>
      </c>
      <c r="D46" s="340">
        <v>88</v>
      </c>
      <c r="E46" s="341">
        <v>92.3</v>
      </c>
      <c r="F46" s="342">
        <v>100</v>
      </c>
      <c r="G46" s="329">
        <f t="shared" si="0"/>
        <v>42.999999999999972</v>
      </c>
      <c r="H46" s="338"/>
      <c r="I46" s="343">
        <v>751</v>
      </c>
      <c r="J46" s="344">
        <f t="shared" si="2"/>
        <v>643.60699999999997</v>
      </c>
      <c r="K46" s="343">
        <v>1</v>
      </c>
      <c r="L46" s="345">
        <v>0.69</v>
      </c>
      <c r="M46" s="346">
        <f t="shared" si="3"/>
        <v>0.69</v>
      </c>
      <c r="N46" s="338">
        <f t="shared" si="4"/>
        <v>0.59132999999999991</v>
      </c>
      <c r="O46" s="368"/>
      <c r="P46" s="347">
        <f t="shared" si="19"/>
        <v>0</v>
      </c>
      <c r="Q46" s="348"/>
      <c r="R46" s="369"/>
      <c r="S46" s="349">
        <f t="shared" si="20"/>
        <v>0</v>
      </c>
      <c r="T46" s="348"/>
      <c r="U46" s="369"/>
      <c r="V46" s="349">
        <f t="shared" si="5"/>
        <v>0</v>
      </c>
      <c r="W46" s="348"/>
      <c r="X46" s="318" t="str">
        <f t="shared" si="6"/>
        <v/>
      </c>
      <c r="Y46" s="370" t="e">
        <f t="shared" si="7"/>
        <v>#VALUE!</v>
      </c>
      <c r="Z46" s="346"/>
      <c r="AA46" s="345">
        <v>0.01</v>
      </c>
      <c r="AB46" s="352">
        <f t="shared" si="8"/>
        <v>8.5699999999999995E-3</v>
      </c>
      <c r="AC46" s="353"/>
      <c r="AD46" s="354"/>
      <c r="AE46" s="378" t="str">
        <f t="shared" si="21"/>
        <v/>
      </c>
      <c r="AF46" s="329"/>
      <c r="AG46" s="358"/>
      <c r="AH46" s="356" t="str">
        <f t="shared" si="22"/>
        <v/>
      </c>
      <c r="AI46" s="329"/>
      <c r="AJ46" s="329"/>
      <c r="AK46" s="356">
        <f t="shared" si="11"/>
        <v>0</v>
      </c>
      <c r="AL46" s="357"/>
      <c r="AM46" s="358"/>
      <c r="AN46" s="356">
        <f t="shared" si="12"/>
        <v>0</v>
      </c>
      <c r="AO46" s="329"/>
      <c r="AP46" s="358"/>
      <c r="AQ46" s="359">
        <f t="shared" si="13"/>
        <v>0</v>
      </c>
      <c r="AR46" s="360"/>
      <c r="AS46" s="358"/>
      <c r="AT46" s="356">
        <f t="shared" si="14"/>
        <v>0</v>
      </c>
      <c r="AU46" s="329"/>
      <c r="AV46" s="358"/>
      <c r="AW46" s="359">
        <f t="shared" si="15"/>
        <v>0</v>
      </c>
      <c r="AX46" s="329"/>
      <c r="AY46" s="358"/>
      <c r="AZ46" s="359">
        <f t="shared" si="16"/>
        <v>0</v>
      </c>
      <c r="BA46" s="329">
        <f>IF('Degrémont Entrée'!K46="",,('Degrémont Entrée'!K46-I46)/'Degrémont Entrée'!K46*100)</f>
        <v>81.973115698511762</v>
      </c>
      <c r="BB46" s="329">
        <f>IF('Degrémont Entrée'!G46="",,('Degrémont Entrée'!G46-G46)/'Degrémont Entrée'!G46*100)</f>
        <v>98.443699731903493</v>
      </c>
      <c r="BC46" s="329">
        <f>IF('Degrémont Entrée'!S46="",,('Degrémont Entrée'!S46-M46)/'Degrémont Entrée'!S46*100)</f>
        <v>99.228187919463082</v>
      </c>
      <c r="BD46" s="361" t="str">
        <f ca="1">IFERROR(__xludf.DUMMYFUNCTION("""COMPUTED_VALUE"""),"#DIV/0!")</f>
        <v>#DIV/0!</v>
      </c>
      <c r="BE46" s="362"/>
      <c r="BF46" s="363"/>
      <c r="BG46" s="363"/>
      <c r="BH46" s="338">
        <f t="shared" si="17"/>
        <v>0</v>
      </c>
      <c r="BI46" s="364"/>
      <c r="BJ46" s="365"/>
      <c r="BK46" s="371">
        <f>'Degrémont Entrée'!BH46</f>
        <v>0</v>
      </c>
      <c r="BL46" s="372" t="str">
        <f>'Degrémont Entrée'!BI46</f>
        <v>Transfert B04 vers B01 3H42</v>
      </c>
    </row>
    <row r="47" spans="1:64" ht="15.75" customHeight="1" outlineLevel="1">
      <c r="A47" s="337">
        <f t="shared" si="18"/>
        <v>43499</v>
      </c>
      <c r="B47" s="338">
        <f>'Degrémont Entrée'!B47</f>
        <v>0</v>
      </c>
      <c r="C47" s="338"/>
      <c r="D47" s="388"/>
      <c r="E47" s="368"/>
      <c r="F47" s="342">
        <v>100</v>
      </c>
      <c r="G47" s="329">
        <f t="shared" si="0"/>
        <v>0</v>
      </c>
      <c r="H47" s="338"/>
      <c r="I47" s="346"/>
      <c r="J47" s="344">
        <f t="shared" si="2"/>
        <v>0</v>
      </c>
      <c r="K47" s="343">
        <v>1</v>
      </c>
      <c r="L47" s="329"/>
      <c r="M47" s="346" t="str">
        <f t="shared" si="3"/>
        <v/>
      </c>
      <c r="N47" s="338" t="e">
        <f t="shared" si="4"/>
        <v>#VALUE!</v>
      </c>
      <c r="O47" s="368"/>
      <c r="P47" s="347">
        <f t="shared" si="19"/>
        <v>0</v>
      </c>
      <c r="Q47" s="348"/>
      <c r="R47" s="369"/>
      <c r="S47" s="349">
        <f t="shared" si="20"/>
        <v>0</v>
      </c>
      <c r="T47" s="348"/>
      <c r="U47" s="369"/>
      <c r="V47" s="349">
        <f t="shared" si="5"/>
        <v>0</v>
      </c>
      <c r="W47" s="348"/>
      <c r="X47" s="318" t="str">
        <f t="shared" si="6"/>
        <v/>
      </c>
      <c r="Y47" s="370" t="e">
        <f t="shared" si="7"/>
        <v>#VALUE!</v>
      </c>
      <c r="Z47" s="346"/>
      <c r="AA47" s="329"/>
      <c r="AB47" s="352">
        <f t="shared" si="8"/>
        <v>0</v>
      </c>
      <c r="AC47" s="353"/>
      <c r="AD47" s="354"/>
      <c r="AE47" s="378" t="str">
        <f t="shared" si="21"/>
        <v/>
      </c>
      <c r="AF47" s="329"/>
      <c r="AG47" s="358"/>
      <c r="AH47" s="356" t="str">
        <f t="shared" si="22"/>
        <v/>
      </c>
      <c r="AI47" s="329"/>
      <c r="AJ47" s="329"/>
      <c r="AK47" s="356">
        <f t="shared" si="11"/>
        <v>0</v>
      </c>
      <c r="AL47" s="357"/>
      <c r="AM47" s="358"/>
      <c r="AN47" s="356">
        <f t="shared" si="12"/>
        <v>0</v>
      </c>
      <c r="AO47" s="329"/>
      <c r="AP47" s="358"/>
      <c r="AQ47" s="359">
        <f t="shared" si="13"/>
        <v>0</v>
      </c>
      <c r="AR47" s="360"/>
      <c r="AS47" s="358"/>
      <c r="AT47" s="356">
        <f t="shared" si="14"/>
        <v>0</v>
      </c>
      <c r="AU47" s="329"/>
      <c r="AV47" s="358"/>
      <c r="AW47" s="359">
        <f t="shared" si="15"/>
        <v>0</v>
      </c>
      <c r="AX47" s="329"/>
      <c r="AY47" s="358"/>
      <c r="AZ47" s="359">
        <f t="shared" si="16"/>
        <v>0</v>
      </c>
      <c r="BA47" s="329" t="e">
        <f>IF('Degrémont Entrée'!K47="",,('Degrémont Entrée'!K47-I47)/'Degrémont Entrée'!K47*100)</f>
        <v>#DIV/0!</v>
      </c>
      <c r="BB47" s="329" t="e">
        <f>IF('Degrémont Entrée'!G47="",,('Degrémont Entrée'!G47-G47)/'Degrémont Entrée'!G47*100)</f>
        <v>#DIV/0!</v>
      </c>
      <c r="BC47" s="329">
        <f>IF('Degrémont Entrée'!S47="",,('Degrémont Entrée'!S47-M47)/'Degrémont Entrée'!S47*100)</f>
        <v>0</v>
      </c>
      <c r="BD47" s="361" t="str">
        <f ca="1">IFERROR(__xludf.DUMMYFUNCTION("""COMPUTED_VALUE"""),"#DIV/0!")</f>
        <v>#DIV/0!</v>
      </c>
      <c r="BE47" s="362"/>
      <c r="BF47" s="363"/>
      <c r="BG47" s="363"/>
      <c r="BH47" s="338">
        <f t="shared" si="17"/>
        <v>0</v>
      </c>
      <c r="BI47" s="364"/>
      <c r="BJ47" s="365"/>
      <c r="BK47" s="366">
        <f>'Degrémont Entrée'!BH47</f>
        <v>0</v>
      </c>
      <c r="BL47" s="367">
        <f>'Degrémont Entrée'!BI47</f>
        <v>0</v>
      </c>
    </row>
    <row r="48" spans="1:64" ht="14.25" outlineLevel="1">
      <c r="A48" s="337">
        <f t="shared" si="18"/>
        <v>43500</v>
      </c>
      <c r="B48" s="338">
        <f>'Degrémont Entrée'!B48</f>
        <v>868</v>
      </c>
      <c r="C48" s="339">
        <v>9.1</v>
      </c>
      <c r="D48" s="340">
        <v>88.4</v>
      </c>
      <c r="E48" s="341">
        <v>91.2</v>
      </c>
      <c r="F48" s="342">
        <v>100</v>
      </c>
      <c r="G48" s="329">
        <f t="shared" si="0"/>
        <v>27.999999999999972</v>
      </c>
      <c r="H48" s="338"/>
      <c r="I48" s="343">
        <v>1281</v>
      </c>
      <c r="J48" s="344">
        <f t="shared" si="2"/>
        <v>1111.9079999999999</v>
      </c>
      <c r="K48" s="343">
        <v>1</v>
      </c>
      <c r="L48" s="345">
        <v>1.0900000000000001</v>
      </c>
      <c r="M48" s="346">
        <f t="shared" si="3"/>
        <v>1.0900000000000001</v>
      </c>
      <c r="N48" s="338">
        <f t="shared" si="4"/>
        <v>0.94612000000000007</v>
      </c>
      <c r="O48" s="368"/>
      <c r="P48" s="347">
        <f t="shared" si="19"/>
        <v>0</v>
      </c>
      <c r="Q48" s="348"/>
      <c r="R48" s="369"/>
      <c r="S48" s="349">
        <f t="shared" si="20"/>
        <v>0</v>
      </c>
      <c r="T48" s="348"/>
      <c r="U48" s="369"/>
      <c r="V48" s="349">
        <f t="shared" si="5"/>
        <v>0</v>
      </c>
      <c r="W48" s="348"/>
      <c r="X48" s="318" t="str">
        <f t="shared" si="6"/>
        <v/>
      </c>
      <c r="Y48" s="370" t="e">
        <f t="shared" si="7"/>
        <v>#VALUE!</v>
      </c>
      <c r="Z48" s="346"/>
      <c r="AA48" s="345">
        <v>0.01</v>
      </c>
      <c r="AB48" s="352">
        <f t="shared" si="8"/>
        <v>8.6800000000000002E-3</v>
      </c>
      <c r="AC48" s="353"/>
      <c r="AD48" s="354"/>
      <c r="AE48" s="378" t="str">
        <f t="shared" si="21"/>
        <v/>
      </c>
      <c r="AF48" s="329"/>
      <c r="AG48" s="358"/>
      <c r="AH48" s="356" t="str">
        <f t="shared" si="22"/>
        <v/>
      </c>
      <c r="AI48" s="329"/>
      <c r="AJ48" s="329"/>
      <c r="AK48" s="356">
        <f t="shared" si="11"/>
        <v>0</v>
      </c>
      <c r="AL48" s="357"/>
      <c r="AM48" s="358"/>
      <c r="AN48" s="356">
        <f t="shared" si="12"/>
        <v>0</v>
      </c>
      <c r="AO48" s="329"/>
      <c r="AP48" s="358"/>
      <c r="AQ48" s="359">
        <f t="shared" si="13"/>
        <v>0</v>
      </c>
      <c r="AR48" s="360"/>
      <c r="AS48" s="358"/>
      <c r="AT48" s="356">
        <f t="shared" si="14"/>
        <v>0</v>
      </c>
      <c r="AU48" s="329"/>
      <c r="AV48" s="358"/>
      <c r="AW48" s="359">
        <f t="shared" si="15"/>
        <v>0</v>
      </c>
      <c r="AX48" s="329"/>
      <c r="AY48" s="358"/>
      <c r="AZ48" s="359">
        <f t="shared" si="16"/>
        <v>0</v>
      </c>
      <c r="BA48" s="329">
        <f>IF('Degrémont Entrée'!K48="",,('Degrémont Entrée'!K48-I48)/'Degrémont Entrée'!K48*100)</f>
        <v>77.295285359801497</v>
      </c>
      <c r="BB48" s="329">
        <f>IF('Degrémont Entrée'!G48="",,('Degrémont Entrée'!G48-G48)/'Degrémont Entrée'!G48*100)</f>
        <v>99.290015847860531</v>
      </c>
      <c r="BC48" s="329">
        <f>IF('Degrémont Entrée'!S48="",,('Degrémont Entrée'!S48-M48)/'Degrémont Entrée'!S48*100)</f>
        <v>99.350417163289634</v>
      </c>
      <c r="BD48" s="361" t="str">
        <f ca="1">IFERROR(__xludf.DUMMYFUNCTION("""COMPUTED_VALUE"""),"#DIV/0!")</f>
        <v>#DIV/0!</v>
      </c>
      <c r="BE48" s="362"/>
      <c r="BF48" s="363"/>
      <c r="BG48" s="363"/>
      <c r="BH48" s="338">
        <f t="shared" si="17"/>
        <v>0</v>
      </c>
      <c r="BI48" s="364"/>
      <c r="BJ48" s="365"/>
      <c r="BK48" s="371">
        <f>'Degrémont Entrée'!BH48</f>
        <v>0</v>
      </c>
      <c r="BL48" s="372" t="str">
        <f>'Degrémont Entrée'!BI48</f>
        <v>Transfert B04 vers B01 9H18</v>
      </c>
    </row>
    <row r="49" spans="1:64" ht="15.75" customHeight="1" outlineLevel="1">
      <c r="A49" s="337">
        <f t="shared" si="18"/>
        <v>43501</v>
      </c>
      <c r="B49" s="338">
        <f>'Degrémont Entrée'!B49</f>
        <v>958</v>
      </c>
      <c r="C49" s="339">
        <v>9</v>
      </c>
      <c r="D49" s="340">
        <v>88.1</v>
      </c>
      <c r="E49" s="341">
        <v>91.3</v>
      </c>
      <c r="F49" s="342">
        <v>100</v>
      </c>
      <c r="G49" s="329">
        <f t="shared" si="0"/>
        <v>32.000000000000028</v>
      </c>
      <c r="H49" s="338"/>
      <c r="I49" s="343">
        <v>947</v>
      </c>
      <c r="J49" s="344">
        <f t="shared" si="2"/>
        <v>907.226</v>
      </c>
      <c r="K49" s="343">
        <v>1</v>
      </c>
      <c r="L49" s="345">
        <v>0.77</v>
      </c>
      <c r="M49" s="346">
        <f t="shared" si="3"/>
        <v>0.77</v>
      </c>
      <c r="N49" s="338">
        <f t="shared" si="4"/>
        <v>0.73765999999999998</v>
      </c>
      <c r="O49" s="341">
        <v>17.2</v>
      </c>
      <c r="P49" s="347">
        <f t="shared" si="19"/>
        <v>16.477599999999999</v>
      </c>
      <c r="Q49" s="348"/>
      <c r="R49" s="369"/>
      <c r="S49" s="349">
        <f t="shared" si="20"/>
        <v>0</v>
      </c>
      <c r="T49" s="348"/>
      <c r="U49" s="369"/>
      <c r="V49" s="349">
        <f t="shared" si="5"/>
        <v>0</v>
      </c>
      <c r="W49" s="348"/>
      <c r="X49" s="318">
        <f t="shared" si="6"/>
        <v>17.2</v>
      </c>
      <c r="Y49" s="370">
        <f t="shared" si="7"/>
        <v>16.477599999999999</v>
      </c>
      <c r="Z49" s="343" t="s">
        <v>85</v>
      </c>
      <c r="AA49" s="345">
        <v>0.01</v>
      </c>
      <c r="AB49" s="352">
        <f t="shared" si="8"/>
        <v>4.79E-3</v>
      </c>
      <c r="AC49" s="353"/>
      <c r="AD49" s="354"/>
      <c r="AE49" s="378" t="str">
        <f t="shared" si="21"/>
        <v/>
      </c>
      <c r="AF49" s="329"/>
      <c r="AG49" s="355">
        <v>0.41</v>
      </c>
      <c r="AH49" s="356">
        <f t="shared" si="22"/>
        <v>2.1934999999999998</v>
      </c>
      <c r="AI49" s="329"/>
      <c r="AJ49" s="345">
        <v>0.46</v>
      </c>
      <c r="AK49" s="356">
        <f t="shared" si="11"/>
        <v>0.44068000000000002</v>
      </c>
      <c r="AL49" s="357"/>
      <c r="AM49" s="355">
        <v>0.14000000000000001</v>
      </c>
      <c r="AN49" s="356">
        <f t="shared" si="12"/>
        <v>0.13412000000000002</v>
      </c>
      <c r="AO49" s="329"/>
      <c r="AP49" s="355">
        <v>0.21</v>
      </c>
      <c r="AQ49" s="359">
        <f t="shared" si="13"/>
        <v>0.20117999999999997</v>
      </c>
      <c r="AR49" s="360"/>
      <c r="AS49" s="355">
        <v>0.35</v>
      </c>
      <c r="AT49" s="356">
        <f t="shared" si="14"/>
        <v>0.33529999999999993</v>
      </c>
      <c r="AU49" s="345" t="s">
        <v>85</v>
      </c>
      <c r="AV49" s="355">
        <v>0.15</v>
      </c>
      <c r="AW49" s="359">
        <f t="shared" si="15"/>
        <v>7.1849999999999997E-2</v>
      </c>
      <c r="AX49" s="345" t="s">
        <v>85</v>
      </c>
      <c r="AY49" s="355">
        <v>0.13</v>
      </c>
      <c r="AZ49" s="359">
        <f t="shared" si="16"/>
        <v>6.2270000000000006E-2</v>
      </c>
      <c r="BA49" s="329">
        <f>IF('Degrémont Entrée'!K49="",,('Degrémont Entrée'!K49-I49)/'Degrémont Entrée'!K49*100)</f>
        <v>87.760113739175395</v>
      </c>
      <c r="BB49" s="329">
        <f>IF('Degrémont Entrée'!G49="",,('Degrémont Entrée'!G49-G49)/'Degrémont Entrée'!G49*100)</f>
        <v>99.557530864197531</v>
      </c>
      <c r="BC49" s="329">
        <f>IF('Degrémont Entrée'!S49="",,('Degrémont Entrée'!S49-M49)/'Degrémont Entrée'!S49*100)</f>
        <v>99.6869918699187</v>
      </c>
      <c r="BD49" s="361" t="str">
        <f ca="1">IFERROR(__xludf.DUMMYFUNCTION("""COMPUTED_VALUE"""),"#DIV/0!")</f>
        <v>#DIV/0!</v>
      </c>
      <c r="BE49" s="362"/>
      <c r="BF49" s="363"/>
      <c r="BG49" s="363"/>
      <c r="BH49" s="338">
        <f t="shared" si="17"/>
        <v>0</v>
      </c>
      <c r="BI49" s="364"/>
      <c r="BJ49" s="365"/>
      <c r="BK49" s="366">
        <f>'Degrémont Entrée'!BH49</f>
        <v>0</v>
      </c>
      <c r="BL49" s="367" t="str">
        <f>'Degrémont Entrée'!BI49</f>
        <v>Transfert B04 vers B01 2H</v>
      </c>
    </row>
    <row r="50" spans="1:64" ht="14.25" outlineLevel="1">
      <c r="A50" s="337">
        <f t="shared" si="18"/>
        <v>43502</v>
      </c>
      <c r="B50" s="338">
        <f>'Degrémont Entrée'!B50</f>
        <v>1008</v>
      </c>
      <c r="C50" s="339">
        <v>9</v>
      </c>
      <c r="D50" s="340">
        <v>87.8</v>
      </c>
      <c r="E50" s="341">
        <v>89.8</v>
      </c>
      <c r="F50" s="342">
        <v>100</v>
      </c>
      <c r="G50" s="329">
        <f t="shared" si="0"/>
        <v>20</v>
      </c>
      <c r="H50" s="338"/>
      <c r="I50" s="343">
        <v>1035</v>
      </c>
      <c r="J50" s="344">
        <f t="shared" si="2"/>
        <v>1043.28</v>
      </c>
      <c r="K50" s="343">
        <v>1</v>
      </c>
      <c r="L50" s="345">
        <v>0.66</v>
      </c>
      <c r="M50" s="346">
        <f t="shared" si="3"/>
        <v>0.66</v>
      </c>
      <c r="N50" s="338">
        <f t="shared" si="4"/>
        <v>0.66528000000000009</v>
      </c>
      <c r="O50" s="368"/>
      <c r="P50" s="347">
        <f t="shared" si="19"/>
        <v>0</v>
      </c>
      <c r="Q50" s="348"/>
      <c r="R50" s="369"/>
      <c r="S50" s="349">
        <f t="shared" si="20"/>
        <v>0</v>
      </c>
      <c r="T50" s="348"/>
      <c r="U50" s="369"/>
      <c r="V50" s="349">
        <f t="shared" si="5"/>
        <v>0</v>
      </c>
      <c r="W50" s="348"/>
      <c r="X50" s="318" t="str">
        <f t="shared" si="6"/>
        <v/>
      </c>
      <c r="Y50" s="370" t="e">
        <f t="shared" si="7"/>
        <v>#VALUE!</v>
      </c>
      <c r="Z50" s="343" t="s">
        <v>85</v>
      </c>
      <c r="AA50" s="345">
        <v>0.01</v>
      </c>
      <c r="AB50" s="352">
        <f t="shared" si="8"/>
        <v>5.0400000000000002E-3</v>
      </c>
      <c r="AC50" s="353"/>
      <c r="AD50" s="354"/>
      <c r="AE50" s="378" t="str">
        <f t="shared" si="21"/>
        <v/>
      </c>
      <c r="AF50" s="329"/>
      <c r="AG50" s="358"/>
      <c r="AH50" s="356" t="str">
        <f t="shared" si="22"/>
        <v/>
      </c>
      <c r="AI50" s="329"/>
      <c r="AJ50" s="329"/>
      <c r="AK50" s="356">
        <f t="shared" si="11"/>
        <v>0</v>
      </c>
      <c r="AL50" s="357"/>
      <c r="AM50" s="358"/>
      <c r="AN50" s="356">
        <f t="shared" si="12"/>
        <v>0</v>
      </c>
      <c r="AO50" s="329"/>
      <c r="AP50" s="358"/>
      <c r="AQ50" s="359">
        <f t="shared" si="13"/>
        <v>0</v>
      </c>
      <c r="AR50" s="360"/>
      <c r="AS50" s="358"/>
      <c r="AT50" s="356">
        <f t="shared" si="14"/>
        <v>0</v>
      </c>
      <c r="AU50" s="329"/>
      <c r="AV50" s="358"/>
      <c r="AW50" s="359">
        <f t="shared" si="15"/>
        <v>0</v>
      </c>
      <c r="AX50" s="329"/>
      <c r="AY50" s="358"/>
      <c r="AZ50" s="359">
        <f t="shared" si="16"/>
        <v>0</v>
      </c>
      <c r="BA50" s="329">
        <f>IF('Degrémont Entrée'!K50="",,('Degrémont Entrée'!K50-I50)/'Degrémont Entrée'!K50*100)</f>
        <v>86.304088924176256</v>
      </c>
      <c r="BB50" s="329">
        <f>IF('Degrémont Entrée'!G50="",,('Degrémont Entrée'!G50-G50)/'Degrémont Entrée'!G50*100)</f>
        <v>99.696356275303643</v>
      </c>
      <c r="BC50" s="329">
        <f>IF('Degrémont Entrée'!S50="",,('Degrémont Entrée'!S50-M50)/'Degrémont Entrée'!S50*100)</f>
        <v>99.833333333333329</v>
      </c>
      <c r="BD50" s="361" t="str">
        <f ca="1">IFERROR(__xludf.DUMMYFUNCTION("""COMPUTED_VALUE"""),"#DIV/0!")</f>
        <v>#DIV/0!</v>
      </c>
      <c r="BE50" s="362"/>
      <c r="BF50" s="363"/>
      <c r="BG50" s="363"/>
      <c r="BH50" s="338">
        <f t="shared" si="17"/>
        <v>0</v>
      </c>
      <c r="BI50" s="364"/>
      <c r="BJ50" s="365"/>
      <c r="BK50" s="371">
        <f>'Degrémont Entrée'!BH50</f>
        <v>0</v>
      </c>
      <c r="BL50" s="372" t="str">
        <f>'Degrémont Entrée'!BI50</f>
        <v>Transfert B04 vers B01 13H42</v>
      </c>
    </row>
    <row r="51" spans="1:64" ht="15.75" customHeight="1" outlineLevel="1">
      <c r="A51" s="337">
        <f t="shared" si="18"/>
        <v>43503</v>
      </c>
      <c r="B51" s="338">
        <f>'Degrémont Entrée'!B51</f>
        <v>841</v>
      </c>
      <c r="C51" s="339">
        <v>9</v>
      </c>
      <c r="D51" s="340">
        <v>90.7</v>
      </c>
      <c r="E51" s="341">
        <v>91.9</v>
      </c>
      <c r="F51" s="342">
        <v>100</v>
      </c>
      <c r="G51" s="329">
        <f t="shared" si="0"/>
        <v>12.000000000000027</v>
      </c>
      <c r="H51" s="338"/>
      <c r="I51" s="343">
        <v>612</v>
      </c>
      <c r="J51" s="344">
        <f t="shared" si="2"/>
        <v>514.69200000000001</v>
      </c>
      <c r="K51" s="343">
        <v>1</v>
      </c>
      <c r="L51" s="345">
        <v>1.04</v>
      </c>
      <c r="M51" s="346">
        <f t="shared" si="3"/>
        <v>1.04</v>
      </c>
      <c r="N51" s="338">
        <f t="shared" si="4"/>
        <v>0.87463999999999997</v>
      </c>
      <c r="O51" s="368"/>
      <c r="P51" s="347">
        <f t="shared" si="19"/>
        <v>0</v>
      </c>
      <c r="Q51" s="348"/>
      <c r="R51" s="369"/>
      <c r="S51" s="349">
        <f t="shared" si="20"/>
        <v>0</v>
      </c>
      <c r="T51" s="348"/>
      <c r="U51" s="369"/>
      <c r="V51" s="349">
        <f t="shared" si="5"/>
        <v>0</v>
      </c>
      <c r="W51" s="348"/>
      <c r="X51" s="318" t="str">
        <f t="shared" si="6"/>
        <v/>
      </c>
      <c r="Y51" s="370" t="e">
        <f t="shared" si="7"/>
        <v>#VALUE!</v>
      </c>
      <c r="Z51" s="343" t="s">
        <v>85</v>
      </c>
      <c r="AA51" s="345">
        <v>0.01</v>
      </c>
      <c r="AB51" s="352">
        <f t="shared" si="8"/>
        <v>4.2050000000000004E-3</v>
      </c>
      <c r="AC51" s="353"/>
      <c r="AD51" s="354"/>
      <c r="AE51" s="378" t="str">
        <f t="shared" si="21"/>
        <v/>
      </c>
      <c r="AF51" s="329"/>
      <c r="AG51" s="358"/>
      <c r="AH51" s="356" t="str">
        <f t="shared" si="22"/>
        <v/>
      </c>
      <c r="AI51" s="329"/>
      <c r="AJ51" s="329"/>
      <c r="AK51" s="356">
        <f t="shared" si="11"/>
        <v>0</v>
      </c>
      <c r="AL51" s="357"/>
      <c r="AM51" s="358"/>
      <c r="AN51" s="356">
        <f t="shared" si="12"/>
        <v>0</v>
      </c>
      <c r="AO51" s="329"/>
      <c r="AP51" s="358"/>
      <c r="AQ51" s="359">
        <f t="shared" si="13"/>
        <v>0</v>
      </c>
      <c r="AR51" s="360"/>
      <c r="AS51" s="358"/>
      <c r="AT51" s="356">
        <f t="shared" si="14"/>
        <v>0</v>
      </c>
      <c r="AU51" s="329"/>
      <c r="AV51" s="358"/>
      <c r="AW51" s="359">
        <f t="shared" si="15"/>
        <v>0</v>
      </c>
      <c r="AX51" s="329"/>
      <c r="AY51" s="358"/>
      <c r="AZ51" s="359">
        <f t="shared" si="16"/>
        <v>0</v>
      </c>
      <c r="BA51" s="329">
        <f>IF('Degrémont Entrée'!K51="",,('Degrémont Entrée'!K51-I51)/'Degrémont Entrée'!K51*100)</f>
        <v>94.551767114751186</v>
      </c>
      <c r="BB51" s="329">
        <f>IF('Degrémont Entrée'!G51="",,('Degrémont Entrée'!G51-G51)/'Degrémont Entrée'!G51*100)</f>
        <v>99.907813871817382</v>
      </c>
      <c r="BC51" s="329">
        <f>IF('Degrémont Entrée'!S51="",,('Degrémont Entrée'!S51-M51)/'Degrémont Entrée'!S51*100)</f>
        <v>99.783333333333317</v>
      </c>
      <c r="BD51" s="361" t="str">
        <f ca="1">IFERROR(__xludf.DUMMYFUNCTION("""COMPUTED_VALUE"""),"#DIV/0!")</f>
        <v>#DIV/0!</v>
      </c>
      <c r="BE51" s="362"/>
      <c r="BF51" s="363"/>
      <c r="BG51" s="363"/>
      <c r="BH51" s="338">
        <f t="shared" si="17"/>
        <v>0</v>
      </c>
      <c r="BI51" s="364"/>
      <c r="BJ51" s="365"/>
      <c r="BK51" s="366">
        <f>'Degrémont Entrée'!BH51</f>
        <v>0</v>
      </c>
      <c r="BL51" s="367" t="str">
        <f>'Degrémont Entrée'!BI51</f>
        <v>Transfert B04 vers B01 30min</v>
      </c>
    </row>
    <row r="52" spans="1:64" ht="14.25" outlineLevel="1">
      <c r="A52" s="337">
        <f t="shared" si="18"/>
        <v>43504</v>
      </c>
      <c r="B52" s="338">
        <f>'Degrémont Entrée'!B52</f>
        <v>1086</v>
      </c>
      <c r="C52" s="339">
        <v>8.6</v>
      </c>
      <c r="D52" s="340">
        <v>88.7</v>
      </c>
      <c r="E52" s="341">
        <v>92.1</v>
      </c>
      <c r="F52" s="342">
        <v>100</v>
      </c>
      <c r="G52" s="329">
        <f t="shared" si="0"/>
        <v>33.999999999999915</v>
      </c>
      <c r="H52" s="338"/>
      <c r="I52" s="343">
        <v>648</v>
      </c>
      <c r="J52" s="344">
        <f t="shared" si="2"/>
        <v>703.72799999999995</v>
      </c>
      <c r="K52" s="343">
        <v>1</v>
      </c>
      <c r="L52" s="345">
        <v>1.6</v>
      </c>
      <c r="M52" s="346">
        <f t="shared" si="3"/>
        <v>1.6</v>
      </c>
      <c r="N52" s="338">
        <f t="shared" si="4"/>
        <v>1.7376</v>
      </c>
      <c r="O52" s="368"/>
      <c r="P52" s="347">
        <f t="shared" si="19"/>
        <v>0</v>
      </c>
      <c r="Q52" s="348"/>
      <c r="R52" s="369"/>
      <c r="S52" s="349">
        <f t="shared" si="20"/>
        <v>0</v>
      </c>
      <c r="T52" s="348"/>
      <c r="U52" s="369"/>
      <c r="V52" s="349">
        <f t="shared" si="5"/>
        <v>0</v>
      </c>
      <c r="W52" s="348"/>
      <c r="X52" s="318" t="str">
        <f t="shared" si="6"/>
        <v/>
      </c>
      <c r="Y52" s="370" t="e">
        <f t="shared" si="7"/>
        <v>#VALUE!</v>
      </c>
      <c r="Z52" s="343" t="s">
        <v>85</v>
      </c>
      <c r="AA52" s="345">
        <v>0.01</v>
      </c>
      <c r="AB52" s="352">
        <f t="shared" si="8"/>
        <v>5.4299999999999999E-3</v>
      </c>
      <c r="AC52" s="353"/>
      <c r="AD52" s="354"/>
      <c r="AE52" s="378" t="str">
        <f t="shared" si="21"/>
        <v/>
      </c>
      <c r="AF52" s="329"/>
      <c r="AG52" s="358"/>
      <c r="AH52" s="356" t="str">
        <f t="shared" si="22"/>
        <v/>
      </c>
      <c r="AI52" s="329"/>
      <c r="AJ52" s="329"/>
      <c r="AK52" s="356">
        <f t="shared" si="11"/>
        <v>0</v>
      </c>
      <c r="AL52" s="357"/>
      <c r="AM52" s="358"/>
      <c r="AN52" s="356">
        <f t="shared" si="12"/>
        <v>0</v>
      </c>
      <c r="AO52" s="329"/>
      <c r="AP52" s="358"/>
      <c r="AQ52" s="359">
        <f t="shared" si="13"/>
        <v>0</v>
      </c>
      <c r="AR52" s="360"/>
      <c r="AS52" s="358"/>
      <c r="AT52" s="356">
        <f t="shared" si="14"/>
        <v>0</v>
      </c>
      <c r="AU52" s="329"/>
      <c r="AV52" s="358"/>
      <c r="AW52" s="359">
        <f t="shared" si="15"/>
        <v>0</v>
      </c>
      <c r="AX52" s="329"/>
      <c r="AY52" s="358"/>
      <c r="AZ52" s="359">
        <f t="shared" si="16"/>
        <v>0</v>
      </c>
      <c r="BA52" s="329">
        <f>IF('Degrémont Entrée'!K52="",,('Degrémont Entrée'!K52-I52)/'Degrémont Entrée'!K52*100)</f>
        <v>85.882352941176464</v>
      </c>
      <c r="BB52" s="329">
        <f>IF('Degrémont Entrée'!G52="",,('Degrémont Entrée'!G52-G52)/'Degrémont Entrée'!G52*100)</f>
        <v>98.984063745019924</v>
      </c>
      <c r="BC52" s="329">
        <f>IF('Degrémont Entrée'!S52="",,('Degrémont Entrée'!S52-M52)/'Degrémont Entrée'!S52*100)</f>
        <v>99.191919191919197</v>
      </c>
      <c r="BD52" s="361" t="str">
        <f ca="1">IFERROR(__xludf.DUMMYFUNCTION("""COMPUTED_VALUE"""),"#DIV/0!")</f>
        <v>#DIV/0!</v>
      </c>
      <c r="BE52" s="362"/>
      <c r="BF52" s="363"/>
      <c r="BG52" s="363"/>
      <c r="BH52" s="338">
        <f t="shared" si="17"/>
        <v>0</v>
      </c>
      <c r="BI52" s="364"/>
      <c r="BJ52" s="365"/>
      <c r="BK52" s="371">
        <f>'Degrémont Entrée'!BH52</f>
        <v>0</v>
      </c>
      <c r="BL52" s="372" t="str">
        <f>'Degrémont Entrée'!BI52</f>
        <v>Transfert B04 vers B01 2H</v>
      </c>
    </row>
    <row r="53" spans="1:64" ht="15.75" customHeight="1" outlineLevel="1">
      <c r="A53" s="337">
        <f t="shared" si="18"/>
        <v>43505</v>
      </c>
      <c r="B53" s="338">
        <f>'Degrémont Entrée'!B53</f>
        <v>736</v>
      </c>
      <c r="C53" s="339">
        <v>8.3000000000000007</v>
      </c>
      <c r="D53" s="340">
        <v>89.6</v>
      </c>
      <c r="E53" s="341">
        <v>93.9</v>
      </c>
      <c r="F53" s="342">
        <v>100</v>
      </c>
      <c r="G53" s="329">
        <f t="shared" si="0"/>
        <v>43.000000000000107</v>
      </c>
      <c r="H53" s="338"/>
      <c r="I53" s="343">
        <v>601</v>
      </c>
      <c r="J53" s="344">
        <f t="shared" si="2"/>
        <v>442.33600000000001</v>
      </c>
      <c r="K53" s="343">
        <v>1</v>
      </c>
      <c r="L53" s="345">
        <v>2.0699999999999998</v>
      </c>
      <c r="M53" s="346">
        <f t="shared" si="3"/>
        <v>2.0699999999999998</v>
      </c>
      <c r="N53" s="338">
        <f t="shared" si="4"/>
        <v>1.52352</v>
      </c>
      <c r="O53" s="368"/>
      <c r="P53" s="347">
        <f t="shared" si="19"/>
        <v>0</v>
      </c>
      <c r="Q53" s="348"/>
      <c r="R53" s="369"/>
      <c r="S53" s="349">
        <f t="shared" si="20"/>
        <v>0</v>
      </c>
      <c r="T53" s="348"/>
      <c r="U53" s="369"/>
      <c r="V53" s="349">
        <f t="shared" si="5"/>
        <v>0</v>
      </c>
      <c r="W53" s="348"/>
      <c r="X53" s="318" t="str">
        <f t="shared" si="6"/>
        <v/>
      </c>
      <c r="Y53" s="370" t="e">
        <f t="shared" si="7"/>
        <v>#VALUE!</v>
      </c>
      <c r="Z53" s="343" t="s">
        <v>85</v>
      </c>
      <c r="AA53" s="345">
        <v>0.01</v>
      </c>
      <c r="AB53" s="352">
        <f t="shared" si="8"/>
        <v>3.6800000000000001E-3</v>
      </c>
      <c r="AC53" s="353"/>
      <c r="AD53" s="354"/>
      <c r="AE53" s="378" t="str">
        <f t="shared" si="21"/>
        <v/>
      </c>
      <c r="AF53" s="329"/>
      <c r="AG53" s="358"/>
      <c r="AH53" s="356" t="str">
        <f t="shared" si="22"/>
        <v/>
      </c>
      <c r="AI53" s="329"/>
      <c r="AJ53" s="329"/>
      <c r="AK53" s="356">
        <f t="shared" si="11"/>
        <v>0</v>
      </c>
      <c r="AL53" s="357"/>
      <c r="AM53" s="358"/>
      <c r="AN53" s="356">
        <f t="shared" si="12"/>
        <v>0</v>
      </c>
      <c r="AO53" s="329"/>
      <c r="AP53" s="358"/>
      <c r="AQ53" s="359">
        <f t="shared" si="13"/>
        <v>0</v>
      </c>
      <c r="AR53" s="360"/>
      <c r="AS53" s="358"/>
      <c r="AT53" s="356">
        <f t="shared" si="14"/>
        <v>0</v>
      </c>
      <c r="AU53" s="329"/>
      <c r="AV53" s="358"/>
      <c r="AW53" s="359">
        <f t="shared" si="15"/>
        <v>0</v>
      </c>
      <c r="AX53" s="329"/>
      <c r="AY53" s="358"/>
      <c r="AZ53" s="359">
        <f t="shared" si="16"/>
        <v>0</v>
      </c>
      <c r="BA53" s="329">
        <f>IF('Degrémont Entrée'!K53="",,('Degrémont Entrée'!K53-I53)/'Degrémont Entrée'!K53*100)</f>
        <v>91.712630998345276</v>
      </c>
      <c r="BB53" s="329">
        <f>IF('Degrémont Entrée'!G53="",,('Degrémont Entrée'!G53-G53)/'Degrémont Entrée'!G53*100)</f>
        <v>99.311999999999998</v>
      </c>
      <c r="BC53" s="329">
        <f>IF('Degrémont Entrée'!S53="",,('Degrémont Entrée'!S53-M53)/'Degrémont Entrée'!S53*100)</f>
        <v>99.238970588235304</v>
      </c>
      <c r="BD53" s="361" t="str">
        <f ca="1">IFERROR(__xludf.DUMMYFUNCTION("""COMPUTED_VALUE"""),"#DIV/0!")</f>
        <v>#DIV/0!</v>
      </c>
      <c r="BE53" s="362"/>
      <c r="BF53" s="363"/>
      <c r="BG53" s="363"/>
      <c r="BH53" s="338">
        <f t="shared" si="17"/>
        <v>0</v>
      </c>
      <c r="BI53" s="364"/>
      <c r="BJ53" s="365"/>
      <c r="BK53" s="366">
        <f>'Degrémont Entrée'!BH53</f>
        <v>0</v>
      </c>
      <c r="BL53" s="367">
        <f>'Degrémont Entrée'!BI53</f>
        <v>0</v>
      </c>
    </row>
    <row r="54" spans="1:64" ht="14.25" outlineLevel="1">
      <c r="A54" s="337">
        <f t="shared" si="18"/>
        <v>43506</v>
      </c>
      <c r="B54" s="338">
        <f>'Degrémont Entrée'!B54</f>
        <v>0</v>
      </c>
      <c r="C54" s="338"/>
      <c r="D54" s="388"/>
      <c r="E54" s="368"/>
      <c r="F54" s="342">
        <v>100</v>
      </c>
      <c r="G54" s="329">
        <f t="shared" si="0"/>
        <v>0</v>
      </c>
      <c r="H54" s="338"/>
      <c r="I54" s="346"/>
      <c r="J54" s="344">
        <f t="shared" si="2"/>
        <v>0</v>
      </c>
      <c r="K54" s="343">
        <v>1</v>
      </c>
      <c r="L54" s="329"/>
      <c r="M54" s="346" t="str">
        <f t="shared" si="3"/>
        <v/>
      </c>
      <c r="N54" s="338" t="e">
        <f t="shared" si="4"/>
        <v>#VALUE!</v>
      </c>
      <c r="O54" s="368"/>
      <c r="P54" s="347">
        <f t="shared" si="19"/>
        <v>0</v>
      </c>
      <c r="Q54" s="348"/>
      <c r="R54" s="369"/>
      <c r="S54" s="349">
        <f t="shared" si="20"/>
        <v>0</v>
      </c>
      <c r="T54" s="348"/>
      <c r="U54" s="369"/>
      <c r="V54" s="349">
        <f t="shared" si="5"/>
        <v>0</v>
      </c>
      <c r="W54" s="348"/>
      <c r="X54" s="318" t="str">
        <f t="shared" si="6"/>
        <v/>
      </c>
      <c r="Y54" s="370" t="e">
        <f t="shared" si="7"/>
        <v>#VALUE!</v>
      </c>
      <c r="Z54" s="346"/>
      <c r="AA54" s="329"/>
      <c r="AB54" s="352">
        <f t="shared" si="8"/>
        <v>0</v>
      </c>
      <c r="AC54" s="353"/>
      <c r="AD54" s="354"/>
      <c r="AE54" s="378" t="str">
        <f t="shared" si="21"/>
        <v/>
      </c>
      <c r="AF54" s="329"/>
      <c r="AG54" s="358"/>
      <c r="AH54" s="356" t="str">
        <f t="shared" si="22"/>
        <v/>
      </c>
      <c r="AI54" s="329"/>
      <c r="AJ54" s="329"/>
      <c r="AK54" s="356">
        <f t="shared" si="11"/>
        <v>0</v>
      </c>
      <c r="AL54" s="357"/>
      <c r="AM54" s="358"/>
      <c r="AN54" s="356">
        <f t="shared" si="12"/>
        <v>0</v>
      </c>
      <c r="AO54" s="329"/>
      <c r="AP54" s="358"/>
      <c r="AQ54" s="359">
        <f t="shared" si="13"/>
        <v>0</v>
      </c>
      <c r="AR54" s="360"/>
      <c r="AS54" s="358"/>
      <c r="AT54" s="356">
        <f t="shared" si="14"/>
        <v>0</v>
      </c>
      <c r="AU54" s="329"/>
      <c r="AV54" s="358"/>
      <c r="AW54" s="359">
        <f t="shared" si="15"/>
        <v>0</v>
      </c>
      <c r="AX54" s="329"/>
      <c r="AY54" s="358"/>
      <c r="AZ54" s="359">
        <f t="shared" si="16"/>
        <v>0</v>
      </c>
      <c r="BA54" s="329" t="e">
        <f>IF('Degrémont Entrée'!K54="",,('Degrémont Entrée'!K54-I54)/'Degrémont Entrée'!K54*100)</f>
        <v>#DIV/0!</v>
      </c>
      <c r="BB54" s="329" t="e">
        <f>IF('Degrémont Entrée'!G54="",,('Degrémont Entrée'!G54-G54)/'Degrémont Entrée'!G54*100)</f>
        <v>#DIV/0!</v>
      </c>
      <c r="BC54" s="329">
        <f>IF('Degrémont Entrée'!S54="",,('Degrémont Entrée'!S54-M54)/'Degrémont Entrée'!S54*100)</f>
        <v>0</v>
      </c>
      <c r="BD54" s="361" t="str">
        <f ca="1">IFERROR(__xludf.DUMMYFUNCTION("""COMPUTED_VALUE"""),"#DIV/0!")</f>
        <v>#DIV/0!</v>
      </c>
      <c r="BE54" s="362"/>
      <c r="BF54" s="363"/>
      <c r="BG54" s="363"/>
      <c r="BH54" s="338">
        <f t="shared" si="17"/>
        <v>0</v>
      </c>
      <c r="BI54" s="364"/>
      <c r="BJ54" s="365"/>
      <c r="BK54" s="371">
        <f>'Degrémont Entrée'!BH54</f>
        <v>0</v>
      </c>
      <c r="BL54" s="372">
        <f>'Degrémont Entrée'!BI54</f>
        <v>0</v>
      </c>
    </row>
    <row r="55" spans="1:64" ht="15.75" customHeight="1" outlineLevel="1">
      <c r="A55" s="337">
        <f t="shared" si="18"/>
        <v>43507</v>
      </c>
      <c r="B55" s="338">
        <f>'Degrémont Entrée'!B55</f>
        <v>898</v>
      </c>
      <c r="C55" s="339">
        <v>9.1</v>
      </c>
      <c r="D55" s="340">
        <v>90.4</v>
      </c>
      <c r="E55" s="341">
        <v>92.4</v>
      </c>
      <c r="F55" s="342">
        <v>100</v>
      </c>
      <c r="G55" s="329">
        <f t="shared" si="0"/>
        <v>20</v>
      </c>
      <c r="H55" s="338"/>
      <c r="I55" s="343">
        <v>570</v>
      </c>
      <c r="J55" s="344">
        <f t="shared" si="2"/>
        <v>511.86</v>
      </c>
      <c r="K55" s="343">
        <v>1</v>
      </c>
      <c r="L55" s="345">
        <v>1.41</v>
      </c>
      <c r="M55" s="346">
        <f t="shared" si="3"/>
        <v>1.41</v>
      </c>
      <c r="N55" s="338">
        <f t="shared" si="4"/>
        <v>1.2661799999999999</v>
      </c>
      <c r="O55" s="368"/>
      <c r="P55" s="347">
        <f t="shared" si="19"/>
        <v>0</v>
      </c>
      <c r="Q55" s="348"/>
      <c r="R55" s="369"/>
      <c r="S55" s="349">
        <f t="shared" si="20"/>
        <v>0</v>
      </c>
      <c r="T55" s="348"/>
      <c r="U55" s="369"/>
      <c r="V55" s="349">
        <f t="shared" si="5"/>
        <v>0</v>
      </c>
      <c r="W55" s="348"/>
      <c r="X55" s="318" t="str">
        <f t="shared" si="6"/>
        <v/>
      </c>
      <c r="Y55" s="370" t="e">
        <f t="shared" si="7"/>
        <v>#VALUE!</v>
      </c>
      <c r="Z55" s="343" t="s">
        <v>85</v>
      </c>
      <c r="AA55" s="345">
        <v>0.01</v>
      </c>
      <c r="AB55" s="352">
        <f t="shared" si="8"/>
        <v>4.4900000000000001E-3</v>
      </c>
      <c r="AC55" s="353"/>
      <c r="AD55" s="354"/>
      <c r="AE55" s="378" t="str">
        <f t="shared" si="21"/>
        <v/>
      </c>
      <c r="AF55" s="329"/>
      <c r="AG55" s="358"/>
      <c r="AH55" s="356" t="str">
        <f t="shared" si="22"/>
        <v/>
      </c>
      <c r="AI55" s="329"/>
      <c r="AJ55" s="329"/>
      <c r="AK55" s="356">
        <f t="shared" si="11"/>
        <v>0</v>
      </c>
      <c r="AL55" s="357"/>
      <c r="AM55" s="358"/>
      <c r="AN55" s="356">
        <f t="shared" si="12"/>
        <v>0</v>
      </c>
      <c r="AO55" s="329"/>
      <c r="AP55" s="358"/>
      <c r="AQ55" s="359">
        <f t="shared" si="13"/>
        <v>0</v>
      </c>
      <c r="AR55" s="360"/>
      <c r="AS55" s="358"/>
      <c r="AT55" s="356">
        <f t="shared" si="14"/>
        <v>0</v>
      </c>
      <c r="AU55" s="329"/>
      <c r="AV55" s="358"/>
      <c r="AW55" s="359">
        <f t="shared" si="15"/>
        <v>0</v>
      </c>
      <c r="AX55" s="329"/>
      <c r="AY55" s="358"/>
      <c r="AZ55" s="359">
        <f t="shared" si="16"/>
        <v>0</v>
      </c>
      <c r="BA55" s="329">
        <f>IF('Degrémont Entrée'!K55="",,('Degrémont Entrée'!K55-I55)/'Degrémont Entrée'!K55*100)</f>
        <v>91.217257318952235</v>
      </c>
      <c r="BB55" s="329">
        <f>IF('Degrémont Entrée'!G55="",,('Degrémont Entrée'!G55-G55)/'Degrémont Entrée'!G55*100)</f>
        <v>99.669117647058826</v>
      </c>
      <c r="BC55" s="329">
        <f>IF('Degrémont Entrée'!S55="",,('Degrémont Entrée'!S55-M55)/'Degrémont Entrée'!S55*100)</f>
        <v>99.575301204819269</v>
      </c>
      <c r="BD55" s="361" t="str">
        <f ca="1">IFERROR(__xludf.DUMMYFUNCTION("""COMPUTED_VALUE"""),"#DIV/0!")</f>
        <v>#DIV/0!</v>
      </c>
      <c r="BE55" s="362"/>
      <c r="BF55" s="363"/>
      <c r="BG55" s="363"/>
      <c r="BH55" s="338">
        <f t="shared" si="17"/>
        <v>0</v>
      </c>
      <c r="BI55" s="364"/>
      <c r="BJ55" s="365"/>
      <c r="BK55" s="366">
        <f>'Degrémont Entrée'!BH55</f>
        <v>0</v>
      </c>
      <c r="BL55" s="367" t="str">
        <f>'Degrémont Entrée'!BI55</f>
        <v>Transfert B04 vers B01 3H Nouvelle prise P04</v>
      </c>
    </row>
    <row r="56" spans="1:64" ht="14.25" outlineLevel="1">
      <c r="A56" s="337">
        <f t="shared" si="18"/>
        <v>43508</v>
      </c>
      <c r="B56" s="338">
        <f>'Degrémont Entrée'!B56</f>
        <v>1108</v>
      </c>
      <c r="C56" s="339">
        <v>8.8000000000000007</v>
      </c>
      <c r="D56" s="340">
        <v>88</v>
      </c>
      <c r="E56" s="341">
        <v>89</v>
      </c>
      <c r="F56" s="342">
        <v>100</v>
      </c>
      <c r="G56" s="329">
        <f t="shared" si="0"/>
        <v>10</v>
      </c>
      <c r="H56" s="338"/>
      <c r="I56" s="343">
        <v>560</v>
      </c>
      <c r="J56" s="344">
        <f t="shared" si="2"/>
        <v>620.48</v>
      </c>
      <c r="K56" s="343">
        <v>1</v>
      </c>
      <c r="L56" s="345">
        <v>1.03</v>
      </c>
      <c r="M56" s="346">
        <f t="shared" si="3"/>
        <v>1.03</v>
      </c>
      <c r="N56" s="338">
        <f t="shared" si="4"/>
        <v>1.14124</v>
      </c>
      <c r="O56" s="341">
        <v>12</v>
      </c>
      <c r="P56" s="347">
        <f t="shared" si="19"/>
        <v>13.295999999999999</v>
      </c>
      <c r="Q56" s="348"/>
      <c r="R56" s="369"/>
      <c r="S56" s="349">
        <f t="shared" si="20"/>
        <v>0</v>
      </c>
      <c r="T56" s="348"/>
      <c r="U56" s="369"/>
      <c r="V56" s="349">
        <f t="shared" si="5"/>
        <v>0</v>
      </c>
      <c r="W56" s="348"/>
      <c r="X56" s="318">
        <f t="shared" si="6"/>
        <v>12</v>
      </c>
      <c r="Y56" s="370">
        <f t="shared" si="7"/>
        <v>13.295999999999999</v>
      </c>
      <c r="Z56" s="343" t="s">
        <v>85</v>
      </c>
      <c r="AA56" s="345">
        <v>0.01</v>
      </c>
      <c r="AB56" s="352">
        <f t="shared" si="8"/>
        <v>5.5399999999999998E-3</v>
      </c>
      <c r="AC56" s="353"/>
      <c r="AD56" s="354"/>
      <c r="AE56" s="378" t="str">
        <f t="shared" si="21"/>
        <v/>
      </c>
      <c r="AF56" s="329"/>
      <c r="AG56" s="355">
        <v>0.39</v>
      </c>
      <c r="AH56" s="356">
        <f t="shared" si="22"/>
        <v>2.2140299999999997</v>
      </c>
      <c r="AI56" s="329"/>
      <c r="AJ56" s="345">
        <v>0.36</v>
      </c>
      <c r="AK56" s="356">
        <f t="shared" si="11"/>
        <v>0.39888000000000001</v>
      </c>
      <c r="AL56" s="342" t="s">
        <v>85</v>
      </c>
      <c r="AM56" s="355">
        <v>0.03</v>
      </c>
      <c r="AN56" s="356">
        <f t="shared" si="12"/>
        <v>1.6619999999999999E-2</v>
      </c>
      <c r="AO56" s="329"/>
      <c r="AP56" s="355">
        <v>0.18</v>
      </c>
      <c r="AQ56" s="359">
        <f t="shared" si="13"/>
        <v>0.19944000000000001</v>
      </c>
      <c r="AR56" s="360"/>
      <c r="AS56" s="355">
        <v>0.34</v>
      </c>
      <c r="AT56" s="356">
        <f t="shared" si="14"/>
        <v>0.37672000000000005</v>
      </c>
      <c r="AU56" s="345" t="s">
        <v>85</v>
      </c>
      <c r="AV56" s="355">
        <v>0.15</v>
      </c>
      <c r="AW56" s="359">
        <f t="shared" si="15"/>
        <v>8.3099999999999993E-2</v>
      </c>
      <c r="AX56" s="345" t="s">
        <v>85</v>
      </c>
      <c r="AY56" s="355">
        <v>0.13</v>
      </c>
      <c r="AZ56" s="359">
        <f t="shared" si="16"/>
        <v>7.2020000000000001E-2</v>
      </c>
      <c r="BA56" s="329">
        <f>IF('Degrémont Entrée'!K56="",,('Degrémont Entrée'!K56-I56)/'Degrémont Entrée'!K56*100)</f>
        <v>91.396527884467659</v>
      </c>
      <c r="BB56" s="329">
        <f>IF('Degrémont Entrée'!G56="",,('Degrémont Entrée'!G56-G56)/'Degrémont Entrée'!G56*100)</f>
        <v>99.818696883852681</v>
      </c>
      <c r="BC56" s="329">
        <f>IF('Degrémont Entrée'!S56="",,('Degrémont Entrée'!S56-M56)/'Degrémont Entrée'!S56*100)</f>
        <v>99.531818181818181</v>
      </c>
      <c r="BD56" s="361" t="str">
        <f ca="1">IFERROR(__xludf.DUMMYFUNCTION("""COMPUTED_VALUE"""),"#DIV/0!")</f>
        <v>#DIV/0!</v>
      </c>
      <c r="BE56" s="362"/>
      <c r="BF56" s="363"/>
      <c r="BG56" s="363"/>
      <c r="BH56" s="338">
        <f t="shared" si="17"/>
        <v>0</v>
      </c>
      <c r="BI56" s="364"/>
      <c r="BJ56" s="365"/>
      <c r="BK56" s="371">
        <f>'Degrémont Entrée'!BH56</f>
        <v>0</v>
      </c>
      <c r="BL56" s="372" t="str">
        <f>'Degrémont Entrée'!BI56</f>
        <v>Transfert B04 vers B01 4H70</v>
      </c>
    </row>
    <row r="57" spans="1:64" ht="15.75" customHeight="1" outlineLevel="1">
      <c r="A57" s="337">
        <f t="shared" si="18"/>
        <v>43509</v>
      </c>
      <c r="B57" s="338">
        <f>'Degrémont Entrée'!B57</f>
        <v>1035</v>
      </c>
      <c r="C57" s="339">
        <v>8.8000000000000007</v>
      </c>
      <c r="D57" s="340">
        <v>89.1</v>
      </c>
      <c r="E57" s="341">
        <v>89.9</v>
      </c>
      <c r="F57" s="342">
        <v>100</v>
      </c>
      <c r="G57" s="329">
        <f t="shared" si="0"/>
        <v>8.0000000000001137</v>
      </c>
      <c r="H57" s="338"/>
      <c r="I57" s="343">
        <v>973</v>
      </c>
      <c r="J57" s="344">
        <f t="shared" si="2"/>
        <v>1007.0549999999999</v>
      </c>
      <c r="K57" s="343">
        <v>1</v>
      </c>
      <c r="L57" s="345">
        <v>1.98</v>
      </c>
      <c r="M57" s="346">
        <f t="shared" si="3"/>
        <v>1.98</v>
      </c>
      <c r="N57" s="338">
        <f t="shared" si="4"/>
        <v>2.0493000000000001</v>
      </c>
      <c r="O57" s="368"/>
      <c r="P57" s="347">
        <f t="shared" si="19"/>
        <v>0</v>
      </c>
      <c r="Q57" s="348"/>
      <c r="R57" s="369"/>
      <c r="S57" s="349">
        <f t="shared" si="20"/>
        <v>0</v>
      </c>
      <c r="T57" s="348"/>
      <c r="U57" s="369"/>
      <c r="V57" s="349">
        <f t="shared" si="5"/>
        <v>0</v>
      </c>
      <c r="W57" s="348"/>
      <c r="X57" s="318" t="str">
        <f t="shared" si="6"/>
        <v/>
      </c>
      <c r="Y57" s="370" t="e">
        <f t="shared" si="7"/>
        <v>#VALUE!</v>
      </c>
      <c r="Z57" s="343" t="s">
        <v>85</v>
      </c>
      <c r="AA57" s="345">
        <v>0.01</v>
      </c>
      <c r="AB57" s="352">
        <f t="shared" si="8"/>
        <v>5.1749999999999999E-3</v>
      </c>
      <c r="AC57" s="353"/>
      <c r="AD57" s="354"/>
      <c r="AE57" s="378" t="str">
        <f t="shared" si="21"/>
        <v/>
      </c>
      <c r="AF57" s="329"/>
      <c r="AG57" s="358"/>
      <c r="AH57" s="356" t="str">
        <f t="shared" si="22"/>
        <v/>
      </c>
      <c r="AI57" s="329"/>
      <c r="AJ57" s="329"/>
      <c r="AK57" s="356">
        <f t="shared" si="11"/>
        <v>0</v>
      </c>
      <c r="AL57" s="357"/>
      <c r="AM57" s="358"/>
      <c r="AN57" s="356">
        <f t="shared" si="12"/>
        <v>0</v>
      </c>
      <c r="AO57" s="329"/>
      <c r="AP57" s="358"/>
      <c r="AQ57" s="359">
        <f t="shared" si="13"/>
        <v>0</v>
      </c>
      <c r="AR57" s="360"/>
      <c r="AS57" s="358"/>
      <c r="AT57" s="356">
        <f t="shared" si="14"/>
        <v>0</v>
      </c>
      <c r="AU57" s="329"/>
      <c r="AV57" s="358"/>
      <c r="AW57" s="359">
        <f t="shared" si="15"/>
        <v>0</v>
      </c>
      <c r="AX57" s="329"/>
      <c r="AY57" s="358"/>
      <c r="AZ57" s="359">
        <f t="shared" si="16"/>
        <v>0</v>
      </c>
      <c r="BA57" s="329">
        <f>IF('Degrémont Entrée'!K57="",,('Degrémont Entrée'!K57-I57)/'Degrémont Entrée'!K57*100)</f>
        <v>85.072108008591599</v>
      </c>
      <c r="BB57" s="329">
        <f>IF('Degrémont Entrée'!G57="",,('Degrémont Entrée'!G57-G57)/'Degrémont Entrée'!G57*100)</f>
        <v>99.860262008733628</v>
      </c>
      <c r="BC57" s="329">
        <f>IF('Degrémont Entrée'!S57="",,('Degrémont Entrée'!S57-M57)/'Degrémont Entrée'!S57*100)</f>
        <v>99.335570469798654</v>
      </c>
      <c r="BD57" s="361" t="str">
        <f ca="1">IFERROR(__xludf.DUMMYFUNCTION("""COMPUTED_VALUE"""),"#DIV/0!")</f>
        <v>#DIV/0!</v>
      </c>
      <c r="BE57" s="362"/>
      <c r="BF57" s="363"/>
      <c r="BG57" s="363"/>
      <c r="BH57" s="338">
        <f t="shared" si="17"/>
        <v>0</v>
      </c>
      <c r="BI57" s="364"/>
      <c r="BJ57" s="365"/>
      <c r="BK57" s="366">
        <f>'Degrémont Entrée'!BH57</f>
        <v>0</v>
      </c>
      <c r="BL57" s="367" t="str">
        <f>'Degrémont Entrée'!BI57</f>
        <v>Transfert B04 vers B01 3H55</v>
      </c>
    </row>
    <row r="58" spans="1:64" ht="24" outlineLevel="1">
      <c r="A58" s="337">
        <f t="shared" si="18"/>
        <v>43510</v>
      </c>
      <c r="B58" s="338">
        <f>'Degrémont Entrée'!B58</f>
        <v>1048</v>
      </c>
      <c r="C58" s="339">
        <v>8.8000000000000007</v>
      </c>
      <c r="D58" s="340">
        <v>89.1</v>
      </c>
      <c r="E58" s="341">
        <v>90.2</v>
      </c>
      <c r="F58" s="342">
        <v>100</v>
      </c>
      <c r="G58" s="329">
        <f t="shared" si="0"/>
        <v>11.000000000000087</v>
      </c>
      <c r="H58" s="338"/>
      <c r="I58" s="343">
        <v>601</v>
      </c>
      <c r="J58" s="344">
        <f t="shared" si="2"/>
        <v>629.84799999999996</v>
      </c>
      <c r="K58" s="343">
        <v>1</v>
      </c>
      <c r="L58" s="345">
        <v>1.21</v>
      </c>
      <c r="M58" s="346">
        <f t="shared" si="3"/>
        <v>1.21</v>
      </c>
      <c r="N58" s="338">
        <f t="shared" si="4"/>
        <v>1.2680799999999999</v>
      </c>
      <c r="O58" s="368"/>
      <c r="P58" s="347">
        <f t="shared" si="19"/>
        <v>0</v>
      </c>
      <c r="Q58" s="348"/>
      <c r="R58" s="369"/>
      <c r="S58" s="349">
        <f t="shared" si="20"/>
        <v>0</v>
      </c>
      <c r="T58" s="348"/>
      <c r="U58" s="369"/>
      <c r="V58" s="349">
        <f t="shared" si="5"/>
        <v>0</v>
      </c>
      <c r="W58" s="348"/>
      <c r="X58" s="318" t="str">
        <f t="shared" si="6"/>
        <v/>
      </c>
      <c r="Y58" s="370" t="e">
        <f t="shared" si="7"/>
        <v>#VALUE!</v>
      </c>
      <c r="Z58" s="343" t="s">
        <v>85</v>
      </c>
      <c r="AA58" s="345">
        <v>0.01</v>
      </c>
      <c r="AB58" s="352">
        <f t="shared" si="8"/>
        <v>5.2399999999999999E-3</v>
      </c>
      <c r="AC58" s="353"/>
      <c r="AD58" s="354"/>
      <c r="AE58" s="378" t="str">
        <f t="shared" si="21"/>
        <v/>
      </c>
      <c r="AF58" s="329"/>
      <c r="AG58" s="358"/>
      <c r="AH58" s="356" t="str">
        <f t="shared" si="22"/>
        <v/>
      </c>
      <c r="AI58" s="329"/>
      <c r="AJ58" s="329"/>
      <c r="AK58" s="356">
        <f t="shared" si="11"/>
        <v>0</v>
      </c>
      <c r="AL58" s="357"/>
      <c r="AM58" s="358"/>
      <c r="AN58" s="356">
        <f t="shared" si="12"/>
        <v>0</v>
      </c>
      <c r="AO58" s="329"/>
      <c r="AP58" s="358"/>
      <c r="AQ58" s="359">
        <f t="shared" si="13"/>
        <v>0</v>
      </c>
      <c r="AR58" s="360"/>
      <c r="AS58" s="358"/>
      <c r="AT58" s="356">
        <f t="shared" si="14"/>
        <v>0</v>
      </c>
      <c r="AU58" s="329"/>
      <c r="AV58" s="358"/>
      <c r="AW58" s="359">
        <f t="shared" si="15"/>
        <v>0</v>
      </c>
      <c r="AX58" s="329"/>
      <c r="AY58" s="358"/>
      <c r="AZ58" s="359">
        <f t="shared" si="16"/>
        <v>0</v>
      </c>
      <c r="BA58" s="329">
        <f>IF('Degrémont Entrée'!K58="",,('Degrémont Entrée'!K58-I58)/'Degrémont Entrée'!K58*100)</f>
        <v>93.644247038917101</v>
      </c>
      <c r="BB58" s="329">
        <f>IF('Degrémont Entrée'!G58="",,('Degrémont Entrée'!G58-G58)/'Degrémont Entrée'!G58*100)</f>
        <v>99.883437990580845</v>
      </c>
      <c r="BC58" s="329">
        <f>IF('Degrémont Entrée'!S58="",,('Degrémont Entrée'!S58-M58)/'Degrémont Entrée'!S58*100)</f>
        <v>99.722477064220186</v>
      </c>
      <c r="BD58" s="361" t="str">
        <f ca="1">IFERROR(__xludf.DUMMYFUNCTION("""COMPUTED_VALUE"""),"#DIV/0!")</f>
        <v>#DIV/0!</v>
      </c>
      <c r="BE58" s="386">
        <v>21.85</v>
      </c>
      <c r="BF58" s="387">
        <v>29.49</v>
      </c>
      <c r="BG58" s="387">
        <v>25.9</v>
      </c>
      <c r="BH58" s="338">
        <f t="shared" si="17"/>
        <v>53.010471204188462</v>
      </c>
      <c r="BI58" s="364"/>
      <c r="BJ58" s="365"/>
      <c r="BK58" s="371">
        <f>'Degrémont Entrée'!BH58</f>
        <v>0</v>
      </c>
      <c r="BL58" s="372" t="str">
        <f>'Degrémont Entrée'!BI58</f>
        <v>Nettoyage panier R4, bac de chaulage. Vidange B03</v>
      </c>
    </row>
    <row r="59" spans="1:64" ht="15.75" customHeight="1" outlineLevel="1">
      <c r="A59" s="337">
        <f t="shared" si="18"/>
        <v>43511</v>
      </c>
      <c r="B59" s="338">
        <f>'Degrémont Entrée'!B59</f>
        <v>824</v>
      </c>
      <c r="C59" s="339">
        <v>8.6999999999999993</v>
      </c>
      <c r="D59" s="340">
        <v>87</v>
      </c>
      <c r="E59" s="341">
        <v>88.6</v>
      </c>
      <c r="F59" s="342">
        <v>100</v>
      </c>
      <c r="G59" s="329">
        <f t="shared" si="0"/>
        <v>15.999999999999943</v>
      </c>
      <c r="H59" s="338"/>
      <c r="I59" s="343">
        <v>514</v>
      </c>
      <c r="J59" s="344">
        <f t="shared" si="2"/>
        <v>423.536</v>
      </c>
      <c r="K59" s="343">
        <v>1</v>
      </c>
      <c r="L59" s="345">
        <v>1.1000000000000001</v>
      </c>
      <c r="M59" s="346">
        <f t="shared" si="3"/>
        <v>1.1000000000000001</v>
      </c>
      <c r="N59" s="338">
        <f t="shared" si="4"/>
        <v>0.90640000000000009</v>
      </c>
      <c r="O59" s="368"/>
      <c r="P59" s="347">
        <f t="shared" si="19"/>
        <v>0</v>
      </c>
      <c r="Q59" s="348"/>
      <c r="R59" s="369"/>
      <c r="S59" s="349">
        <f t="shared" si="20"/>
        <v>0</v>
      </c>
      <c r="T59" s="348"/>
      <c r="U59" s="369"/>
      <c r="V59" s="349">
        <f t="shared" si="5"/>
        <v>0</v>
      </c>
      <c r="W59" s="348"/>
      <c r="X59" s="318" t="str">
        <f t="shared" si="6"/>
        <v/>
      </c>
      <c r="Y59" s="370" t="e">
        <f t="shared" si="7"/>
        <v>#VALUE!</v>
      </c>
      <c r="Z59" s="343" t="s">
        <v>85</v>
      </c>
      <c r="AA59" s="345">
        <v>0.01</v>
      </c>
      <c r="AB59" s="352">
        <f t="shared" si="8"/>
        <v>4.1200000000000004E-3</v>
      </c>
      <c r="AC59" s="353"/>
      <c r="AD59" s="354"/>
      <c r="AE59" s="378" t="str">
        <f t="shared" si="21"/>
        <v/>
      </c>
      <c r="AF59" s="329"/>
      <c r="AG59" s="358"/>
      <c r="AH59" s="356" t="str">
        <f t="shared" si="22"/>
        <v/>
      </c>
      <c r="AI59" s="329"/>
      <c r="AJ59" s="329"/>
      <c r="AK59" s="356">
        <f t="shared" si="11"/>
        <v>0</v>
      </c>
      <c r="AL59" s="357"/>
      <c r="AM59" s="358"/>
      <c r="AN59" s="356">
        <f t="shared" si="12"/>
        <v>0</v>
      </c>
      <c r="AO59" s="329"/>
      <c r="AP59" s="358"/>
      <c r="AQ59" s="359">
        <f t="shared" si="13"/>
        <v>0</v>
      </c>
      <c r="AR59" s="360"/>
      <c r="AS59" s="358"/>
      <c r="AT59" s="356">
        <f t="shared" si="14"/>
        <v>0</v>
      </c>
      <c r="AU59" s="329"/>
      <c r="AV59" s="358"/>
      <c r="AW59" s="359">
        <f t="shared" si="15"/>
        <v>0</v>
      </c>
      <c r="AX59" s="329"/>
      <c r="AY59" s="358"/>
      <c r="AZ59" s="359">
        <f t="shared" si="16"/>
        <v>0</v>
      </c>
      <c r="BA59" s="329">
        <f>IF('Degrémont Entrée'!K59="",,('Degrémont Entrée'!K59-I59)/'Degrémont Entrée'!K59*100)</f>
        <v>94.474306600731026</v>
      </c>
      <c r="BB59" s="329">
        <f>IF('Degrémont Entrée'!G59="",,('Degrémont Entrée'!G59-G59)/'Degrémont Entrée'!G59*100)</f>
        <v>99.818787475016663</v>
      </c>
      <c r="BC59" s="329">
        <f>IF('Degrémont Entrée'!S59="",,('Degrémont Entrée'!S59-M59)/'Degrémont Entrée'!S59*100)</f>
        <v>99.715025906735747</v>
      </c>
      <c r="BD59" s="361" t="str">
        <f ca="1">IFERROR(__xludf.DUMMYFUNCTION("""COMPUTED_VALUE"""),"#DIV/0!")</f>
        <v>#DIV/0!</v>
      </c>
      <c r="BE59" s="362"/>
      <c r="BF59" s="363"/>
      <c r="BG59" s="363"/>
      <c r="BH59" s="338">
        <f t="shared" si="17"/>
        <v>0</v>
      </c>
      <c r="BI59" s="364"/>
      <c r="BJ59" s="365"/>
      <c r="BK59" s="366">
        <f>'Degrémont Entrée'!BH59</f>
        <v>0</v>
      </c>
      <c r="BL59" s="367">
        <f>'Degrémont Entrée'!BI59</f>
        <v>0</v>
      </c>
    </row>
    <row r="60" spans="1:64" ht="14.25" outlineLevel="1">
      <c r="A60" s="337">
        <f t="shared" si="18"/>
        <v>43512</v>
      </c>
      <c r="B60" s="338">
        <f>'Degrémont Entrée'!B60</f>
        <v>944</v>
      </c>
      <c r="C60" s="339">
        <v>8.4</v>
      </c>
      <c r="D60" s="340">
        <v>88.6</v>
      </c>
      <c r="E60" s="341">
        <v>90.2</v>
      </c>
      <c r="F60" s="342">
        <v>100</v>
      </c>
      <c r="G60" s="329">
        <f t="shared" si="0"/>
        <v>16.000000000000085</v>
      </c>
      <c r="H60" s="338"/>
      <c r="I60" s="343">
        <v>690</v>
      </c>
      <c r="J60" s="344">
        <f t="shared" si="2"/>
        <v>651.36</v>
      </c>
      <c r="K60" s="343">
        <v>1</v>
      </c>
      <c r="L60" s="345">
        <v>1.1000000000000001</v>
      </c>
      <c r="M60" s="346">
        <f t="shared" si="3"/>
        <v>1.1000000000000001</v>
      </c>
      <c r="N60" s="338">
        <f t="shared" si="4"/>
        <v>1.0384</v>
      </c>
      <c r="O60" s="368"/>
      <c r="P60" s="347">
        <f t="shared" si="19"/>
        <v>0</v>
      </c>
      <c r="Q60" s="348"/>
      <c r="R60" s="369"/>
      <c r="S60" s="349">
        <f t="shared" si="20"/>
        <v>0</v>
      </c>
      <c r="T60" s="348"/>
      <c r="U60" s="369"/>
      <c r="V60" s="349">
        <f t="shared" si="5"/>
        <v>0</v>
      </c>
      <c r="W60" s="348"/>
      <c r="X60" s="318" t="str">
        <f t="shared" si="6"/>
        <v/>
      </c>
      <c r="Y60" s="370" t="e">
        <f t="shared" si="7"/>
        <v>#VALUE!</v>
      </c>
      <c r="Z60" s="343" t="s">
        <v>85</v>
      </c>
      <c r="AA60" s="345">
        <v>0.01</v>
      </c>
      <c r="AB60" s="352">
        <f t="shared" si="8"/>
        <v>4.7199999999999994E-3</v>
      </c>
      <c r="AC60" s="353"/>
      <c r="AD60" s="354"/>
      <c r="AE60" s="378" t="str">
        <f t="shared" si="21"/>
        <v/>
      </c>
      <c r="AF60" s="329"/>
      <c r="AG60" s="358"/>
      <c r="AH60" s="356" t="str">
        <f t="shared" si="22"/>
        <v/>
      </c>
      <c r="AI60" s="329"/>
      <c r="AJ60" s="329"/>
      <c r="AK60" s="356">
        <f t="shared" si="11"/>
        <v>0</v>
      </c>
      <c r="AL60" s="357"/>
      <c r="AM60" s="358"/>
      <c r="AN60" s="356">
        <f t="shared" si="12"/>
        <v>0</v>
      </c>
      <c r="AO60" s="329"/>
      <c r="AP60" s="358"/>
      <c r="AQ60" s="359">
        <f t="shared" si="13"/>
        <v>0</v>
      </c>
      <c r="AR60" s="360"/>
      <c r="AS60" s="358"/>
      <c r="AT60" s="356">
        <f t="shared" si="14"/>
        <v>0</v>
      </c>
      <c r="AU60" s="329"/>
      <c r="AV60" s="358"/>
      <c r="AW60" s="359">
        <f t="shared" si="15"/>
        <v>0</v>
      </c>
      <c r="AX60" s="329"/>
      <c r="AY60" s="358"/>
      <c r="AZ60" s="359">
        <f t="shared" si="16"/>
        <v>0</v>
      </c>
      <c r="BA60" s="329">
        <f>IF('Degrémont Entrée'!K60="",,('Degrémont Entrée'!K60-I60)/'Degrémont Entrée'!K60*100)</f>
        <v>47.806354009077154</v>
      </c>
      <c r="BB60" s="329">
        <f>IF('Degrémont Entrée'!G60="",,('Degrémont Entrée'!G60-G60)/'Degrémont Entrée'!G60*100)</f>
        <v>95.580110497237541</v>
      </c>
      <c r="BC60" s="329">
        <f>IF('Degrémont Entrée'!S60="",,('Degrémont Entrée'!S60-M60)/'Degrémont Entrée'!S60*100)</f>
        <v>96.126760563380273</v>
      </c>
      <c r="BD60" s="361" t="str">
        <f ca="1">IFERROR(__xludf.DUMMYFUNCTION("""COMPUTED_VALUE"""),"#DIV/0!")</f>
        <v>#DIV/0!</v>
      </c>
      <c r="BE60" s="362"/>
      <c r="BF60" s="363"/>
      <c r="BG60" s="363"/>
      <c r="BH60" s="338">
        <f t="shared" si="17"/>
        <v>0</v>
      </c>
      <c r="BI60" s="364"/>
      <c r="BJ60" s="365"/>
      <c r="BK60" s="371">
        <f>'Degrémont Entrée'!BH60</f>
        <v>0</v>
      </c>
      <c r="BL60" s="372">
        <f>'Degrémont Entrée'!BI60</f>
        <v>0</v>
      </c>
    </row>
    <row r="61" spans="1:64" ht="15.75" customHeight="1" outlineLevel="1">
      <c r="A61" s="337">
        <f t="shared" si="18"/>
        <v>43513</v>
      </c>
      <c r="B61" s="338">
        <f>'Degrémont Entrée'!B61</f>
        <v>0</v>
      </c>
      <c r="C61" s="338"/>
      <c r="D61" s="388"/>
      <c r="E61" s="368"/>
      <c r="F61" s="342">
        <v>100</v>
      </c>
      <c r="G61" s="329">
        <f t="shared" si="0"/>
        <v>0</v>
      </c>
      <c r="H61" s="338"/>
      <c r="I61" s="346"/>
      <c r="J61" s="344">
        <f t="shared" si="2"/>
        <v>0</v>
      </c>
      <c r="K61" s="343">
        <v>1</v>
      </c>
      <c r="L61" s="329"/>
      <c r="M61" s="346" t="str">
        <f t="shared" si="3"/>
        <v/>
      </c>
      <c r="N61" s="338" t="e">
        <f t="shared" si="4"/>
        <v>#VALUE!</v>
      </c>
      <c r="O61" s="368"/>
      <c r="P61" s="347">
        <f t="shared" si="19"/>
        <v>0</v>
      </c>
      <c r="Q61" s="348"/>
      <c r="R61" s="369"/>
      <c r="S61" s="349">
        <f t="shared" si="20"/>
        <v>0</v>
      </c>
      <c r="T61" s="348"/>
      <c r="U61" s="369"/>
      <c r="V61" s="349">
        <f t="shared" si="5"/>
        <v>0</v>
      </c>
      <c r="W61" s="348"/>
      <c r="X61" s="318" t="str">
        <f t="shared" si="6"/>
        <v/>
      </c>
      <c r="Y61" s="370" t="e">
        <f t="shared" si="7"/>
        <v>#VALUE!</v>
      </c>
      <c r="Z61" s="346"/>
      <c r="AA61" s="329"/>
      <c r="AB61" s="352">
        <f t="shared" si="8"/>
        <v>0</v>
      </c>
      <c r="AC61" s="353"/>
      <c r="AD61" s="354"/>
      <c r="AE61" s="378" t="str">
        <f t="shared" si="21"/>
        <v/>
      </c>
      <c r="AF61" s="329"/>
      <c r="AG61" s="358"/>
      <c r="AH61" s="356" t="str">
        <f t="shared" si="22"/>
        <v/>
      </c>
      <c r="AI61" s="329"/>
      <c r="AJ61" s="329"/>
      <c r="AK61" s="356">
        <f t="shared" si="11"/>
        <v>0</v>
      </c>
      <c r="AL61" s="357"/>
      <c r="AM61" s="358"/>
      <c r="AN61" s="356">
        <f t="shared" si="12"/>
        <v>0</v>
      </c>
      <c r="AO61" s="329"/>
      <c r="AP61" s="358"/>
      <c r="AQ61" s="359">
        <f t="shared" si="13"/>
        <v>0</v>
      </c>
      <c r="AR61" s="360"/>
      <c r="AS61" s="358"/>
      <c r="AT61" s="356">
        <f t="shared" si="14"/>
        <v>0</v>
      </c>
      <c r="AU61" s="329"/>
      <c r="AV61" s="358"/>
      <c r="AW61" s="359">
        <f t="shared" si="15"/>
        <v>0</v>
      </c>
      <c r="AX61" s="329"/>
      <c r="AY61" s="358"/>
      <c r="AZ61" s="359">
        <f t="shared" si="16"/>
        <v>0</v>
      </c>
      <c r="BA61" s="329" t="e">
        <f>IF('Degrémont Entrée'!K61="",,('Degrémont Entrée'!K61-I61)/'Degrémont Entrée'!K61*100)</f>
        <v>#DIV/0!</v>
      </c>
      <c r="BB61" s="329" t="e">
        <f>IF('Degrémont Entrée'!G61="",,('Degrémont Entrée'!G61-G61)/'Degrémont Entrée'!G61*100)</f>
        <v>#DIV/0!</v>
      </c>
      <c r="BC61" s="329">
        <f>IF('Degrémont Entrée'!S61="",,('Degrémont Entrée'!S61-M61)/'Degrémont Entrée'!S61*100)</f>
        <v>0</v>
      </c>
      <c r="BD61" s="361" t="str">
        <f ca="1">IFERROR(__xludf.DUMMYFUNCTION("""COMPUTED_VALUE"""),"#DIV/0!")</f>
        <v>#DIV/0!</v>
      </c>
      <c r="BE61" s="362"/>
      <c r="BF61" s="363"/>
      <c r="BG61" s="363"/>
      <c r="BH61" s="338">
        <f t="shared" si="17"/>
        <v>0</v>
      </c>
      <c r="BI61" s="364"/>
      <c r="BJ61" s="365"/>
      <c r="BK61" s="366">
        <f>'Degrémont Entrée'!BH61</f>
        <v>0</v>
      </c>
      <c r="BL61" s="367">
        <f>'Degrémont Entrée'!BI61</f>
        <v>0</v>
      </c>
    </row>
    <row r="62" spans="1:64" ht="14.25" outlineLevel="1">
      <c r="A62" s="337">
        <f t="shared" si="18"/>
        <v>43514</v>
      </c>
      <c r="B62" s="338">
        <f>'Degrémont Entrée'!B62</f>
        <v>888</v>
      </c>
      <c r="C62" s="339">
        <v>9</v>
      </c>
      <c r="D62" s="340">
        <v>89.1</v>
      </c>
      <c r="E62" s="341">
        <v>93</v>
      </c>
      <c r="F62" s="342">
        <v>200</v>
      </c>
      <c r="G62" s="329">
        <f t="shared" si="0"/>
        <v>19.500000000000028</v>
      </c>
      <c r="H62" s="338"/>
      <c r="I62" s="343">
        <v>848</v>
      </c>
      <c r="J62" s="344">
        <f t="shared" si="2"/>
        <v>753.024</v>
      </c>
      <c r="K62" s="343">
        <v>1</v>
      </c>
      <c r="L62" s="345">
        <v>1.53</v>
      </c>
      <c r="M62" s="346">
        <f t="shared" si="3"/>
        <v>1.53</v>
      </c>
      <c r="N62" s="338">
        <f t="shared" si="4"/>
        <v>1.3586400000000001</v>
      </c>
      <c r="O62" s="368"/>
      <c r="P62" s="347">
        <f t="shared" si="19"/>
        <v>0</v>
      </c>
      <c r="Q62" s="348"/>
      <c r="R62" s="369"/>
      <c r="S62" s="349">
        <f t="shared" si="20"/>
        <v>0</v>
      </c>
      <c r="T62" s="348"/>
      <c r="U62" s="369"/>
      <c r="V62" s="349">
        <f t="shared" si="5"/>
        <v>0</v>
      </c>
      <c r="W62" s="348"/>
      <c r="X62" s="318" t="str">
        <f t="shared" si="6"/>
        <v/>
      </c>
      <c r="Y62" s="370" t="e">
        <f t="shared" si="7"/>
        <v>#VALUE!</v>
      </c>
      <c r="Z62" s="343" t="s">
        <v>85</v>
      </c>
      <c r="AA62" s="345">
        <v>0.01</v>
      </c>
      <c r="AB62" s="352">
        <f t="shared" si="8"/>
        <v>4.4400000000000004E-3</v>
      </c>
      <c r="AC62" s="353"/>
      <c r="AD62" s="354"/>
      <c r="AE62" s="378" t="str">
        <f t="shared" si="21"/>
        <v/>
      </c>
      <c r="AF62" s="329"/>
      <c r="AG62" s="358"/>
      <c r="AH62" s="356" t="str">
        <f t="shared" si="22"/>
        <v/>
      </c>
      <c r="AI62" s="329"/>
      <c r="AJ62" s="329"/>
      <c r="AK62" s="356">
        <f t="shared" si="11"/>
        <v>0</v>
      </c>
      <c r="AL62" s="357"/>
      <c r="AM62" s="358"/>
      <c r="AN62" s="356">
        <f t="shared" si="12"/>
        <v>0</v>
      </c>
      <c r="AO62" s="329"/>
      <c r="AP62" s="358"/>
      <c r="AQ62" s="359">
        <f t="shared" si="13"/>
        <v>0</v>
      </c>
      <c r="AR62" s="360"/>
      <c r="AS62" s="358"/>
      <c r="AT62" s="356">
        <f t="shared" si="14"/>
        <v>0</v>
      </c>
      <c r="AU62" s="329"/>
      <c r="AV62" s="358"/>
      <c r="AW62" s="359">
        <f t="shared" si="15"/>
        <v>0</v>
      </c>
      <c r="AX62" s="329"/>
      <c r="AY62" s="358"/>
      <c r="AZ62" s="359">
        <f t="shared" si="16"/>
        <v>0</v>
      </c>
      <c r="BA62" s="329">
        <f>IF('Degrémont Entrée'!K62="",,('Degrémont Entrée'!K62-I62)/'Degrémont Entrée'!K62*100)</f>
        <v>87.661865269896694</v>
      </c>
      <c r="BB62" s="329">
        <f>IF('Degrémont Entrée'!G62="",,('Degrémont Entrée'!G62-G62)/'Degrémont Entrée'!G62*100)</f>
        <v>99.676795580110493</v>
      </c>
      <c r="BC62" s="329">
        <f>IF('Degrémont Entrée'!S62="",,('Degrémont Entrée'!S62-M62)/'Degrémont Entrée'!S62*100)</f>
        <v>99.304545454545462</v>
      </c>
      <c r="BD62" s="361" t="str">
        <f ca="1">IFERROR(__xludf.DUMMYFUNCTION("""COMPUTED_VALUE"""),"#DIV/0!")</f>
        <v>#DIV/0!</v>
      </c>
      <c r="BE62" s="386">
        <v>21.85</v>
      </c>
      <c r="BF62" s="387">
        <v>39.1</v>
      </c>
      <c r="BG62" s="387">
        <v>31.23</v>
      </c>
      <c r="BH62" s="338">
        <f t="shared" si="17"/>
        <v>54.376811594202891</v>
      </c>
      <c r="BI62" s="364"/>
      <c r="BJ62" s="365"/>
      <c r="BK62" s="371">
        <f>'Degrémont Entrée'!BH62</f>
        <v>0</v>
      </c>
      <c r="BL62" s="372" t="str">
        <f>'Degrémont Entrée'!BI62</f>
        <v>Transfert B04 vers B01 3H20</v>
      </c>
    </row>
    <row r="63" spans="1:64" ht="15.75" customHeight="1" outlineLevel="1">
      <c r="A63" s="337">
        <f t="shared" si="18"/>
        <v>43515</v>
      </c>
      <c r="B63" s="338">
        <f>'Degrémont Entrée'!B63</f>
        <v>904</v>
      </c>
      <c r="C63" s="339">
        <v>9</v>
      </c>
      <c r="D63" s="340">
        <v>89.5</v>
      </c>
      <c r="E63" s="341">
        <v>92.9</v>
      </c>
      <c r="F63" s="342">
        <v>200</v>
      </c>
      <c r="G63" s="329">
        <f t="shared" si="0"/>
        <v>17.000000000000028</v>
      </c>
      <c r="H63" s="338"/>
      <c r="I63" s="343">
        <v>542</v>
      </c>
      <c r="J63" s="344">
        <f t="shared" si="2"/>
        <v>489.96800000000002</v>
      </c>
      <c r="K63" s="343">
        <v>1</v>
      </c>
      <c r="L63" s="345">
        <v>3.38</v>
      </c>
      <c r="M63" s="346">
        <f t="shared" si="3"/>
        <v>3.38</v>
      </c>
      <c r="N63" s="338">
        <f t="shared" si="4"/>
        <v>3.05552</v>
      </c>
      <c r="O63" s="341">
        <v>10.8</v>
      </c>
      <c r="P63" s="347">
        <f t="shared" si="19"/>
        <v>9.7632000000000012</v>
      </c>
      <c r="Q63" s="348"/>
      <c r="R63" s="369"/>
      <c r="S63" s="349">
        <f t="shared" si="20"/>
        <v>0</v>
      </c>
      <c r="T63" s="348"/>
      <c r="U63" s="369"/>
      <c r="V63" s="349">
        <f t="shared" si="5"/>
        <v>0</v>
      </c>
      <c r="W63" s="348"/>
      <c r="X63" s="318">
        <f t="shared" si="6"/>
        <v>10.8</v>
      </c>
      <c r="Y63" s="370">
        <f t="shared" si="7"/>
        <v>9.7632000000000012</v>
      </c>
      <c r="Z63" s="343" t="s">
        <v>85</v>
      </c>
      <c r="AA63" s="345">
        <v>0.01</v>
      </c>
      <c r="AB63" s="352">
        <f t="shared" si="8"/>
        <v>4.5200000000000006E-3</v>
      </c>
      <c r="AC63" s="353"/>
      <c r="AD63" s="354"/>
      <c r="AE63" s="378" t="str">
        <f t="shared" si="21"/>
        <v/>
      </c>
      <c r="AF63" s="329"/>
      <c r="AG63" s="355">
        <v>0.39</v>
      </c>
      <c r="AH63" s="356">
        <f t="shared" si="22"/>
        <v>2.2007699999999999</v>
      </c>
      <c r="AI63" s="329"/>
      <c r="AJ63" s="345">
        <v>0.61</v>
      </c>
      <c r="AK63" s="356">
        <f t="shared" si="11"/>
        <v>0.55143999999999993</v>
      </c>
      <c r="AL63" s="357"/>
      <c r="AM63" s="355">
        <v>0.19</v>
      </c>
      <c r="AN63" s="356">
        <f t="shared" si="12"/>
        <v>0.17176</v>
      </c>
      <c r="AO63" s="329"/>
      <c r="AP63" s="355">
        <v>0.13</v>
      </c>
      <c r="AQ63" s="359">
        <f t="shared" si="13"/>
        <v>0.11752000000000001</v>
      </c>
      <c r="AR63" s="360"/>
      <c r="AS63" s="355">
        <v>0.4</v>
      </c>
      <c r="AT63" s="356">
        <f t="shared" si="14"/>
        <v>0.36160000000000003</v>
      </c>
      <c r="AU63" s="345" t="s">
        <v>85</v>
      </c>
      <c r="AV63" s="355">
        <v>0.15</v>
      </c>
      <c r="AW63" s="359">
        <f t="shared" si="15"/>
        <v>6.7799999999999999E-2</v>
      </c>
      <c r="AX63" s="345" t="s">
        <v>85</v>
      </c>
      <c r="AY63" s="355">
        <v>0.13</v>
      </c>
      <c r="AZ63" s="359">
        <f t="shared" si="16"/>
        <v>5.8760000000000007E-2</v>
      </c>
      <c r="BA63" s="329">
        <f>IF('Degrémont Entrée'!K63="",,('Degrémont Entrée'!K63-I63)/'Degrémont Entrée'!K63*100)</f>
        <v>88.445960349605627</v>
      </c>
      <c r="BB63" s="329">
        <f>IF('Degrémont Entrée'!G63="",,('Degrémont Entrée'!G63-G63)/'Degrémont Entrée'!G63*100)</f>
        <v>99.576025744167339</v>
      </c>
      <c r="BC63" s="329">
        <f>IF('Degrémont Entrée'!S63="",,('Degrémont Entrée'!S63-M63)/'Degrémont Entrée'!S63*100)</f>
        <v>98.658730158730151</v>
      </c>
      <c r="BD63" s="361" t="str">
        <f ca="1">IFERROR(__xludf.DUMMYFUNCTION("""COMPUTED_VALUE"""),"#DIV/0!")</f>
        <v>#DIV/0!</v>
      </c>
      <c r="BE63" s="362"/>
      <c r="BF63" s="363"/>
      <c r="BG63" s="363"/>
      <c r="BH63" s="338">
        <f t="shared" si="17"/>
        <v>0</v>
      </c>
      <c r="BI63" s="364"/>
      <c r="BJ63" s="365"/>
      <c r="BK63" s="366">
        <f>'Degrémont Entrée'!BH63</f>
        <v>0</v>
      </c>
      <c r="BL63" s="367" t="str">
        <f>'Degrémont Entrée'!BI63</f>
        <v>Transfert B04 vers B01 3H45</v>
      </c>
    </row>
    <row r="64" spans="1:64" ht="14.25" outlineLevel="1">
      <c r="A64" s="337">
        <f t="shared" si="18"/>
        <v>43516</v>
      </c>
      <c r="B64" s="338">
        <f>'Degrémont Entrée'!B64</f>
        <v>1048</v>
      </c>
      <c r="C64" s="339">
        <v>8.6999999999999993</v>
      </c>
      <c r="D64" s="340">
        <v>89</v>
      </c>
      <c r="E64" s="341">
        <v>92.1</v>
      </c>
      <c r="F64" s="342">
        <v>200</v>
      </c>
      <c r="G64" s="329">
        <f t="shared" si="0"/>
        <v>15.499999999999973</v>
      </c>
      <c r="H64" s="338"/>
      <c r="I64" s="343">
        <v>547</v>
      </c>
      <c r="J64" s="344">
        <f t="shared" si="2"/>
        <v>573.25599999999997</v>
      </c>
      <c r="K64" s="343">
        <v>1</v>
      </c>
      <c r="L64" s="345">
        <v>3.81</v>
      </c>
      <c r="M64" s="346">
        <f t="shared" si="3"/>
        <v>3.81</v>
      </c>
      <c r="N64" s="338">
        <f t="shared" si="4"/>
        <v>3.99288</v>
      </c>
      <c r="O64" s="368"/>
      <c r="P64" s="347">
        <f t="shared" si="19"/>
        <v>0</v>
      </c>
      <c r="Q64" s="348"/>
      <c r="R64" s="369"/>
      <c r="S64" s="349">
        <f t="shared" si="20"/>
        <v>0</v>
      </c>
      <c r="T64" s="348"/>
      <c r="U64" s="369"/>
      <c r="V64" s="349">
        <f t="shared" si="5"/>
        <v>0</v>
      </c>
      <c r="W64" s="348"/>
      <c r="X64" s="318" t="str">
        <f t="shared" si="6"/>
        <v/>
      </c>
      <c r="Y64" s="370" t="e">
        <f t="shared" si="7"/>
        <v>#VALUE!</v>
      </c>
      <c r="Z64" s="343" t="s">
        <v>85</v>
      </c>
      <c r="AA64" s="345">
        <v>0.01</v>
      </c>
      <c r="AB64" s="352">
        <f t="shared" si="8"/>
        <v>5.2399999999999999E-3</v>
      </c>
      <c r="AC64" s="353"/>
      <c r="AD64" s="354"/>
      <c r="AE64" s="378" t="str">
        <f t="shared" si="21"/>
        <v/>
      </c>
      <c r="AF64" s="329"/>
      <c r="AG64" s="358"/>
      <c r="AH64" s="356" t="str">
        <f t="shared" si="22"/>
        <v/>
      </c>
      <c r="AI64" s="329"/>
      <c r="AJ64" s="329"/>
      <c r="AK64" s="356">
        <f t="shared" si="11"/>
        <v>0</v>
      </c>
      <c r="AL64" s="357"/>
      <c r="AM64" s="358"/>
      <c r="AN64" s="356">
        <f t="shared" si="12"/>
        <v>0</v>
      </c>
      <c r="AO64" s="329"/>
      <c r="AP64" s="358"/>
      <c r="AQ64" s="359">
        <f t="shared" si="13"/>
        <v>0</v>
      </c>
      <c r="AR64" s="360"/>
      <c r="AS64" s="358"/>
      <c r="AT64" s="356">
        <f t="shared" si="14"/>
        <v>0</v>
      </c>
      <c r="AU64" s="329"/>
      <c r="AV64" s="358"/>
      <c r="AW64" s="359">
        <f t="shared" si="15"/>
        <v>0</v>
      </c>
      <c r="AX64" s="329"/>
      <c r="AY64" s="358"/>
      <c r="AZ64" s="359">
        <f t="shared" si="16"/>
        <v>0</v>
      </c>
      <c r="BA64" s="329">
        <f>IF('Degrémont Entrée'!K64="",,('Degrémont Entrée'!K64-I64)/'Degrémont Entrée'!K64*100)</f>
        <v>90.800538176925656</v>
      </c>
      <c r="BB64" s="329">
        <f>IF('Degrémont Entrée'!G64="",,('Degrémont Entrée'!G64-G64)/'Degrémont Entrée'!G64*100)</f>
        <v>99.71394395078606</v>
      </c>
      <c r="BC64" s="329">
        <f>IF('Degrémont Entrée'!S64="",,('Degrémont Entrée'!S64-M64)/'Degrémont Entrée'!S64*100)</f>
        <v>98.831288343558271</v>
      </c>
      <c r="BD64" s="361" t="str">
        <f ca="1">IFERROR(__xludf.DUMMYFUNCTION("""COMPUTED_VALUE"""),"#DIV/0!")</f>
        <v>#DIV/0!</v>
      </c>
      <c r="BE64" s="362"/>
      <c r="BF64" s="363"/>
      <c r="BG64" s="363"/>
      <c r="BH64" s="338">
        <f t="shared" si="17"/>
        <v>0</v>
      </c>
      <c r="BI64" s="364"/>
      <c r="BJ64" s="365"/>
      <c r="BK64" s="371">
        <f>'Degrémont Entrée'!BH64</f>
        <v>0</v>
      </c>
      <c r="BL64" s="372">
        <f>'Degrémont Entrée'!BI64</f>
        <v>0</v>
      </c>
    </row>
    <row r="65" spans="1:64" ht="15.75" customHeight="1" outlineLevel="1">
      <c r="A65" s="337">
        <f t="shared" si="18"/>
        <v>43517</v>
      </c>
      <c r="B65" s="338">
        <f>'Degrémont Entrée'!B65</f>
        <v>1118</v>
      </c>
      <c r="C65" s="339">
        <v>8.1</v>
      </c>
      <c r="D65" s="340">
        <v>87.8</v>
      </c>
      <c r="E65" s="341">
        <v>90.8</v>
      </c>
      <c r="F65" s="342">
        <v>200</v>
      </c>
      <c r="G65" s="329">
        <f t="shared" si="0"/>
        <v>15</v>
      </c>
      <c r="H65" s="338"/>
      <c r="I65" s="343">
        <v>505</v>
      </c>
      <c r="J65" s="344">
        <f t="shared" si="2"/>
        <v>564.59</v>
      </c>
      <c r="K65" s="343">
        <v>1</v>
      </c>
      <c r="L65" s="345">
        <v>3.21</v>
      </c>
      <c r="M65" s="346">
        <f t="shared" si="3"/>
        <v>3.21</v>
      </c>
      <c r="N65" s="338">
        <f t="shared" si="4"/>
        <v>3.5887799999999999</v>
      </c>
      <c r="O65" s="368"/>
      <c r="P65" s="347">
        <f t="shared" si="19"/>
        <v>0</v>
      </c>
      <c r="Q65" s="348"/>
      <c r="R65" s="369"/>
      <c r="S65" s="349">
        <f t="shared" si="20"/>
        <v>0</v>
      </c>
      <c r="T65" s="348"/>
      <c r="U65" s="369"/>
      <c r="V65" s="349">
        <f t="shared" si="5"/>
        <v>0</v>
      </c>
      <c r="W65" s="348"/>
      <c r="X65" s="318" t="str">
        <f t="shared" si="6"/>
        <v/>
      </c>
      <c r="Y65" s="370" t="e">
        <f t="shared" si="7"/>
        <v>#VALUE!</v>
      </c>
      <c r="Z65" s="343" t="s">
        <v>85</v>
      </c>
      <c r="AA65" s="345">
        <v>0.01</v>
      </c>
      <c r="AB65" s="352">
        <f t="shared" si="8"/>
        <v>5.5899999999999995E-3</v>
      </c>
      <c r="AC65" s="353"/>
      <c r="AD65" s="354"/>
      <c r="AE65" s="378" t="str">
        <f t="shared" si="21"/>
        <v/>
      </c>
      <c r="AF65" s="329"/>
      <c r="AG65" s="358"/>
      <c r="AH65" s="356" t="str">
        <f t="shared" si="22"/>
        <v/>
      </c>
      <c r="AI65" s="329"/>
      <c r="AJ65" s="329"/>
      <c r="AK65" s="356">
        <f t="shared" si="11"/>
        <v>0</v>
      </c>
      <c r="AL65" s="357"/>
      <c r="AM65" s="358"/>
      <c r="AN65" s="356">
        <f t="shared" si="12"/>
        <v>0</v>
      </c>
      <c r="AO65" s="329"/>
      <c r="AP65" s="358"/>
      <c r="AQ65" s="359">
        <f t="shared" si="13"/>
        <v>0</v>
      </c>
      <c r="AR65" s="360"/>
      <c r="AS65" s="358"/>
      <c r="AT65" s="356">
        <f t="shared" si="14"/>
        <v>0</v>
      </c>
      <c r="AU65" s="329"/>
      <c r="AV65" s="358"/>
      <c r="AW65" s="359">
        <f t="shared" si="15"/>
        <v>0</v>
      </c>
      <c r="AX65" s="329"/>
      <c r="AY65" s="358"/>
      <c r="AZ65" s="359">
        <f t="shared" si="16"/>
        <v>0</v>
      </c>
      <c r="BA65" s="329">
        <f>IF('Degrémont Entrée'!K65="",,('Degrémont Entrée'!K65-I65)/'Degrémont Entrée'!K65*100)</f>
        <v>91.12478031634447</v>
      </c>
      <c r="BB65" s="329">
        <f>IF('Degrémont Entrée'!G65="",,('Degrémont Entrée'!G65-G65)/'Degrémont Entrée'!G65*100)</f>
        <v>99.734594264795604</v>
      </c>
      <c r="BC65" s="329">
        <f>IF('Degrémont Entrée'!S65="",,('Degrémont Entrée'!S65-M65)/'Degrémont Entrée'!S65*100)</f>
        <v>98.83695652173914</v>
      </c>
      <c r="BD65" s="361" t="str">
        <f ca="1">IFERROR(__xludf.DUMMYFUNCTION("""COMPUTED_VALUE"""),"#DIV/0!")</f>
        <v>#DIV/0!</v>
      </c>
      <c r="BE65" s="362"/>
      <c r="BF65" s="363"/>
      <c r="BG65" s="363"/>
      <c r="BH65" s="338">
        <f t="shared" si="17"/>
        <v>0</v>
      </c>
      <c r="BI65" s="364"/>
      <c r="BJ65" s="365"/>
      <c r="BK65" s="366">
        <f>'Degrémont Entrée'!BH65</f>
        <v>0</v>
      </c>
      <c r="BL65" s="367" t="str">
        <f>'Degrémont Entrée'!BI65</f>
        <v>Transfert B04 vers B01 4H</v>
      </c>
    </row>
    <row r="66" spans="1:64" ht="14.25" outlineLevel="1">
      <c r="A66" s="337">
        <f t="shared" si="18"/>
        <v>43518</v>
      </c>
      <c r="B66" s="338">
        <f>'Degrémont Entrée'!B66</f>
        <v>860</v>
      </c>
      <c r="C66" s="339">
        <v>7.7</v>
      </c>
      <c r="D66" s="340">
        <v>88.7</v>
      </c>
      <c r="E66" s="341">
        <v>92.8</v>
      </c>
      <c r="F66" s="342">
        <v>200</v>
      </c>
      <c r="G66" s="329">
        <f t="shared" si="0"/>
        <v>20.499999999999972</v>
      </c>
      <c r="H66" s="338"/>
      <c r="I66" s="343">
        <v>676</v>
      </c>
      <c r="J66" s="344">
        <f t="shared" si="2"/>
        <v>581.36</v>
      </c>
      <c r="K66" s="343">
        <v>1</v>
      </c>
      <c r="L66" s="345">
        <v>4.7699999999999996</v>
      </c>
      <c r="M66" s="346">
        <f t="shared" si="3"/>
        <v>4.7699999999999996</v>
      </c>
      <c r="N66" s="338">
        <f t="shared" si="4"/>
        <v>4.1021999999999998</v>
      </c>
      <c r="O66" s="368"/>
      <c r="P66" s="347">
        <f t="shared" si="19"/>
        <v>0</v>
      </c>
      <c r="Q66" s="348"/>
      <c r="R66" s="369"/>
      <c r="S66" s="349">
        <f t="shared" si="20"/>
        <v>0</v>
      </c>
      <c r="T66" s="348"/>
      <c r="U66" s="369"/>
      <c r="V66" s="349">
        <f t="shared" si="5"/>
        <v>0</v>
      </c>
      <c r="W66" s="348"/>
      <c r="X66" s="318" t="str">
        <f t="shared" si="6"/>
        <v/>
      </c>
      <c r="Y66" s="370" t="e">
        <f t="shared" si="7"/>
        <v>#VALUE!</v>
      </c>
      <c r="Z66" s="343" t="s">
        <v>85</v>
      </c>
      <c r="AA66" s="345">
        <v>0.01</v>
      </c>
      <c r="AB66" s="352">
        <f t="shared" si="8"/>
        <v>4.3E-3</v>
      </c>
      <c r="AC66" s="353"/>
      <c r="AD66" s="354"/>
      <c r="AE66" s="378" t="str">
        <f t="shared" si="21"/>
        <v/>
      </c>
      <c r="AF66" s="329"/>
      <c r="AG66" s="358"/>
      <c r="AH66" s="356" t="str">
        <f t="shared" si="22"/>
        <v/>
      </c>
      <c r="AI66" s="329"/>
      <c r="AJ66" s="329"/>
      <c r="AK66" s="356">
        <f t="shared" si="11"/>
        <v>0</v>
      </c>
      <c r="AL66" s="357"/>
      <c r="AM66" s="358"/>
      <c r="AN66" s="356">
        <f t="shared" si="12"/>
        <v>0</v>
      </c>
      <c r="AO66" s="329"/>
      <c r="AP66" s="358"/>
      <c r="AQ66" s="359">
        <f t="shared" si="13"/>
        <v>0</v>
      </c>
      <c r="AR66" s="360"/>
      <c r="AS66" s="358"/>
      <c r="AT66" s="356">
        <f t="shared" si="14"/>
        <v>0</v>
      </c>
      <c r="AU66" s="329"/>
      <c r="AV66" s="358"/>
      <c r="AW66" s="359">
        <f t="shared" si="15"/>
        <v>0</v>
      </c>
      <c r="AX66" s="329"/>
      <c r="AY66" s="358"/>
      <c r="AZ66" s="359">
        <f t="shared" si="16"/>
        <v>0</v>
      </c>
      <c r="BA66" s="329">
        <f>IF('Degrémont Entrée'!K66="",,('Degrémont Entrée'!K66-I66)/'Degrémont Entrée'!K66*100)</f>
        <v>84.049079754601223</v>
      </c>
      <c r="BB66" s="329">
        <f>IF('Degrémont Entrée'!G66="",,('Degrémont Entrée'!G66-G66)/'Degrémont Entrée'!G66*100)</f>
        <v>99.322144288577149</v>
      </c>
      <c r="BC66" s="329">
        <f>IF('Degrémont Entrée'!S66="",,('Degrémont Entrée'!S66-M66)/'Degrémont Entrée'!S66*100)</f>
        <v>97.476190476190467</v>
      </c>
      <c r="BD66" s="361" t="str">
        <f ca="1">IFERROR(__xludf.DUMMYFUNCTION("""COMPUTED_VALUE"""),"#DIV/0!")</f>
        <v>#DIV/0!</v>
      </c>
      <c r="BE66" s="362"/>
      <c r="BF66" s="363"/>
      <c r="BG66" s="363"/>
      <c r="BH66" s="338">
        <f t="shared" si="17"/>
        <v>0</v>
      </c>
      <c r="BI66" s="364"/>
      <c r="BJ66" s="365"/>
      <c r="BK66" s="371">
        <f>'Degrémont Entrée'!BH66</f>
        <v>0</v>
      </c>
      <c r="BL66" s="372">
        <f>'Degrémont Entrée'!BI66</f>
        <v>0</v>
      </c>
    </row>
    <row r="67" spans="1:64" ht="15.75" customHeight="1" outlineLevel="1">
      <c r="A67" s="337">
        <f t="shared" si="18"/>
        <v>43519</v>
      </c>
      <c r="B67" s="338">
        <f>'Degrémont Entrée'!B67</f>
        <v>416</v>
      </c>
      <c r="C67" s="339">
        <v>9.1</v>
      </c>
      <c r="D67" s="340">
        <v>89.5</v>
      </c>
      <c r="E67" s="341">
        <v>95.3</v>
      </c>
      <c r="F67" s="342">
        <v>200</v>
      </c>
      <c r="G67" s="329">
        <f t="shared" si="0"/>
        <v>28.999999999999986</v>
      </c>
      <c r="H67" s="338"/>
      <c r="I67" s="343">
        <v>655</v>
      </c>
      <c r="J67" s="344">
        <f t="shared" si="2"/>
        <v>272.48</v>
      </c>
      <c r="K67" s="343">
        <v>1</v>
      </c>
      <c r="L67" s="345">
        <v>2.61</v>
      </c>
      <c r="M67" s="346">
        <f t="shared" si="3"/>
        <v>2.61</v>
      </c>
      <c r="N67" s="338">
        <f t="shared" si="4"/>
        <v>1.0857600000000001</v>
      </c>
      <c r="O67" s="368"/>
      <c r="P67" s="347">
        <f t="shared" si="19"/>
        <v>0</v>
      </c>
      <c r="Q67" s="348"/>
      <c r="R67" s="369"/>
      <c r="S67" s="349">
        <f t="shared" si="20"/>
        <v>0</v>
      </c>
      <c r="T67" s="348"/>
      <c r="U67" s="369"/>
      <c r="V67" s="349">
        <f t="shared" si="5"/>
        <v>0</v>
      </c>
      <c r="W67" s="348"/>
      <c r="X67" s="318" t="str">
        <f t="shared" si="6"/>
        <v/>
      </c>
      <c r="Y67" s="370" t="e">
        <f t="shared" si="7"/>
        <v>#VALUE!</v>
      </c>
      <c r="Z67" s="343" t="s">
        <v>85</v>
      </c>
      <c r="AA67" s="345">
        <v>0.01</v>
      </c>
      <c r="AB67" s="352">
        <f t="shared" si="8"/>
        <v>2.0800000000000003E-3</v>
      </c>
      <c r="AC67" s="353"/>
      <c r="AD67" s="354"/>
      <c r="AE67" s="378" t="str">
        <f t="shared" si="21"/>
        <v/>
      </c>
      <c r="AF67" s="329"/>
      <c r="AG67" s="358"/>
      <c r="AH67" s="356" t="str">
        <f t="shared" si="22"/>
        <v/>
      </c>
      <c r="AI67" s="329"/>
      <c r="AJ67" s="329"/>
      <c r="AK67" s="356">
        <f t="shared" si="11"/>
        <v>0</v>
      </c>
      <c r="AL67" s="357"/>
      <c r="AM67" s="358"/>
      <c r="AN67" s="356">
        <f t="shared" si="12"/>
        <v>0</v>
      </c>
      <c r="AO67" s="329"/>
      <c r="AP67" s="358"/>
      <c r="AQ67" s="359">
        <f t="shared" si="13"/>
        <v>0</v>
      </c>
      <c r="AR67" s="360"/>
      <c r="AS67" s="358"/>
      <c r="AT67" s="356">
        <f t="shared" si="14"/>
        <v>0</v>
      </c>
      <c r="AU67" s="329"/>
      <c r="AV67" s="358"/>
      <c r="AW67" s="359">
        <f t="shared" si="15"/>
        <v>0</v>
      </c>
      <c r="AX67" s="329"/>
      <c r="AY67" s="358"/>
      <c r="AZ67" s="359">
        <f t="shared" si="16"/>
        <v>0</v>
      </c>
      <c r="BA67" s="329">
        <f>IF('Degrémont Entrée'!K67="",,('Degrémont Entrée'!K67-I67)/'Degrémont Entrée'!K67*100)</f>
        <v>87.538051750380518</v>
      </c>
      <c r="BB67" s="329">
        <f>IF('Degrémont Entrée'!G67="",,('Degrémont Entrée'!G67-G67)/'Degrémont Entrée'!G67*100)</f>
        <v>99.337563451776646</v>
      </c>
      <c r="BC67" s="329">
        <f>IF('Degrémont Entrée'!S67="",,('Degrémont Entrée'!S67-M67)/'Degrémont Entrée'!S67*100)</f>
        <v>98.964285714285708</v>
      </c>
      <c r="BD67" s="361" t="str">
        <f ca="1">IFERROR(__xludf.DUMMYFUNCTION("""COMPUTED_VALUE"""),"#DIV/0!")</f>
        <v>#DIV/0!</v>
      </c>
      <c r="BE67" s="362"/>
      <c r="BF67" s="363"/>
      <c r="BG67" s="363"/>
      <c r="BH67" s="338">
        <f t="shared" si="17"/>
        <v>0</v>
      </c>
      <c r="BI67" s="364"/>
      <c r="BJ67" s="365"/>
      <c r="BK67" s="366">
        <f>'Degrémont Entrée'!BH67</f>
        <v>0</v>
      </c>
      <c r="BL67" s="367">
        <f>'Degrémont Entrée'!BI67</f>
        <v>0</v>
      </c>
    </row>
    <row r="68" spans="1:64" ht="14.25" outlineLevel="1">
      <c r="A68" s="337">
        <f t="shared" si="18"/>
        <v>43520</v>
      </c>
      <c r="B68" s="338">
        <f>'Degrémont Entrée'!B68</f>
        <v>374</v>
      </c>
      <c r="C68" s="339">
        <v>8.1</v>
      </c>
      <c r="D68" s="340">
        <v>89.5</v>
      </c>
      <c r="E68" s="341">
        <v>92.3</v>
      </c>
      <c r="F68" s="342">
        <v>200</v>
      </c>
      <c r="G68" s="329">
        <f t="shared" si="0"/>
        <v>13.999999999999986</v>
      </c>
      <c r="H68" s="338"/>
      <c r="I68" s="343">
        <v>589</v>
      </c>
      <c r="J68" s="344">
        <f t="shared" si="2"/>
        <v>220.286</v>
      </c>
      <c r="K68" s="343">
        <v>1</v>
      </c>
      <c r="L68" s="345">
        <v>1.54</v>
      </c>
      <c r="M68" s="346">
        <f t="shared" si="3"/>
        <v>1.54</v>
      </c>
      <c r="N68" s="338">
        <f t="shared" si="4"/>
        <v>0.57596000000000003</v>
      </c>
      <c r="O68" s="368"/>
      <c r="P68" s="347">
        <f t="shared" si="19"/>
        <v>0</v>
      </c>
      <c r="Q68" s="348"/>
      <c r="R68" s="369"/>
      <c r="S68" s="349">
        <f t="shared" si="20"/>
        <v>0</v>
      </c>
      <c r="T68" s="348"/>
      <c r="U68" s="369"/>
      <c r="V68" s="349">
        <f t="shared" si="5"/>
        <v>0</v>
      </c>
      <c r="W68" s="348"/>
      <c r="X68" s="318" t="str">
        <f t="shared" si="6"/>
        <v/>
      </c>
      <c r="Y68" s="370" t="e">
        <f t="shared" si="7"/>
        <v>#VALUE!</v>
      </c>
      <c r="Z68" s="343" t="s">
        <v>85</v>
      </c>
      <c r="AA68" s="345">
        <v>0.01</v>
      </c>
      <c r="AB68" s="352">
        <f t="shared" si="8"/>
        <v>1.8700000000000001E-3</v>
      </c>
      <c r="AC68" s="353"/>
      <c r="AD68" s="354"/>
      <c r="AE68" s="378" t="str">
        <f t="shared" si="21"/>
        <v/>
      </c>
      <c r="AF68" s="329"/>
      <c r="AG68" s="358"/>
      <c r="AH68" s="356" t="str">
        <f t="shared" si="22"/>
        <v/>
      </c>
      <c r="AI68" s="329"/>
      <c r="AJ68" s="329"/>
      <c r="AK68" s="356">
        <f t="shared" si="11"/>
        <v>0</v>
      </c>
      <c r="AL68" s="357"/>
      <c r="AM68" s="358"/>
      <c r="AN68" s="356">
        <f t="shared" si="12"/>
        <v>0</v>
      </c>
      <c r="AO68" s="329"/>
      <c r="AP68" s="358"/>
      <c r="AQ68" s="359">
        <f t="shared" si="13"/>
        <v>0</v>
      </c>
      <c r="AR68" s="360"/>
      <c r="AS68" s="358"/>
      <c r="AT68" s="356">
        <f t="shared" si="14"/>
        <v>0</v>
      </c>
      <c r="AU68" s="329"/>
      <c r="AV68" s="358"/>
      <c r="AW68" s="359">
        <f t="shared" si="15"/>
        <v>0</v>
      </c>
      <c r="AX68" s="329"/>
      <c r="AY68" s="358"/>
      <c r="AZ68" s="359">
        <f t="shared" si="16"/>
        <v>0</v>
      </c>
      <c r="BA68" s="329">
        <f>IF('Degrémont Entrée'!K68="",,('Degrémont Entrée'!K68-I68)/'Degrémont Entrée'!K68*100)</f>
        <v>85.384615384615387</v>
      </c>
      <c r="BB68" s="329">
        <f>IF('Degrémont Entrée'!G68="",,('Degrémont Entrée'!G68-G68)/'Degrémont Entrée'!G68*100)</f>
        <v>99.5</v>
      </c>
      <c r="BC68" s="329">
        <f>IF('Degrémont Entrée'!S68="",,('Degrémont Entrée'!S68-M68)/'Degrémont Entrée'!S68*100)</f>
        <v>98.781645569620252</v>
      </c>
      <c r="BD68" s="361" t="str">
        <f ca="1">IFERROR(__xludf.DUMMYFUNCTION("""COMPUTED_VALUE"""),"#DIV/0!")</f>
        <v>#DIV/0!</v>
      </c>
      <c r="BE68" s="362"/>
      <c r="BF68" s="363"/>
      <c r="BG68" s="363"/>
      <c r="BH68" s="338">
        <f t="shared" si="17"/>
        <v>0</v>
      </c>
      <c r="BI68" s="364"/>
      <c r="BJ68" s="365"/>
      <c r="BK68" s="371">
        <f>'Degrémont Entrée'!BH68</f>
        <v>0</v>
      </c>
      <c r="BL68" s="372">
        <f>'Degrémont Entrée'!BI68</f>
        <v>0</v>
      </c>
    </row>
    <row r="69" spans="1:64" ht="15.75" customHeight="1" outlineLevel="1">
      <c r="A69" s="337">
        <f t="shared" si="18"/>
        <v>43521</v>
      </c>
      <c r="B69" s="338">
        <f>'Degrémont Entrée'!B69</f>
        <v>814</v>
      </c>
      <c r="C69" s="339">
        <v>9.1</v>
      </c>
      <c r="D69" s="340">
        <v>89</v>
      </c>
      <c r="E69" s="341">
        <v>92.9</v>
      </c>
      <c r="F69" s="342">
        <v>100</v>
      </c>
      <c r="G69" s="329">
        <f t="shared" si="0"/>
        <v>39.000000000000057</v>
      </c>
      <c r="H69" s="338"/>
      <c r="I69" s="343">
        <v>367</v>
      </c>
      <c r="J69" s="344">
        <f t="shared" si="2"/>
        <v>298.738</v>
      </c>
      <c r="K69" s="343">
        <v>1</v>
      </c>
      <c r="L69" s="345">
        <v>1.92</v>
      </c>
      <c r="M69" s="346">
        <f t="shared" si="3"/>
        <v>1.92</v>
      </c>
      <c r="N69" s="338">
        <f t="shared" si="4"/>
        <v>1.5628799999999998</v>
      </c>
      <c r="O69" s="368"/>
      <c r="P69" s="347">
        <f t="shared" si="19"/>
        <v>0</v>
      </c>
      <c r="Q69" s="348"/>
      <c r="R69" s="369"/>
      <c r="S69" s="349">
        <f t="shared" si="20"/>
        <v>0</v>
      </c>
      <c r="T69" s="348"/>
      <c r="U69" s="369"/>
      <c r="V69" s="349">
        <f t="shared" si="5"/>
        <v>0</v>
      </c>
      <c r="W69" s="348"/>
      <c r="X69" s="318" t="str">
        <f t="shared" si="6"/>
        <v/>
      </c>
      <c r="Y69" s="370" t="e">
        <f t="shared" si="7"/>
        <v>#VALUE!</v>
      </c>
      <c r="Z69" s="343" t="s">
        <v>85</v>
      </c>
      <c r="AA69" s="345">
        <v>0.01</v>
      </c>
      <c r="AB69" s="352">
        <f t="shared" si="8"/>
        <v>4.0700000000000007E-3</v>
      </c>
      <c r="AC69" s="353"/>
      <c r="AD69" s="354"/>
      <c r="AE69" s="378" t="str">
        <f t="shared" si="21"/>
        <v/>
      </c>
      <c r="AF69" s="329"/>
      <c r="AG69" s="358"/>
      <c r="AH69" s="356" t="str">
        <f t="shared" si="22"/>
        <v/>
      </c>
      <c r="AI69" s="329"/>
      <c r="AJ69" s="329"/>
      <c r="AK69" s="356">
        <f t="shared" si="11"/>
        <v>0</v>
      </c>
      <c r="AL69" s="357"/>
      <c r="AM69" s="358"/>
      <c r="AN69" s="356">
        <f t="shared" si="12"/>
        <v>0</v>
      </c>
      <c r="AO69" s="329"/>
      <c r="AP69" s="358"/>
      <c r="AQ69" s="359">
        <f t="shared" si="13"/>
        <v>0</v>
      </c>
      <c r="AR69" s="360"/>
      <c r="AS69" s="358"/>
      <c r="AT69" s="356">
        <f t="shared" si="14"/>
        <v>0</v>
      </c>
      <c r="AU69" s="329"/>
      <c r="AV69" s="358"/>
      <c r="AW69" s="359">
        <f t="shared" si="15"/>
        <v>0</v>
      </c>
      <c r="AX69" s="329"/>
      <c r="AY69" s="358"/>
      <c r="AZ69" s="359">
        <f t="shared" si="16"/>
        <v>0</v>
      </c>
      <c r="BA69" s="329">
        <f>IF('Degrémont Entrée'!K69="",,('Degrémont Entrée'!K69-I69)/'Degrémont Entrée'!K69*100)</f>
        <v>50.804289544235928</v>
      </c>
      <c r="BB69" s="329">
        <f>IF('Degrémont Entrée'!G69="",,('Degrémont Entrée'!G69-G69)/'Degrémont Entrée'!G69*100)</f>
        <v>88.039999999999992</v>
      </c>
      <c r="BC69" s="329">
        <f>IF('Degrémont Entrée'!S69="",,('Degrémont Entrée'!S69-M69)/'Degrémont Entrée'!S69*100)</f>
        <v>83.304347826086953</v>
      </c>
      <c r="BD69" s="361" t="str">
        <f ca="1">IFERROR(__xludf.DUMMYFUNCTION("""COMPUTED_VALUE"""),"#DIV/0!")</f>
        <v>#DIV/0!</v>
      </c>
      <c r="BE69" s="362"/>
      <c r="BF69" s="363"/>
      <c r="BG69" s="363"/>
      <c r="BH69" s="338">
        <f t="shared" si="17"/>
        <v>0</v>
      </c>
      <c r="BI69" s="364" t="s">
        <v>189</v>
      </c>
      <c r="BJ69" s="365"/>
      <c r="BK69" s="366">
        <f>'Degrémont Entrée'!BH69</f>
        <v>0</v>
      </c>
      <c r="BL69" s="367" t="str">
        <f>'Degrémont Entrée'!BI69</f>
        <v>Transfert B04 vers B01 2H15</v>
      </c>
    </row>
    <row r="70" spans="1:64" ht="14.25" outlineLevel="1">
      <c r="A70" s="337">
        <f t="shared" si="18"/>
        <v>43522</v>
      </c>
      <c r="B70" s="338">
        <f>'Degrémont Entrée'!B70</f>
        <v>965</v>
      </c>
      <c r="C70" s="339">
        <v>8.6</v>
      </c>
      <c r="D70" s="340">
        <v>91.4</v>
      </c>
      <c r="E70" s="341">
        <v>95.1</v>
      </c>
      <c r="F70" s="342">
        <v>200</v>
      </c>
      <c r="G70" s="329">
        <f t="shared" si="0"/>
        <v>18.499999999999943</v>
      </c>
      <c r="H70" s="338"/>
      <c r="I70" s="343">
        <v>472</v>
      </c>
      <c r="J70" s="344">
        <f t="shared" si="2"/>
        <v>455.48</v>
      </c>
      <c r="K70" s="343">
        <v>1</v>
      </c>
      <c r="L70" s="345">
        <v>0.97</v>
      </c>
      <c r="M70" s="346">
        <f t="shared" si="3"/>
        <v>0.97</v>
      </c>
      <c r="N70" s="338">
        <f t="shared" si="4"/>
        <v>0.93604999999999994</v>
      </c>
      <c r="O70" s="341">
        <v>7.5</v>
      </c>
      <c r="P70" s="347">
        <f t="shared" si="19"/>
        <v>7.2374999999999998</v>
      </c>
      <c r="Q70" s="348"/>
      <c r="R70" s="369"/>
      <c r="S70" s="349">
        <f t="shared" si="20"/>
        <v>0</v>
      </c>
      <c r="T70" s="348"/>
      <c r="U70" s="369"/>
      <c r="V70" s="349">
        <f t="shared" si="5"/>
        <v>0</v>
      </c>
      <c r="W70" s="348"/>
      <c r="X70" s="318">
        <f t="shared" si="6"/>
        <v>7.5</v>
      </c>
      <c r="Y70" s="370">
        <f t="shared" si="7"/>
        <v>7.2374999999999998</v>
      </c>
      <c r="Z70" s="343" t="s">
        <v>85</v>
      </c>
      <c r="AA70" s="345">
        <v>0.01</v>
      </c>
      <c r="AB70" s="352">
        <f t="shared" si="8"/>
        <v>4.8250000000000003E-3</v>
      </c>
      <c r="AC70" s="353"/>
      <c r="AD70" s="354"/>
      <c r="AE70" s="378" t="str">
        <f t="shared" si="21"/>
        <v/>
      </c>
      <c r="AF70" s="329"/>
      <c r="AG70" s="355">
        <v>0.35</v>
      </c>
      <c r="AH70" s="356">
        <f t="shared" si="22"/>
        <v>1.9582499999999998</v>
      </c>
      <c r="AI70" s="329"/>
      <c r="AJ70" s="345">
        <v>0.39</v>
      </c>
      <c r="AK70" s="356">
        <f t="shared" si="11"/>
        <v>0.37635000000000002</v>
      </c>
      <c r="AL70" s="357"/>
      <c r="AM70" s="355">
        <v>0.14000000000000001</v>
      </c>
      <c r="AN70" s="356">
        <f t="shared" si="12"/>
        <v>0.13510000000000003</v>
      </c>
      <c r="AO70" s="329"/>
      <c r="AP70" s="355">
        <v>0.17</v>
      </c>
      <c r="AQ70" s="359">
        <f t="shared" si="13"/>
        <v>0.16405</v>
      </c>
      <c r="AR70" s="360"/>
      <c r="AS70" s="355">
        <v>0.37</v>
      </c>
      <c r="AT70" s="356">
        <f t="shared" si="14"/>
        <v>0.35705000000000003</v>
      </c>
      <c r="AU70" s="345" t="s">
        <v>85</v>
      </c>
      <c r="AV70" s="355">
        <v>0.15</v>
      </c>
      <c r="AW70" s="359">
        <f t="shared" si="15"/>
        <v>7.2374999999999995E-2</v>
      </c>
      <c r="AX70" s="345" t="s">
        <v>85</v>
      </c>
      <c r="AY70" s="355">
        <v>0.13</v>
      </c>
      <c r="AZ70" s="359">
        <f t="shared" si="16"/>
        <v>6.2725000000000003E-2</v>
      </c>
      <c r="BA70" s="329">
        <f>IF('Degrémont Entrée'!K70="",,('Degrémont Entrée'!K70-I70)/'Degrémont Entrée'!K70*100)</f>
        <v>71.921475312314101</v>
      </c>
      <c r="BB70" s="329">
        <f>IF('Degrémont Entrée'!G70="",,('Degrémont Entrée'!G70-G70)/'Degrémont Entrée'!G70*100)</f>
        <v>97.287390029325522</v>
      </c>
      <c r="BC70" s="329">
        <f>IF('Degrémont Entrée'!S70="",,('Degrémont Entrée'!S70-M70)/'Degrémont Entrée'!S70*100)</f>
        <v>97.918454935622321</v>
      </c>
      <c r="BD70" s="361" t="str">
        <f ca="1">IFERROR(__xludf.DUMMYFUNCTION("""COMPUTED_VALUE"""),"#DIV/0!")</f>
        <v>#DIV/0!</v>
      </c>
      <c r="BE70" s="386">
        <v>22.43</v>
      </c>
      <c r="BF70" s="387">
        <v>32.83</v>
      </c>
      <c r="BG70" s="387">
        <v>27.96</v>
      </c>
      <c r="BH70" s="338">
        <f t="shared" si="17"/>
        <v>53.173076923076941</v>
      </c>
      <c r="BI70" s="364"/>
      <c r="BJ70" s="365"/>
      <c r="BK70" s="371">
        <f>'Degrémont Entrée'!BH70</f>
        <v>0</v>
      </c>
      <c r="BL70" s="372" t="str">
        <f>'Degrémont Entrée'!BI70</f>
        <v>Transfert B04 vers B01 2H15</v>
      </c>
    </row>
    <row r="71" spans="1:64" ht="15.75" customHeight="1" outlineLevel="1">
      <c r="A71" s="337">
        <f t="shared" si="18"/>
        <v>43523</v>
      </c>
      <c r="B71" s="338">
        <f>'Degrémont Entrée'!B71</f>
        <v>994</v>
      </c>
      <c r="C71" s="339">
        <v>9</v>
      </c>
      <c r="D71" s="340">
        <v>89.9</v>
      </c>
      <c r="E71" s="341">
        <v>90.8</v>
      </c>
      <c r="F71" s="342">
        <v>100</v>
      </c>
      <c r="G71" s="329">
        <f t="shared" si="0"/>
        <v>8.9999999999999147</v>
      </c>
      <c r="H71" s="338"/>
      <c r="I71" s="343">
        <v>618</v>
      </c>
      <c r="J71" s="344">
        <f t="shared" si="2"/>
        <v>614.29200000000003</v>
      </c>
      <c r="K71" s="343">
        <v>1</v>
      </c>
      <c r="L71" s="345">
        <v>0.76</v>
      </c>
      <c r="M71" s="346">
        <f t="shared" si="3"/>
        <v>0.76</v>
      </c>
      <c r="N71" s="338">
        <f t="shared" si="4"/>
        <v>0.75544</v>
      </c>
      <c r="O71" s="368"/>
      <c r="P71" s="347">
        <f t="shared" si="19"/>
        <v>0</v>
      </c>
      <c r="Q71" s="348"/>
      <c r="R71" s="369"/>
      <c r="S71" s="349">
        <f t="shared" si="20"/>
        <v>0</v>
      </c>
      <c r="T71" s="348"/>
      <c r="U71" s="369"/>
      <c r="V71" s="349">
        <f t="shared" si="5"/>
        <v>0</v>
      </c>
      <c r="W71" s="348"/>
      <c r="X71" s="318" t="str">
        <f t="shared" si="6"/>
        <v/>
      </c>
      <c r="Y71" s="370" t="e">
        <f t="shared" si="7"/>
        <v>#VALUE!</v>
      </c>
      <c r="Z71" s="343" t="s">
        <v>85</v>
      </c>
      <c r="AA71" s="345">
        <v>0.01</v>
      </c>
      <c r="AB71" s="352">
        <f t="shared" si="8"/>
        <v>4.9699999999999996E-3</v>
      </c>
      <c r="AC71" s="353"/>
      <c r="AD71" s="354"/>
      <c r="AE71" s="378" t="str">
        <f t="shared" si="21"/>
        <v/>
      </c>
      <c r="AF71" s="329"/>
      <c r="AG71" s="358"/>
      <c r="AH71" s="356" t="str">
        <f t="shared" si="22"/>
        <v/>
      </c>
      <c r="AI71" s="329"/>
      <c r="AJ71" s="329"/>
      <c r="AK71" s="356">
        <f t="shared" si="11"/>
        <v>0</v>
      </c>
      <c r="AL71" s="357"/>
      <c r="AM71" s="358"/>
      <c r="AN71" s="356">
        <f t="shared" si="12"/>
        <v>0</v>
      </c>
      <c r="AO71" s="329"/>
      <c r="AP71" s="358"/>
      <c r="AQ71" s="359">
        <f t="shared" si="13"/>
        <v>0</v>
      </c>
      <c r="AR71" s="360"/>
      <c r="AS71" s="358"/>
      <c r="AT71" s="356">
        <f t="shared" si="14"/>
        <v>0</v>
      </c>
      <c r="AU71" s="329"/>
      <c r="AV71" s="358"/>
      <c r="AW71" s="359">
        <f t="shared" si="15"/>
        <v>0</v>
      </c>
      <c r="AX71" s="329"/>
      <c r="AY71" s="358"/>
      <c r="AZ71" s="359">
        <f t="shared" si="16"/>
        <v>0</v>
      </c>
      <c r="BA71" s="329">
        <f>IF('Degrémont Entrée'!K71="",,('Degrémont Entrée'!K71-I71)/'Degrémont Entrée'!K71*100)</f>
        <v>63.345195729537366</v>
      </c>
      <c r="BB71" s="329">
        <f>IF('Degrémont Entrée'!G71="",,('Degrémont Entrée'!G71-G71)/'Degrémont Entrée'!G71*100)</f>
        <v>99.031976744186053</v>
      </c>
      <c r="BC71" s="329">
        <f>IF('Degrémont Entrée'!S71="",,('Degrémont Entrée'!S71-M71)/'Degrémont Entrée'!S71*100)</f>
        <v>98.248847926267288</v>
      </c>
      <c r="BD71" s="361" t="str">
        <f ca="1">IFERROR(__xludf.DUMMYFUNCTION("""COMPUTED_VALUE"""),"#DIV/0!")</f>
        <v>#DIV/0!</v>
      </c>
      <c r="BE71" s="362"/>
      <c r="BF71" s="363"/>
      <c r="BG71" s="363"/>
      <c r="BH71" s="338">
        <f t="shared" si="17"/>
        <v>0</v>
      </c>
      <c r="BI71" s="364"/>
      <c r="BJ71" s="365"/>
      <c r="BK71" s="366">
        <f>'Degrémont Entrée'!BH71</f>
        <v>0</v>
      </c>
      <c r="BL71" s="367">
        <f>'Degrémont Entrée'!BI71</f>
        <v>0</v>
      </c>
    </row>
    <row r="72" spans="1:64" ht="14.25" outlineLevel="1">
      <c r="A72" s="337">
        <f t="shared" si="18"/>
        <v>43524</v>
      </c>
      <c r="B72" s="338">
        <f>'Degrémont Entrée'!B72</f>
        <v>1151</v>
      </c>
      <c r="C72" s="339">
        <v>8.9</v>
      </c>
      <c r="D72" s="340">
        <v>88.5</v>
      </c>
      <c r="E72" s="341">
        <v>91.6</v>
      </c>
      <c r="F72" s="342">
        <v>200</v>
      </c>
      <c r="G72" s="329">
        <f t="shared" si="0"/>
        <v>15.499999999999973</v>
      </c>
      <c r="H72" s="338"/>
      <c r="I72" s="343">
        <v>404</v>
      </c>
      <c r="J72" s="344">
        <f t="shared" si="2"/>
        <v>465.00400000000002</v>
      </c>
      <c r="K72" s="343">
        <v>1</v>
      </c>
      <c r="L72" s="345">
        <v>1.07</v>
      </c>
      <c r="M72" s="346">
        <f t="shared" si="3"/>
        <v>1.07</v>
      </c>
      <c r="N72" s="338">
        <f t="shared" si="4"/>
        <v>1.2315700000000001</v>
      </c>
      <c r="O72" s="368"/>
      <c r="P72" s="347">
        <f t="shared" si="19"/>
        <v>0</v>
      </c>
      <c r="Q72" s="348"/>
      <c r="R72" s="369"/>
      <c r="S72" s="349">
        <f t="shared" si="20"/>
        <v>0</v>
      </c>
      <c r="T72" s="348"/>
      <c r="U72" s="369"/>
      <c r="V72" s="349">
        <f t="shared" si="5"/>
        <v>0</v>
      </c>
      <c r="W72" s="348"/>
      <c r="X72" s="318" t="str">
        <f t="shared" si="6"/>
        <v/>
      </c>
      <c r="Y72" s="370" t="e">
        <f t="shared" si="7"/>
        <v>#VALUE!</v>
      </c>
      <c r="Z72" s="343" t="s">
        <v>85</v>
      </c>
      <c r="AA72" s="345">
        <v>0.01</v>
      </c>
      <c r="AB72" s="352">
        <f t="shared" si="8"/>
        <v>5.7549999999999997E-3</v>
      </c>
      <c r="AC72" s="353"/>
      <c r="AD72" s="354"/>
      <c r="AE72" s="378" t="str">
        <f t="shared" si="21"/>
        <v/>
      </c>
      <c r="AF72" s="329"/>
      <c r="AG72" s="358"/>
      <c r="AH72" s="356" t="str">
        <f t="shared" si="22"/>
        <v/>
      </c>
      <c r="AI72" s="329"/>
      <c r="AJ72" s="329"/>
      <c r="AK72" s="356">
        <f t="shared" si="11"/>
        <v>0</v>
      </c>
      <c r="AL72" s="357"/>
      <c r="AM72" s="358"/>
      <c r="AN72" s="356">
        <f t="shared" si="12"/>
        <v>0</v>
      </c>
      <c r="AO72" s="329"/>
      <c r="AP72" s="358"/>
      <c r="AQ72" s="359">
        <f t="shared" si="13"/>
        <v>0</v>
      </c>
      <c r="AR72" s="360"/>
      <c r="AS72" s="358"/>
      <c r="AT72" s="356">
        <f t="shared" si="14"/>
        <v>0</v>
      </c>
      <c r="AU72" s="329"/>
      <c r="AV72" s="358"/>
      <c r="AW72" s="359">
        <f t="shared" si="15"/>
        <v>0</v>
      </c>
      <c r="AX72" s="329"/>
      <c r="AY72" s="358"/>
      <c r="AZ72" s="359">
        <f t="shared" si="16"/>
        <v>0</v>
      </c>
      <c r="BA72" s="329">
        <f>IF('Degrémont Entrée'!K72="",,('Degrémont Entrée'!K72-I72)/'Degrémont Entrée'!K72*100)</f>
        <v>70.096225018504811</v>
      </c>
      <c r="BB72" s="329">
        <f>IF('Degrémont Entrée'!G72="",,('Degrémont Entrée'!G72-G72)/'Degrémont Entrée'!G72*100)</f>
        <v>97.978260869565219</v>
      </c>
      <c r="BC72" s="329">
        <f>IF('Degrémont Entrée'!S72="",,('Degrémont Entrée'!S72-M72)/'Degrémont Entrée'!S72*100)</f>
        <v>96.258741258741253</v>
      </c>
      <c r="BD72" s="361" t="str">
        <f ca="1">IFERROR(__xludf.DUMMYFUNCTION("""COMPUTED_VALUE"""),"#DIV/0!")</f>
        <v>#DIV/0!</v>
      </c>
      <c r="BE72" s="362"/>
      <c r="BF72" s="363"/>
      <c r="BG72" s="363"/>
      <c r="BH72" s="338">
        <f t="shared" si="17"/>
        <v>0</v>
      </c>
      <c r="BI72" s="364"/>
      <c r="BJ72" s="365"/>
      <c r="BK72" s="371">
        <f>'Degrémont Entrée'!BH72</f>
        <v>0</v>
      </c>
      <c r="BL72" s="372">
        <f>'Degrémont Entrée'!BI72</f>
        <v>0</v>
      </c>
    </row>
    <row r="73" spans="1:64" ht="15.75" customHeight="1" outlineLevel="1">
      <c r="A73" s="337">
        <f t="shared" si="18"/>
        <v>43525</v>
      </c>
      <c r="B73" s="338">
        <f>'Degrémont Entrée'!B73</f>
        <v>902</v>
      </c>
      <c r="C73" s="339">
        <v>8.6</v>
      </c>
      <c r="D73" s="340">
        <v>88.8</v>
      </c>
      <c r="E73" s="341">
        <v>90.3</v>
      </c>
      <c r="F73" s="342">
        <v>100</v>
      </c>
      <c r="G73" s="329">
        <f t="shared" si="0"/>
        <v>15</v>
      </c>
      <c r="H73" s="338"/>
      <c r="I73" s="343">
        <v>453</v>
      </c>
      <c r="J73" s="344">
        <f t="shared" si="2"/>
        <v>408.60599999999999</v>
      </c>
      <c r="K73" s="343">
        <v>1</v>
      </c>
      <c r="L73" s="345">
        <v>1.24</v>
      </c>
      <c r="M73" s="346">
        <f t="shared" si="3"/>
        <v>1.24</v>
      </c>
      <c r="N73" s="338">
        <f t="shared" si="4"/>
        <v>1.1184799999999999</v>
      </c>
      <c r="O73" s="368"/>
      <c r="P73" s="347">
        <f t="shared" si="19"/>
        <v>0</v>
      </c>
      <c r="Q73" s="348"/>
      <c r="R73" s="369"/>
      <c r="S73" s="349">
        <f t="shared" si="20"/>
        <v>0</v>
      </c>
      <c r="T73" s="348"/>
      <c r="U73" s="369"/>
      <c r="V73" s="349">
        <f t="shared" si="5"/>
        <v>0</v>
      </c>
      <c r="W73" s="348"/>
      <c r="X73" s="318" t="str">
        <f t="shared" si="6"/>
        <v/>
      </c>
      <c r="Y73" s="370" t="e">
        <f t="shared" si="7"/>
        <v>#VALUE!</v>
      </c>
      <c r="Z73" s="343" t="s">
        <v>85</v>
      </c>
      <c r="AA73" s="345">
        <v>0.01</v>
      </c>
      <c r="AB73" s="352">
        <f t="shared" si="8"/>
        <v>4.5100000000000001E-3</v>
      </c>
      <c r="AC73" s="353"/>
      <c r="AD73" s="354"/>
      <c r="AE73" s="378" t="str">
        <f t="shared" si="21"/>
        <v/>
      </c>
      <c r="AF73" s="329"/>
      <c r="AG73" s="358"/>
      <c r="AH73" s="356" t="str">
        <f t="shared" si="22"/>
        <v/>
      </c>
      <c r="AI73" s="329"/>
      <c r="AJ73" s="329"/>
      <c r="AK73" s="356">
        <f t="shared" si="11"/>
        <v>0</v>
      </c>
      <c r="AL73" s="357"/>
      <c r="AM73" s="358"/>
      <c r="AN73" s="356">
        <f t="shared" si="12"/>
        <v>0</v>
      </c>
      <c r="AO73" s="329"/>
      <c r="AP73" s="358"/>
      <c r="AQ73" s="359">
        <f t="shared" si="13"/>
        <v>0</v>
      </c>
      <c r="AR73" s="360"/>
      <c r="AS73" s="358"/>
      <c r="AT73" s="356">
        <f t="shared" si="14"/>
        <v>0</v>
      </c>
      <c r="AU73" s="329"/>
      <c r="AV73" s="358"/>
      <c r="AW73" s="359">
        <f t="shared" si="15"/>
        <v>0</v>
      </c>
      <c r="AX73" s="329"/>
      <c r="AY73" s="358"/>
      <c r="AZ73" s="359">
        <f t="shared" si="16"/>
        <v>0</v>
      </c>
      <c r="BA73" s="329">
        <f>IF('Degrémont Entrée'!K73="",,('Degrémont Entrée'!K73-I73)/'Degrémont Entrée'!K73*100)</f>
        <v>82.116067903671535</v>
      </c>
      <c r="BB73" s="329">
        <f>IF('Degrémont Entrée'!G73="",,('Degrémont Entrée'!G73-G73)/'Degrémont Entrée'!G73*100)</f>
        <v>99.049504950495049</v>
      </c>
      <c r="BC73" s="329">
        <f>IF('Degrémont Entrée'!S73="",,('Degrémont Entrée'!S73-M73)/'Degrémont Entrée'!S73*100)</f>
        <v>98.223495702005735</v>
      </c>
      <c r="BD73" s="361" t="str">
        <f ca="1">IFERROR(__xludf.DUMMYFUNCTION("""COMPUTED_VALUE"""),"#DIV/0!")</f>
        <v>#DIV/0!</v>
      </c>
      <c r="BE73" s="362"/>
      <c r="BF73" s="363"/>
      <c r="BG73" s="363"/>
      <c r="BH73" s="338">
        <f t="shared" si="17"/>
        <v>0</v>
      </c>
      <c r="BI73" s="364"/>
      <c r="BJ73" s="365"/>
      <c r="BK73" s="366">
        <f>'Degrémont Entrée'!BH73</f>
        <v>0</v>
      </c>
      <c r="BL73" s="367">
        <f>'Degrémont Entrée'!BI73</f>
        <v>0</v>
      </c>
    </row>
    <row r="74" spans="1:64" ht="14.25" outlineLevel="1">
      <c r="A74" s="337">
        <f t="shared" si="18"/>
        <v>43526</v>
      </c>
      <c r="B74" s="338">
        <f>'Degrémont Entrée'!B74</f>
        <v>0</v>
      </c>
      <c r="C74" s="339">
        <v>8.6999999999999993</v>
      </c>
      <c r="D74" s="340">
        <v>89.2</v>
      </c>
      <c r="E74" s="341">
        <v>90.3</v>
      </c>
      <c r="F74" s="342">
        <v>100</v>
      </c>
      <c r="G74" s="329">
        <f t="shared" si="0"/>
        <v>10.999999999999943</v>
      </c>
      <c r="H74" s="338"/>
      <c r="I74" s="343">
        <v>437</v>
      </c>
      <c r="J74" s="344">
        <f t="shared" si="2"/>
        <v>0</v>
      </c>
      <c r="K74" s="343">
        <v>1</v>
      </c>
      <c r="L74" s="345">
        <v>1.27</v>
      </c>
      <c r="M74" s="346">
        <f t="shared" si="3"/>
        <v>1.27</v>
      </c>
      <c r="N74" s="338">
        <f t="shared" si="4"/>
        <v>0</v>
      </c>
      <c r="O74" s="368"/>
      <c r="P74" s="347">
        <f t="shared" si="19"/>
        <v>0</v>
      </c>
      <c r="Q74" s="348"/>
      <c r="R74" s="369"/>
      <c r="S74" s="349">
        <f t="shared" si="20"/>
        <v>0</v>
      </c>
      <c r="T74" s="348"/>
      <c r="U74" s="369"/>
      <c r="V74" s="349">
        <f t="shared" si="5"/>
        <v>0</v>
      </c>
      <c r="W74" s="348"/>
      <c r="X74" s="318" t="str">
        <f t="shared" si="6"/>
        <v/>
      </c>
      <c r="Y74" s="370" t="e">
        <f t="shared" si="7"/>
        <v>#VALUE!</v>
      </c>
      <c r="Z74" s="343" t="s">
        <v>85</v>
      </c>
      <c r="AA74" s="345">
        <v>0.01</v>
      </c>
      <c r="AB74" s="352">
        <f t="shared" si="8"/>
        <v>0</v>
      </c>
      <c r="AC74" s="353"/>
      <c r="AD74" s="354"/>
      <c r="AE74" s="378" t="str">
        <f t="shared" si="21"/>
        <v/>
      </c>
      <c r="AF74" s="329"/>
      <c r="AG74" s="358"/>
      <c r="AH74" s="356" t="str">
        <f t="shared" si="22"/>
        <v/>
      </c>
      <c r="AI74" s="329"/>
      <c r="AJ74" s="329"/>
      <c r="AK74" s="356">
        <f t="shared" si="11"/>
        <v>0</v>
      </c>
      <c r="AL74" s="357"/>
      <c r="AM74" s="358"/>
      <c r="AN74" s="356">
        <f t="shared" si="12"/>
        <v>0</v>
      </c>
      <c r="AO74" s="329"/>
      <c r="AP74" s="358"/>
      <c r="AQ74" s="359">
        <f t="shared" si="13"/>
        <v>0</v>
      </c>
      <c r="AR74" s="360"/>
      <c r="AS74" s="358"/>
      <c r="AT74" s="356">
        <f t="shared" si="14"/>
        <v>0</v>
      </c>
      <c r="AU74" s="329"/>
      <c r="AV74" s="358"/>
      <c r="AW74" s="359">
        <f t="shared" si="15"/>
        <v>0</v>
      </c>
      <c r="AX74" s="329"/>
      <c r="AY74" s="358"/>
      <c r="AZ74" s="359">
        <f t="shared" si="16"/>
        <v>0</v>
      </c>
      <c r="BA74" s="329" t="e">
        <f>IF('Degrémont Entrée'!K74="",,('Degrémont Entrée'!K74-I74)/'Degrémont Entrée'!K74*100)</f>
        <v>#DIV/0!</v>
      </c>
      <c r="BB74" s="329" t="e">
        <f>IF('Degrémont Entrée'!G74="",,('Degrémont Entrée'!G74-G74)/'Degrémont Entrée'!G74*100)</f>
        <v>#DIV/0!</v>
      </c>
      <c r="BC74" s="329">
        <f>IF('Degrémont Entrée'!S74="",,('Degrémont Entrée'!S74-M74)/'Degrémont Entrée'!S74*100)</f>
        <v>0</v>
      </c>
      <c r="BD74" s="361" t="str">
        <f ca="1">IFERROR(__xludf.DUMMYFUNCTION("""COMPUTED_VALUE"""),"#DIV/0!")</f>
        <v>#DIV/0!</v>
      </c>
      <c r="BE74" s="362"/>
      <c r="BF74" s="363"/>
      <c r="BG74" s="363"/>
      <c r="BH74" s="338">
        <f t="shared" si="17"/>
        <v>0</v>
      </c>
      <c r="BI74" s="364"/>
      <c r="BJ74" s="365"/>
      <c r="BK74" s="371">
        <f>'Degrémont Entrée'!BH74</f>
        <v>0</v>
      </c>
      <c r="BL74" s="372" t="str">
        <f>'Degrémont Entrée'!BI74</f>
        <v>Pas de prélèvement entrée DEG</v>
      </c>
    </row>
    <row r="75" spans="1:64" ht="15.75" customHeight="1" outlineLevel="1">
      <c r="A75" s="337">
        <f t="shared" si="18"/>
        <v>43527</v>
      </c>
      <c r="B75" s="338">
        <f>'Degrémont Entrée'!B75</f>
        <v>0</v>
      </c>
      <c r="C75" s="338"/>
      <c r="D75" s="388"/>
      <c r="E75" s="368"/>
      <c r="F75" s="357"/>
      <c r="G75" s="329">
        <f t="shared" si="0"/>
        <v>0</v>
      </c>
      <c r="H75" s="338"/>
      <c r="I75" s="346"/>
      <c r="J75" s="344">
        <f t="shared" si="2"/>
        <v>0</v>
      </c>
      <c r="K75" s="343">
        <v>1</v>
      </c>
      <c r="L75" s="329"/>
      <c r="M75" s="346" t="str">
        <f t="shared" si="3"/>
        <v/>
      </c>
      <c r="N75" s="338" t="e">
        <f t="shared" si="4"/>
        <v>#VALUE!</v>
      </c>
      <c r="O75" s="368"/>
      <c r="P75" s="347">
        <f t="shared" si="19"/>
        <v>0</v>
      </c>
      <c r="Q75" s="348"/>
      <c r="R75" s="369"/>
      <c r="S75" s="349">
        <f t="shared" si="20"/>
        <v>0</v>
      </c>
      <c r="T75" s="348"/>
      <c r="U75" s="369"/>
      <c r="V75" s="349">
        <f t="shared" si="5"/>
        <v>0</v>
      </c>
      <c r="W75" s="348"/>
      <c r="X75" s="318" t="str">
        <f t="shared" si="6"/>
        <v/>
      </c>
      <c r="Y75" s="370" t="e">
        <f t="shared" si="7"/>
        <v>#VALUE!</v>
      </c>
      <c r="Z75" s="346"/>
      <c r="AA75" s="329"/>
      <c r="AB75" s="352">
        <f t="shared" si="8"/>
        <v>0</v>
      </c>
      <c r="AC75" s="353"/>
      <c r="AD75" s="354"/>
      <c r="AE75" s="378" t="str">
        <f t="shared" si="21"/>
        <v/>
      </c>
      <c r="AF75" s="329"/>
      <c r="AG75" s="358"/>
      <c r="AH75" s="356" t="str">
        <f t="shared" si="22"/>
        <v/>
      </c>
      <c r="AI75" s="329"/>
      <c r="AJ75" s="329"/>
      <c r="AK75" s="356">
        <f t="shared" si="11"/>
        <v>0</v>
      </c>
      <c r="AL75" s="357"/>
      <c r="AM75" s="358"/>
      <c r="AN75" s="356">
        <f t="shared" si="12"/>
        <v>0</v>
      </c>
      <c r="AO75" s="329"/>
      <c r="AP75" s="358"/>
      <c r="AQ75" s="359">
        <f t="shared" si="13"/>
        <v>0</v>
      </c>
      <c r="AR75" s="360"/>
      <c r="AS75" s="358"/>
      <c r="AT75" s="356">
        <f t="shared" si="14"/>
        <v>0</v>
      </c>
      <c r="AU75" s="329"/>
      <c r="AV75" s="358"/>
      <c r="AW75" s="359">
        <f t="shared" si="15"/>
        <v>0</v>
      </c>
      <c r="AX75" s="329"/>
      <c r="AY75" s="358"/>
      <c r="AZ75" s="359">
        <f t="shared" si="16"/>
        <v>0</v>
      </c>
      <c r="BA75" s="329" t="e">
        <f>IF('Degrémont Entrée'!K75="",,('Degrémont Entrée'!K75-I75)/'Degrémont Entrée'!K75*100)</f>
        <v>#DIV/0!</v>
      </c>
      <c r="BB75" s="329" t="e">
        <f>IF('Degrémont Entrée'!G75="",,('Degrémont Entrée'!G75-G75)/'Degrémont Entrée'!G75*100)</f>
        <v>#DIV/0!</v>
      </c>
      <c r="BC75" s="329">
        <f>IF('Degrémont Entrée'!S75="",,('Degrémont Entrée'!S75-M75)/'Degrémont Entrée'!S75*100)</f>
        <v>0</v>
      </c>
      <c r="BD75" s="361" t="str">
        <f ca="1">IFERROR(__xludf.DUMMYFUNCTION("""COMPUTED_VALUE"""),"#DIV/0!")</f>
        <v>#DIV/0!</v>
      </c>
      <c r="BE75" s="362"/>
      <c r="BF75" s="363"/>
      <c r="BG75" s="363"/>
      <c r="BH75" s="338">
        <f t="shared" si="17"/>
        <v>0</v>
      </c>
      <c r="BI75" s="364"/>
      <c r="BJ75" s="365"/>
      <c r="BK75" s="366">
        <f>'Degrémont Entrée'!BH75</f>
        <v>0</v>
      </c>
      <c r="BL75" s="367">
        <f>'Degrémont Entrée'!BI75</f>
        <v>0</v>
      </c>
    </row>
    <row r="76" spans="1:64" ht="14.25" outlineLevel="1">
      <c r="A76" s="337">
        <f t="shared" si="18"/>
        <v>43528</v>
      </c>
      <c r="B76" s="338">
        <f>'Degrémont Entrée'!B76</f>
        <v>722</v>
      </c>
      <c r="C76" s="339">
        <v>8.8000000000000007</v>
      </c>
      <c r="D76" s="340">
        <v>88.2</v>
      </c>
      <c r="E76" s="341">
        <v>89.8</v>
      </c>
      <c r="F76" s="342">
        <v>100</v>
      </c>
      <c r="G76" s="329">
        <f t="shared" si="0"/>
        <v>15.999999999999943</v>
      </c>
      <c r="H76" s="338"/>
      <c r="I76" s="343">
        <v>469</v>
      </c>
      <c r="J76" s="344">
        <f t="shared" si="2"/>
        <v>338.61799999999999</v>
      </c>
      <c r="K76" s="343">
        <v>1</v>
      </c>
      <c r="L76" s="345">
        <v>1.02</v>
      </c>
      <c r="M76" s="346">
        <f t="shared" si="3"/>
        <v>1.02</v>
      </c>
      <c r="N76" s="338">
        <f t="shared" si="4"/>
        <v>0.73644000000000009</v>
      </c>
      <c r="O76" s="368"/>
      <c r="P76" s="347">
        <f t="shared" si="19"/>
        <v>0</v>
      </c>
      <c r="Q76" s="348"/>
      <c r="R76" s="369"/>
      <c r="S76" s="349">
        <f t="shared" si="20"/>
        <v>0</v>
      </c>
      <c r="T76" s="348"/>
      <c r="U76" s="369"/>
      <c r="V76" s="349">
        <f t="shared" si="5"/>
        <v>0</v>
      </c>
      <c r="W76" s="348"/>
      <c r="X76" s="318" t="str">
        <f t="shared" si="6"/>
        <v/>
      </c>
      <c r="Y76" s="370" t="e">
        <f t="shared" si="7"/>
        <v>#VALUE!</v>
      </c>
      <c r="Z76" s="343" t="s">
        <v>85</v>
      </c>
      <c r="AA76" s="345">
        <v>0.01</v>
      </c>
      <c r="AB76" s="352">
        <f t="shared" si="8"/>
        <v>3.6099999999999999E-3</v>
      </c>
      <c r="AC76" s="353"/>
      <c r="AD76" s="354"/>
      <c r="AE76" s="378" t="str">
        <f t="shared" si="21"/>
        <v/>
      </c>
      <c r="AF76" s="329"/>
      <c r="AG76" s="358"/>
      <c r="AH76" s="356" t="str">
        <f t="shared" si="22"/>
        <v/>
      </c>
      <c r="AI76" s="329"/>
      <c r="AJ76" s="329"/>
      <c r="AK76" s="356">
        <f t="shared" si="11"/>
        <v>0</v>
      </c>
      <c r="AL76" s="357"/>
      <c r="AM76" s="358"/>
      <c r="AN76" s="356">
        <f t="shared" si="12"/>
        <v>0</v>
      </c>
      <c r="AO76" s="329"/>
      <c r="AP76" s="358"/>
      <c r="AQ76" s="359">
        <f t="shared" si="13"/>
        <v>0</v>
      </c>
      <c r="AR76" s="360"/>
      <c r="AS76" s="358"/>
      <c r="AT76" s="356">
        <f t="shared" si="14"/>
        <v>0</v>
      </c>
      <c r="AU76" s="329"/>
      <c r="AV76" s="358"/>
      <c r="AW76" s="359">
        <f t="shared" si="15"/>
        <v>0</v>
      </c>
      <c r="AX76" s="329"/>
      <c r="AY76" s="358"/>
      <c r="AZ76" s="359">
        <f t="shared" si="16"/>
        <v>0</v>
      </c>
      <c r="BA76" s="329">
        <f>IF('Degrémont Entrée'!K76="",,('Degrémont Entrée'!K76-I76)/'Degrémont Entrée'!K76*100)</f>
        <v>64.550264550264544</v>
      </c>
      <c r="BB76" s="329">
        <f>IF('Degrémont Entrée'!G76="",,('Degrémont Entrée'!G76-G76)/'Degrémont Entrée'!G76*100)</f>
        <v>97.728096676737181</v>
      </c>
      <c r="BC76" s="329">
        <f>IF('Degrémont Entrée'!S76="",,('Degrémont Entrée'!S76-M76)/'Degrémont Entrée'!S76*100)</f>
        <v>97.308707124010539</v>
      </c>
      <c r="BD76" s="361" t="str">
        <f ca="1">IFERROR(__xludf.DUMMYFUNCTION("""COMPUTED_VALUE"""),"#DIV/0!")</f>
        <v>#DIV/0!</v>
      </c>
      <c r="BE76" s="362"/>
      <c r="BF76" s="363"/>
      <c r="BG76" s="363"/>
      <c r="BH76" s="338">
        <f t="shared" si="17"/>
        <v>0</v>
      </c>
      <c r="BI76" s="364"/>
      <c r="BJ76" s="365"/>
      <c r="BK76" s="371">
        <f>'Degrémont Entrée'!BH76</f>
        <v>0</v>
      </c>
      <c r="BL76" s="372">
        <f>'Degrémont Entrée'!BI76</f>
        <v>0</v>
      </c>
    </row>
    <row r="77" spans="1:64" ht="15.75" customHeight="1" outlineLevel="1">
      <c r="A77" s="337">
        <f t="shared" si="18"/>
        <v>43529</v>
      </c>
      <c r="B77" s="338">
        <f>'Degrémont Entrée'!B77</f>
        <v>1142</v>
      </c>
      <c r="C77" s="339">
        <v>9</v>
      </c>
      <c r="D77" s="340">
        <v>90.3</v>
      </c>
      <c r="E77" s="341">
        <v>92</v>
      </c>
      <c r="F77" s="342">
        <v>200</v>
      </c>
      <c r="G77" s="329">
        <f t="shared" si="0"/>
        <v>8.5000000000000142</v>
      </c>
      <c r="H77" s="338"/>
      <c r="I77" s="343">
        <v>358</v>
      </c>
      <c r="J77" s="344">
        <f t="shared" si="2"/>
        <v>408.83600000000001</v>
      </c>
      <c r="K77" s="343">
        <v>1</v>
      </c>
      <c r="L77" s="345">
        <v>0.82</v>
      </c>
      <c r="M77" s="346">
        <f t="shared" si="3"/>
        <v>0.82</v>
      </c>
      <c r="N77" s="338">
        <f t="shared" si="4"/>
        <v>0.93643999999999994</v>
      </c>
      <c r="O77" s="341">
        <v>8.1999999999999993</v>
      </c>
      <c r="P77" s="347">
        <f t="shared" si="19"/>
        <v>9.3643999999999998</v>
      </c>
      <c r="Q77" s="348"/>
      <c r="R77" s="369"/>
      <c r="S77" s="349">
        <f t="shared" si="20"/>
        <v>0</v>
      </c>
      <c r="T77" s="348"/>
      <c r="U77" s="369"/>
      <c r="V77" s="349">
        <f t="shared" si="5"/>
        <v>0</v>
      </c>
      <c r="W77" s="348"/>
      <c r="X77" s="318">
        <f t="shared" si="6"/>
        <v>8.1999999999999993</v>
      </c>
      <c r="Y77" s="370">
        <f t="shared" si="7"/>
        <v>9.3643999999999998</v>
      </c>
      <c r="Z77" s="343" t="s">
        <v>85</v>
      </c>
      <c r="AA77" s="345">
        <v>0.01</v>
      </c>
      <c r="AB77" s="352">
        <f t="shared" si="8"/>
        <v>5.7099999999999998E-3</v>
      </c>
      <c r="AC77" s="353"/>
      <c r="AD77" s="354"/>
      <c r="AE77" s="378" t="str">
        <f t="shared" si="21"/>
        <v/>
      </c>
      <c r="AF77" s="329"/>
      <c r="AG77" s="355">
        <v>0.3</v>
      </c>
      <c r="AH77" s="356">
        <f t="shared" si="22"/>
        <v>1.4732999999999998</v>
      </c>
      <c r="AI77" s="329"/>
      <c r="AJ77" s="345">
        <v>0.69</v>
      </c>
      <c r="AK77" s="356">
        <f t="shared" si="11"/>
        <v>0.7879799999999999</v>
      </c>
      <c r="AL77" s="357"/>
      <c r="AM77" s="355">
        <v>0.09</v>
      </c>
      <c r="AN77" s="356">
        <f t="shared" si="12"/>
        <v>0.10278</v>
      </c>
      <c r="AO77" s="329"/>
      <c r="AP77" s="355">
        <v>0.24</v>
      </c>
      <c r="AQ77" s="359">
        <f t="shared" si="13"/>
        <v>0.27407999999999999</v>
      </c>
      <c r="AR77" s="360"/>
      <c r="AS77" s="355">
        <v>0.28000000000000003</v>
      </c>
      <c r="AT77" s="356">
        <f t="shared" si="14"/>
        <v>0.31976000000000004</v>
      </c>
      <c r="AU77" s="345" t="s">
        <v>85</v>
      </c>
      <c r="AV77" s="355">
        <v>0.15</v>
      </c>
      <c r="AW77" s="359">
        <f t="shared" si="15"/>
        <v>8.564999999999999E-2</v>
      </c>
      <c r="AX77" s="345" t="s">
        <v>85</v>
      </c>
      <c r="AY77" s="355">
        <v>0.13</v>
      </c>
      <c r="AZ77" s="359">
        <f t="shared" si="16"/>
        <v>7.4230000000000004E-2</v>
      </c>
      <c r="BA77" s="329">
        <f>IF('Degrémont Entrée'!K77="",,('Degrémont Entrée'!K77-I77)/'Degrémont Entrée'!K77*100)</f>
        <v>68.624014022787023</v>
      </c>
      <c r="BB77" s="329">
        <f>IF('Degrémont Entrée'!G77="",,('Degrémont Entrée'!G77-G77)/'Degrémont Entrée'!G77*100)</f>
        <v>98.536885245901644</v>
      </c>
      <c r="BC77" s="329">
        <f>IF('Degrémont Entrée'!S77="",,('Degrémont Entrée'!S77-M77)/'Degrémont Entrée'!S77*100)</f>
        <v>97.753424657534254</v>
      </c>
      <c r="BD77" s="361" t="str">
        <f ca="1">IFERROR(__xludf.DUMMYFUNCTION("""COMPUTED_VALUE"""),"#DIV/0!")</f>
        <v>#DIV/0!</v>
      </c>
      <c r="BE77" s="386">
        <v>21.853000000000002</v>
      </c>
      <c r="BF77" s="387">
        <v>42.179000000000002</v>
      </c>
      <c r="BG77" s="387">
        <v>31.626799999999999</v>
      </c>
      <c r="BH77" s="338">
        <f t="shared" si="17"/>
        <v>48.085211059726447</v>
      </c>
      <c r="BI77" s="364"/>
      <c r="BJ77" s="365"/>
      <c r="BK77" s="366">
        <f>'Degrémont Entrée'!BH77</f>
        <v>0</v>
      </c>
      <c r="BL77" s="367">
        <f>'Degrémont Entrée'!BI77</f>
        <v>0</v>
      </c>
    </row>
    <row r="78" spans="1:64" ht="14.25" outlineLevel="1">
      <c r="A78" s="337">
        <f t="shared" si="18"/>
        <v>43530</v>
      </c>
      <c r="B78" s="338">
        <f>'Degrémont Entrée'!B78</f>
        <v>961</v>
      </c>
      <c r="C78" s="339">
        <v>8.85</v>
      </c>
      <c r="D78" s="340">
        <v>89.2</v>
      </c>
      <c r="E78" s="341">
        <v>90.4</v>
      </c>
      <c r="F78" s="342">
        <v>100</v>
      </c>
      <c r="G78" s="329">
        <f t="shared" si="0"/>
        <v>12.000000000000027</v>
      </c>
      <c r="H78" s="338"/>
      <c r="I78" s="343">
        <v>357</v>
      </c>
      <c r="J78" s="344">
        <f t="shared" si="2"/>
        <v>343.077</v>
      </c>
      <c r="K78" s="343">
        <v>1</v>
      </c>
      <c r="L78" s="345">
        <v>0.9</v>
      </c>
      <c r="M78" s="346">
        <f t="shared" si="3"/>
        <v>0.9</v>
      </c>
      <c r="N78" s="338">
        <f t="shared" si="4"/>
        <v>0.8649</v>
      </c>
      <c r="O78" s="368"/>
      <c r="P78" s="347">
        <f t="shared" si="19"/>
        <v>0</v>
      </c>
      <c r="Q78" s="348"/>
      <c r="R78" s="369"/>
      <c r="S78" s="349">
        <f t="shared" si="20"/>
        <v>0</v>
      </c>
      <c r="T78" s="348"/>
      <c r="U78" s="369"/>
      <c r="V78" s="349">
        <f t="shared" si="5"/>
        <v>0</v>
      </c>
      <c r="W78" s="348"/>
      <c r="X78" s="318" t="str">
        <f t="shared" si="6"/>
        <v/>
      </c>
      <c r="Y78" s="370" t="e">
        <f t="shared" si="7"/>
        <v>#VALUE!</v>
      </c>
      <c r="Z78" s="343" t="s">
        <v>85</v>
      </c>
      <c r="AA78" s="345">
        <v>0.01</v>
      </c>
      <c r="AB78" s="352">
        <f t="shared" si="8"/>
        <v>4.8049999999999994E-3</v>
      </c>
      <c r="AC78" s="353"/>
      <c r="AD78" s="354"/>
      <c r="AE78" s="378" t="str">
        <f t="shared" si="21"/>
        <v/>
      </c>
      <c r="AF78" s="329"/>
      <c r="AG78" s="358"/>
      <c r="AH78" s="356" t="str">
        <f t="shared" si="22"/>
        <v/>
      </c>
      <c r="AI78" s="329"/>
      <c r="AJ78" s="329"/>
      <c r="AK78" s="356">
        <f t="shared" si="11"/>
        <v>0</v>
      </c>
      <c r="AL78" s="357"/>
      <c r="AM78" s="358"/>
      <c r="AN78" s="356">
        <f t="shared" si="12"/>
        <v>0</v>
      </c>
      <c r="AO78" s="329"/>
      <c r="AP78" s="358"/>
      <c r="AQ78" s="359">
        <f t="shared" si="13"/>
        <v>0</v>
      </c>
      <c r="AR78" s="360"/>
      <c r="AS78" s="358"/>
      <c r="AT78" s="356">
        <f t="shared" si="14"/>
        <v>0</v>
      </c>
      <c r="AU78" s="329"/>
      <c r="AV78" s="358"/>
      <c r="AW78" s="359">
        <f t="shared" si="15"/>
        <v>0</v>
      </c>
      <c r="AX78" s="329"/>
      <c r="AY78" s="358"/>
      <c r="AZ78" s="359">
        <f t="shared" si="16"/>
        <v>0</v>
      </c>
      <c r="BA78" s="329">
        <f>IF('Degrémont Entrée'!K78="",,('Degrémont Entrée'!K78-I78)/'Degrémont Entrée'!K78*100)</f>
        <v>58.965517241379303</v>
      </c>
      <c r="BB78" s="329">
        <f>IF('Degrémont Entrée'!G78="",,('Degrémont Entrée'!G78-G78)/'Degrémont Entrée'!G78*100)</f>
        <v>96.238805970149258</v>
      </c>
      <c r="BC78" s="329">
        <f>IF('Degrémont Entrée'!S78="",,('Degrémont Entrée'!S78-M78)/'Degrémont Entrée'!S78*100)</f>
        <v>95.693779904306226</v>
      </c>
      <c r="BD78" s="361" t="str">
        <f ca="1">IFERROR(__xludf.DUMMYFUNCTION("""COMPUTED_VALUE"""),"#DIV/0!")</f>
        <v>#DIV/0!</v>
      </c>
      <c r="BE78" s="362"/>
      <c r="BF78" s="363"/>
      <c r="BG78" s="363"/>
      <c r="BH78" s="338">
        <f t="shared" si="17"/>
        <v>0</v>
      </c>
      <c r="BI78" s="364"/>
      <c r="BJ78" s="365"/>
      <c r="BK78" s="371">
        <f>'Degrémont Entrée'!BH78</f>
        <v>0</v>
      </c>
      <c r="BL78" s="372">
        <f>'Degrémont Entrée'!BI78</f>
        <v>0</v>
      </c>
    </row>
    <row r="79" spans="1:64" ht="15.75" customHeight="1" outlineLevel="1">
      <c r="A79" s="337">
        <f t="shared" si="18"/>
        <v>43531</v>
      </c>
      <c r="B79" s="338">
        <f>'Degrémont Entrée'!B79</f>
        <v>878</v>
      </c>
      <c r="C79" s="339">
        <v>8.9</v>
      </c>
      <c r="D79" s="340">
        <v>88.7</v>
      </c>
      <c r="E79" s="341">
        <v>90</v>
      </c>
      <c r="F79" s="342">
        <v>100</v>
      </c>
      <c r="G79" s="329">
        <f t="shared" si="0"/>
        <v>12.999999999999973</v>
      </c>
      <c r="H79" s="338"/>
      <c r="I79" s="343">
        <v>323</v>
      </c>
      <c r="J79" s="344">
        <f t="shared" si="2"/>
        <v>283.59399999999999</v>
      </c>
      <c r="K79" s="343">
        <v>1</v>
      </c>
      <c r="L79" s="345">
        <v>0.85</v>
      </c>
      <c r="M79" s="346">
        <f t="shared" si="3"/>
        <v>0.85</v>
      </c>
      <c r="N79" s="338">
        <f t="shared" si="4"/>
        <v>0.74629999999999996</v>
      </c>
      <c r="O79" s="368"/>
      <c r="P79" s="347">
        <f t="shared" si="19"/>
        <v>0</v>
      </c>
      <c r="Q79" s="348"/>
      <c r="R79" s="369"/>
      <c r="S79" s="349">
        <f t="shared" si="20"/>
        <v>0</v>
      </c>
      <c r="T79" s="348"/>
      <c r="U79" s="369"/>
      <c r="V79" s="349">
        <f t="shared" si="5"/>
        <v>0</v>
      </c>
      <c r="W79" s="348"/>
      <c r="X79" s="318" t="str">
        <f t="shared" si="6"/>
        <v/>
      </c>
      <c r="Y79" s="370" t="e">
        <f t="shared" si="7"/>
        <v>#VALUE!</v>
      </c>
      <c r="Z79" s="343" t="s">
        <v>85</v>
      </c>
      <c r="AA79" s="345">
        <v>0.01</v>
      </c>
      <c r="AB79" s="352">
        <f t="shared" si="8"/>
        <v>4.3899999999999998E-3</v>
      </c>
      <c r="AC79" s="353"/>
      <c r="AD79" s="354"/>
      <c r="AE79" s="378" t="str">
        <f t="shared" si="21"/>
        <v/>
      </c>
      <c r="AF79" s="329"/>
      <c r="AG79" s="358"/>
      <c r="AH79" s="356" t="str">
        <f t="shared" si="22"/>
        <v/>
      </c>
      <c r="AI79" s="329"/>
      <c r="AJ79" s="329"/>
      <c r="AK79" s="356">
        <f t="shared" si="11"/>
        <v>0</v>
      </c>
      <c r="AL79" s="357"/>
      <c r="AM79" s="358"/>
      <c r="AN79" s="356">
        <f t="shared" si="12"/>
        <v>0</v>
      </c>
      <c r="AO79" s="329"/>
      <c r="AP79" s="358"/>
      <c r="AQ79" s="359">
        <f t="shared" si="13"/>
        <v>0</v>
      </c>
      <c r="AR79" s="360"/>
      <c r="AS79" s="358"/>
      <c r="AT79" s="356">
        <f t="shared" si="14"/>
        <v>0</v>
      </c>
      <c r="AU79" s="329"/>
      <c r="AV79" s="358"/>
      <c r="AW79" s="359">
        <f t="shared" si="15"/>
        <v>0</v>
      </c>
      <c r="AX79" s="329"/>
      <c r="AY79" s="358"/>
      <c r="AZ79" s="359">
        <f t="shared" si="16"/>
        <v>0</v>
      </c>
      <c r="BA79" s="329">
        <f>IF('Degrémont Entrée'!K79="",,('Degrémont Entrée'!K79-I79)/'Degrémont Entrée'!K79*100)</f>
        <v>83.73615307150051</v>
      </c>
      <c r="BB79" s="329">
        <f>IF('Degrémont Entrée'!G79="",,('Degrémont Entrée'!G79-G79)/'Degrémont Entrée'!G79*100)</f>
        <v>99.086115992970122</v>
      </c>
      <c r="BC79" s="329">
        <f>IF('Degrémont Entrée'!S79="",,('Degrémont Entrée'!S79-M79)/'Degrémont Entrée'!S79*100)</f>
        <v>98.908857509627737</v>
      </c>
      <c r="BD79" s="361" t="str">
        <f ca="1">IFERROR(__xludf.DUMMYFUNCTION("""COMPUTED_VALUE"""),"#DIV/0!")</f>
        <v>#DIV/0!</v>
      </c>
      <c r="BE79" s="362"/>
      <c r="BF79" s="363"/>
      <c r="BG79" s="363"/>
      <c r="BH79" s="338">
        <f t="shared" si="17"/>
        <v>0</v>
      </c>
      <c r="BI79" s="364"/>
      <c r="BJ79" s="365"/>
      <c r="BK79" s="366">
        <f>'Degrémont Entrée'!BH79</f>
        <v>0</v>
      </c>
      <c r="BL79" s="367">
        <f>'Degrémont Entrée'!BI79</f>
        <v>0</v>
      </c>
    </row>
    <row r="80" spans="1:64" ht="24" outlineLevel="1">
      <c r="A80" s="337">
        <f t="shared" si="18"/>
        <v>43532</v>
      </c>
      <c r="B80" s="338">
        <f>'Degrémont Entrée'!B80</f>
        <v>1036</v>
      </c>
      <c r="C80" s="339">
        <v>8.3000000000000007</v>
      </c>
      <c r="D80" s="340">
        <v>89.6</v>
      </c>
      <c r="E80" s="341">
        <v>92.7</v>
      </c>
      <c r="F80" s="342">
        <v>100</v>
      </c>
      <c r="G80" s="329">
        <f t="shared" si="0"/>
        <v>31.000000000000085</v>
      </c>
      <c r="H80" s="338"/>
      <c r="I80" s="343">
        <v>330</v>
      </c>
      <c r="J80" s="344">
        <f t="shared" si="2"/>
        <v>341.88</v>
      </c>
      <c r="K80" s="343">
        <v>1</v>
      </c>
      <c r="L80" s="345">
        <v>1.28</v>
      </c>
      <c r="M80" s="346">
        <f t="shared" si="3"/>
        <v>1.28</v>
      </c>
      <c r="N80" s="338">
        <f t="shared" si="4"/>
        <v>1.3260799999999999</v>
      </c>
      <c r="O80" s="368"/>
      <c r="P80" s="347">
        <f t="shared" si="19"/>
        <v>0</v>
      </c>
      <c r="Q80" s="348"/>
      <c r="R80" s="369"/>
      <c r="S80" s="349">
        <f t="shared" si="20"/>
        <v>0</v>
      </c>
      <c r="T80" s="348"/>
      <c r="U80" s="369"/>
      <c r="V80" s="349">
        <f t="shared" si="5"/>
        <v>0</v>
      </c>
      <c r="W80" s="348"/>
      <c r="X80" s="318" t="str">
        <f t="shared" si="6"/>
        <v/>
      </c>
      <c r="Y80" s="370" t="e">
        <f t="shared" si="7"/>
        <v>#VALUE!</v>
      </c>
      <c r="Z80" s="343" t="s">
        <v>85</v>
      </c>
      <c r="AA80" s="345">
        <v>0.01</v>
      </c>
      <c r="AB80" s="352">
        <f t="shared" si="8"/>
        <v>5.1799999999999997E-3</v>
      </c>
      <c r="AC80" s="353"/>
      <c r="AD80" s="354"/>
      <c r="AE80" s="378" t="str">
        <f t="shared" si="21"/>
        <v/>
      </c>
      <c r="AF80" s="329"/>
      <c r="AG80" s="358"/>
      <c r="AH80" s="356" t="str">
        <f t="shared" si="22"/>
        <v/>
      </c>
      <c r="AI80" s="329"/>
      <c r="AJ80" s="329"/>
      <c r="AK80" s="356">
        <f t="shared" si="11"/>
        <v>0</v>
      </c>
      <c r="AL80" s="357"/>
      <c r="AM80" s="358"/>
      <c r="AN80" s="356">
        <f t="shared" si="12"/>
        <v>0</v>
      </c>
      <c r="AO80" s="329"/>
      <c r="AP80" s="358"/>
      <c r="AQ80" s="359">
        <f t="shared" si="13"/>
        <v>0</v>
      </c>
      <c r="AR80" s="360"/>
      <c r="AS80" s="358"/>
      <c r="AT80" s="356">
        <f t="shared" si="14"/>
        <v>0</v>
      </c>
      <c r="AU80" s="329"/>
      <c r="AV80" s="358"/>
      <c r="AW80" s="359">
        <f t="shared" si="15"/>
        <v>0</v>
      </c>
      <c r="AX80" s="329"/>
      <c r="AY80" s="358"/>
      <c r="AZ80" s="359">
        <f t="shared" si="16"/>
        <v>0</v>
      </c>
      <c r="BA80" s="329">
        <f>IF('Degrémont Entrée'!K80="",,('Degrémont Entrée'!K80-I80)/'Degrémont Entrée'!K80*100)</f>
        <v>82.936918304033085</v>
      </c>
      <c r="BB80" s="329">
        <f>IF('Degrémont Entrée'!G80="",,('Degrémont Entrée'!G80-G80)/'Degrémont Entrée'!G80*100)</f>
        <v>97.680272108843539</v>
      </c>
      <c r="BC80" s="329">
        <f>IF('Degrémont Entrée'!S80="",,('Degrémont Entrée'!S80-M80)/'Degrémont Entrée'!S80*100)</f>
        <v>98.433292533659738</v>
      </c>
      <c r="BD80" s="361" t="str">
        <f ca="1">IFERROR(__xludf.DUMMYFUNCTION("""COMPUTED_VALUE"""),"#DIV/0!")</f>
        <v>#DIV/0!</v>
      </c>
      <c r="BE80" s="362"/>
      <c r="BF80" s="363"/>
      <c r="BG80" s="363"/>
      <c r="BH80" s="338">
        <f t="shared" si="17"/>
        <v>0</v>
      </c>
      <c r="BI80" s="364"/>
      <c r="BJ80" s="365"/>
      <c r="BK80" s="371">
        <f>'Degrémont Entrée'!BH80</f>
        <v>0</v>
      </c>
      <c r="BL80" s="372" t="str">
        <f>'Degrémont Entrée'!BI80</f>
        <v>Nettoyage bac de chaulage Pompe P01 HS=Remplacée</v>
      </c>
    </row>
    <row r="81" spans="1:64" ht="15.75" customHeight="1" outlineLevel="1">
      <c r="A81" s="337">
        <f t="shared" si="18"/>
        <v>43533</v>
      </c>
      <c r="B81" s="338">
        <f>'Degrémont Entrée'!B81</f>
        <v>837</v>
      </c>
      <c r="C81" s="339">
        <v>8.6</v>
      </c>
      <c r="D81" s="340">
        <v>88.9</v>
      </c>
      <c r="E81" s="341">
        <v>93.5</v>
      </c>
      <c r="F81" s="342">
        <v>100</v>
      </c>
      <c r="G81" s="329">
        <f t="shared" si="0"/>
        <v>45.999999999999943</v>
      </c>
      <c r="H81" s="338"/>
      <c r="I81" s="343">
        <v>427</v>
      </c>
      <c r="J81" s="344">
        <f t="shared" si="2"/>
        <v>357.399</v>
      </c>
      <c r="K81" s="343">
        <v>1</v>
      </c>
      <c r="L81" s="345">
        <v>2.2999999999999998</v>
      </c>
      <c r="M81" s="346">
        <f t="shared" si="3"/>
        <v>2.2999999999999998</v>
      </c>
      <c r="N81" s="338">
        <f t="shared" si="4"/>
        <v>1.9250999999999998</v>
      </c>
      <c r="O81" s="368"/>
      <c r="P81" s="347">
        <f t="shared" si="19"/>
        <v>0</v>
      </c>
      <c r="Q81" s="348"/>
      <c r="R81" s="369"/>
      <c r="S81" s="349">
        <f t="shared" si="20"/>
        <v>0</v>
      </c>
      <c r="T81" s="348"/>
      <c r="U81" s="369"/>
      <c r="V81" s="349">
        <f t="shared" si="5"/>
        <v>0</v>
      </c>
      <c r="W81" s="348"/>
      <c r="X81" s="318" t="str">
        <f t="shared" si="6"/>
        <v/>
      </c>
      <c r="Y81" s="370" t="e">
        <f t="shared" si="7"/>
        <v>#VALUE!</v>
      </c>
      <c r="Z81" s="343" t="s">
        <v>85</v>
      </c>
      <c r="AA81" s="345">
        <v>0.01</v>
      </c>
      <c r="AB81" s="352">
        <f t="shared" si="8"/>
        <v>4.1850000000000004E-3</v>
      </c>
      <c r="AC81" s="353"/>
      <c r="AD81" s="354"/>
      <c r="AE81" s="378" t="str">
        <f t="shared" si="21"/>
        <v/>
      </c>
      <c r="AF81" s="329"/>
      <c r="AG81" s="358"/>
      <c r="AH81" s="356" t="str">
        <f t="shared" si="22"/>
        <v/>
      </c>
      <c r="AI81" s="329"/>
      <c r="AJ81" s="329"/>
      <c r="AK81" s="356">
        <f t="shared" si="11"/>
        <v>0</v>
      </c>
      <c r="AL81" s="357"/>
      <c r="AM81" s="358"/>
      <c r="AN81" s="356">
        <f t="shared" si="12"/>
        <v>0</v>
      </c>
      <c r="AO81" s="329"/>
      <c r="AP81" s="358"/>
      <c r="AQ81" s="359">
        <f t="shared" si="13"/>
        <v>0</v>
      </c>
      <c r="AR81" s="360"/>
      <c r="AS81" s="358"/>
      <c r="AT81" s="356">
        <f t="shared" si="14"/>
        <v>0</v>
      </c>
      <c r="AU81" s="329"/>
      <c r="AV81" s="358"/>
      <c r="AW81" s="359">
        <f t="shared" si="15"/>
        <v>0</v>
      </c>
      <c r="AX81" s="329"/>
      <c r="AY81" s="358"/>
      <c r="AZ81" s="359">
        <f t="shared" si="16"/>
        <v>0</v>
      </c>
      <c r="BA81" s="329">
        <f>IF('Degrémont Entrée'!K81="",,('Degrémont Entrée'!K81-I81)/'Degrémont Entrée'!K81*100)</f>
        <v>73.835784313725497</v>
      </c>
      <c r="BB81" s="329">
        <f>IF('Degrémont Entrée'!G81="",,('Degrémont Entrée'!G81-G81)/'Degrémont Entrée'!G81*100)</f>
        <v>94.393749999999997</v>
      </c>
      <c r="BC81" s="329">
        <f>IF('Degrémont Entrée'!S81="",,('Degrémont Entrée'!S81-M81)/'Degrémont Entrée'!S81*100)</f>
        <v>96.266233766233768</v>
      </c>
      <c r="BD81" s="361" t="str">
        <f ca="1">IFERROR(__xludf.DUMMYFUNCTION("""COMPUTED_VALUE"""),"#DIV/0!")</f>
        <v>#DIV/0!</v>
      </c>
      <c r="BE81" s="362"/>
      <c r="BF81" s="363"/>
      <c r="BG81" s="363"/>
      <c r="BH81" s="338">
        <f t="shared" si="17"/>
        <v>0</v>
      </c>
      <c r="BI81" s="364"/>
      <c r="BJ81" s="365"/>
      <c r="BK81" s="366">
        <f>'Degrémont Entrée'!BH81</f>
        <v>0</v>
      </c>
      <c r="BL81" s="367">
        <f>'Degrémont Entrée'!BI81</f>
        <v>0</v>
      </c>
    </row>
    <row r="82" spans="1:64" ht="36" outlineLevel="1">
      <c r="A82" s="337">
        <f t="shared" si="18"/>
        <v>43534</v>
      </c>
      <c r="B82" s="338">
        <f>'Degrémont Entrée'!B82</f>
        <v>417</v>
      </c>
      <c r="C82" s="339">
        <v>9.4</v>
      </c>
      <c r="D82" s="340">
        <v>89.7</v>
      </c>
      <c r="E82" s="341">
        <v>93.4</v>
      </c>
      <c r="F82" s="342">
        <v>100</v>
      </c>
      <c r="G82" s="329">
        <f t="shared" si="0"/>
        <v>37.000000000000028</v>
      </c>
      <c r="H82" s="338"/>
      <c r="I82" s="343">
        <v>414</v>
      </c>
      <c r="J82" s="344">
        <f t="shared" si="2"/>
        <v>172.63800000000001</v>
      </c>
      <c r="K82" s="343">
        <v>1</v>
      </c>
      <c r="L82" s="345">
        <v>2.25</v>
      </c>
      <c r="M82" s="346">
        <f t="shared" si="3"/>
        <v>2.25</v>
      </c>
      <c r="N82" s="338">
        <f t="shared" si="4"/>
        <v>0.93825000000000003</v>
      </c>
      <c r="O82" s="368"/>
      <c r="P82" s="347">
        <f t="shared" si="19"/>
        <v>0</v>
      </c>
      <c r="Q82" s="348"/>
      <c r="R82" s="369"/>
      <c r="S82" s="349">
        <f t="shared" si="20"/>
        <v>0</v>
      </c>
      <c r="T82" s="348"/>
      <c r="U82" s="369"/>
      <c r="V82" s="349">
        <f t="shared" si="5"/>
        <v>0</v>
      </c>
      <c r="W82" s="348"/>
      <c r="X82" s="318" t="str">
        <f t="shared" si="6"/>
        <v/>
      </c>
      <c r="Y82" s="370" t="e">
        <f t="shared" si="7"/>
        <v>#VALUE!</v>
      </c>
      <c r="Z82" s="343" t="s">
        <v>85</v>
      </c>
      <c r="AA82" s="345">
        <v>0.01</v>
      </c>
      <c r="AB82" s="352">
        <f t="shared" si="8"/>
        <v>2.085E-3</v>
      </c>
      <c r="AC82" s="353"/>
      <c r="AD82" s="354"/>
      <c r="AE82" s="378" t="str">
        <f t="shared" si="21"/>
        <v/>
      </c>
      <c r="AF82" s="329"/>
      <c r="AG82" s="358"/>
      <c r="AH82" s="356" t="str">
        <f t="shared" si="22"/>
        <v/>
      </c>
      <c r="AI82" s="329"/>
      <c r="AJ82" s="329"/>
      <c r="AK82" s="356">
        <f t="shared" si="11"/>
        <v>0</v>
      </c>
      <c r="AL82" s="357"/>
      <c r="AM82" s="358"/>
      <c r="AN82" s="356">
        <f t="shared" si="12"/>
        <v>0</v>
      </c>
      <c r="AO82" s="329"/>
      <c r="AP82" s="358"/>
      <c r="AQ82" s="359">
        <f t="shared" si="13"/>
        <v>0</v>
      </c>
      <c r="AR82" s="360"/>
      <c r="AS82" s="358"/>
      <c r="AT82" s="356">
        <f t="shared" si="14"/>
        <v>0</v>
      </c>
      <c r="AU82" s="329"/>
      <c r="AV82" s="358"/>
      <c r="AW82" s="359">
        <f t="shared" si="15"/>
        <v>0</v>
      </c>
      <c r="AX82" s="329"/>
      <c r="AY82" s="358"/>
      <c r="AZ82" s="359">
        <f t="shared" si="16"/>
        <v>0</v>
      </c>
      <c r="BA82" s="329">
        <f>IF('Degrémont Entrée'!K82="",,('Degrémont Entrée'!K82-I82)/'Degrémont Entrée'!K82*100)</f>
        <v>60.268714011516309</v>
      </c>
      <c r="BB82" s="329">
        <f>IF('Degrémont Entrée'!G82="",,('Degrémont Entrée'!G82-G82)/'Degrémont Entrée'!G82*100)</f>
        <v>91.956521739130423</v>
      </c>
      <c r="BC82" s="329">
        <f>IF('Degrémont Entrée'!S82="",,('Degrémont Entrée'!S82-M82)/'Degrémont Entrée'!S82*100)</f>
        <v>94.779582366589324</v>
      </c>
      <c r="BD82" s="361" t="str">
        <f ca="1">IFERROR(__xludf.DUMMYFUNCTION("""COMPUTED_VALUE"""),"#DIV/0!")</f>
        <v>#DIV/0!</v>
      </c>
      <c r="BE82" s="362"/>
      <c r="BF82" s="363"/>
      <c r="BG82" s="363"/>
      <c r="BH82" s="338">
        <f t="shared" si="17"/>
        <v>0</v>
      </c>
      <c r="BI82" s="364"/>
      <c r="BJ82" s="365"/>
      <c r="BK82" s="371">
        <f>'Degrémont Entrée'!BH82</f>
        <v>0</v>
      </c>
      <c r="BL82" s="372" t="str">
        <f>'Degrémont Entrée'!BI82</f>
        <v>Discordance P31-Fonctionnement en continu. Sonde R1 mise dans R3 pour la pompe P11</v>
      </c>
    </row>
    <row r="83" spans="1:64" ht="15.75" customHeight="1" outlineLevel="1">
      <c r="A83" s="337">
        <f t="shared" si="18"/>
        <v>43535</v>
      </c>
      <c r="B83" s="338">
        <f>'Degrémont Entrée'!B83</f>
        <v>902</v>
      </c>
      <c r="C83" s="339">
        <v>9.1</v>
      </c>
      <c r="D83" s="340">
        <v>90.1</v>
      </c>
      <c r="E83" s="341">
        <v>92.3</v>
      </c>
      <c r="F83" s="342">
        <v>100</v>
      </c>
      <c r="G83" s="329">
        <f t="shared" si="0"/>
        <v>22.000000000000028</v>
      </c>
      <c r="H83" s="338"/>
      <c r="I83" s="343">
        <v>364</v>
      </c>
      <c r="J83" s="344">
        <f t="shared" si="2"/>
        <v>328.32799999999997</v>
      </c>
      <c r="K83" s="343">
        <v>1</v>
      </c>
      <c r="L83" s="345">
        <v>1.8</v>
      </c>
      <c r="M83" s="346">
        <f t="shared" si="3"/>
        <v>1.8</v>
      </c>
      <c r="N83" s="338">
        <f t="shared" si="4"/>
        <v>1.6236000000000002</v>
      </c>
      <c r="O83" s="368"/>
      <c r="P83" s="347">
        <f t="shared" si="19"/>
        <v>0</v>
      </c>
      <c r="Q83" s="348"/>
      <c r="R83" s="369"/>
      <c r="S83" s="349">
        <f t="shared" si="20"/>
        <v>0</v>
      </c>
      <c r="T83" s="348"/>
      <c r="U83" s="369"/>
      <c r="V83" s="349">
        <f t="shared" si="5"/>
        <v>0</v>
      </c>
      <c r="W83" s="348"/>
      <c r="X83" s="318" t="str">
        <f t="shared" si="6"/>
        <v/>
      </c>
      <c r="Y83" s="370" t="e">
        <f t="shared" si="7"/>
        <v>#VALUE!</v>
      </c>
      <c r="Z83" s="343" t="s">
        <v>85</v>
      </c>
      <c r="AA83" s="345">
        <v>0.01</v>
      </c>
      <c r="AB83" s="352">
        <f t="shared" si="8"/>
        <v>4.5100000000000001E-3</v>
      </c>
      <c r="AC83" s="353"/>
      <c r="AD83" s="354"/>
      <c r="AE83" s="378" t="str">
        <f t="shared" si="21"/>
        <v/>
      </c>
      <c r="AF83" s="329"/>
      <c r="AG83" s="358"/>
      <c r="AH83" s="356" t="str">
        <f t="shared" si="22"/>
        <v/>
      </c>
      <c r="AI83" s="329"/>
      <c r="AJ83" s="329"/>
      <c r="AK83" s="356">
        <f t="shared" si="11"/>
        <v>0</v>
      </c>
      <c r="AL83" s="357"/>
      <c r="AM83" s="358"/>
      <c r="AN83" s="356">
        <f t="shared" si="12"/>
        <v>0</v>
      </c>
      <c r="AO83" s="329"/>
      <c r="AP83" s="358"/>
      <c r="AQ83" s="359">
        <f t="shared" si="13"/>
        <v>0</v>
      </c>
      <c r="AR83" s="360"/>
      <c r="AS83" s="358"/>
      <c r="AT83" s="356">
        <f t="shared" si="14"/>
        <v>0</v>
      </c>
      <c r="AU83" s="329"/>
      <c r="AV83" s="358"/>
      <c r="AW83" s="359">
        <f t="shared" si="15"/>
        <v>0</v>
      </c>
      <c r="AX83" s="329"/>
      <c r="AY83" s="358"/>
      <c r="AZ83" s="359">
        <f t="shared" si="16"/>
        <v>0</v>
      </c>
      <c r="BA83" s="329">
        <f>IF('Degrémont Entrée'!K83="",,('Degrémont Entrée'!K83-I83)/'Degrémont Entrée'!K83*100)</f>
        <v>59.329608938547487</v>
      </c>
      <c r="BB83" s="329">
        <f>IF('Degrémont Entrée'!G83="",,('Degrémont Entrée'!G83-G83)/'Degrémont Entrée'!G83*100)</f>
        <v>94.995260663507111</v>
      </c>
      <c r="BC83" s="329">
        <f>IF('Degrémont Entrée'!S83="",,('Degrémont Entrée'!S83-M83)/'Degrémont Entrée'!S83*100)</f>
        <v>95.250659630606876</v>
      </c>
      <c r="BD83" s="361" t="str">
        <f ca="1">IFERROR(__xludf.DUMMYFUNCTION("""COMPUTED_VALUE"""),"#DIV/0!")</f>
        <v>#DIV/0!</v>
      </c>
      <c r="BE83" s="362"/>
      <c r="BF83" s="363"/>
      <c r="BG83" s="363"/>
      <c r="BH83" s="338">
        <f t="shared" si="17"/>
        <v>0</v>
      </c>
      <c r="BI83" s="364"/>
      <c r="BJ83" s="365"/>
      <c r="BK83" s="366">
        <f>'Degrémont Entrée'!BH83</f>
        <v>0</v>
      </c>
      <c r="BL83" s="367" t="str">
        <f>'Degrémont Entrée'!BI83</f>
        <v>Défaut poire niveau sortie</v>
      </c>
    </row>
    <row r="84" spans="1:64" ht="24" outlineLevel="1">
      <c r="A84" s="337">
        <f t="shared" si="18"/>
        <v>43536</v>
      </c>
      <c r="B84" s="338">
        <f>'Degrémont Entrée'!B84</f>
        <v>965</v>
      </c>
      <c r="C84" s="339">
        <v>8.9</v>
      </c>
      <c r="D84" s="340">
        <v>90.7</v>
      </c>
      <c r="E84" s="341">
        <v>92.3</v>
      </c>
      <c r="F84" s="342">
        <v>100</v>
      </c>
      <c r="G84" s="329">
        <f t="shared" si="0"/>
        <v>15.999999999999943</v>
      </c>
      <c r="H84" s="338"/>
      <c r="I84" s="343">
        <v>448</v>
      </c>
      <c r="J84" s="344">
        <f t="shared" si="2"/>
        <v>432.32</v>
      </c>
      <c r="K84" s="343">
        <v>1</v>
      </c>
      <c r="L84" s="345">
        <v>1.03</v>
      </c>
      <c r="M84" s="346">
        <f t="shared" si="3"/>
        <v>1.03</v>
      </c>
      <c r="N84" s="338">
        <f t="shared" si="4"/>
        <v>0.99395</v>
      </c>
      <c r="O84" s="341">
        <v>5.9</v>
      </c>
      <c r="P84" s="347">
        <f t="shared" si="19"/>
        <v>5.6935000000000002</v>
      </c>
      <c r="Q84" s="348"/>
      <c r="R84" s="369"/>
      <c r="S84" s="349">
        <f t="shared" si="20"/>
        <v>0</v>
      </c>
      <c r="T84" s="348"/>
      <c r="U84" s="369"/>
      <c r="V84" s="349">
        <f t="shared" si="5"/>
        <v>0</v>
      </c>
      <c r="W84" s="348"/>
      <c r="X84" s="318">
        <f t="shared" si="6"/>
        <v>5.9</v>
      </c>
      <c r="Y84" s="370">
        <f t="shared" si="7"/>
        <v>5.6935000000000002</v>
      </c>
      <c r="Z84" s="343" t="s">
        <v>85</v>
      </c>
      <c r="AA84" s="345">
        <v>0.01</v>
      </c>
      <c r="AB84" s="352">
        <f t="shared" si="8"/>
        <v>4.8250000000000003E-3</v>
      </c>
      <c r="AC84" s="353"/>
      <c r="AD84" s="354"/>
      <c r="AE84" s="378" t="str">
        <f t="shared" si="21"/>
        <v/>
      </c>
      <c r="AF84" s="329"/>
      <c r="AG84" s="355">
        <v>0.47</v>
      </c>
      <c r="AH84" s="356">
        <f t="shared" si="22"/>
        <v>2.81812</v>
      </c>
      <c r="AI84" s="329"/>
      <c r="AJ84" s="345">
        <v>0.48</v>
      </c>
      <c r="AK84" s="356">
        <f t="shared" si="11"/>
        <v>0.4632</v>
      </c>
      <c r="AL84" s="357"/>
      <c r="AM84" s="355">
        <v>0.05</v>
      </c>
      <c r="AN84" s="356">
        <f t="shared" si="12"/>
        <v>4.8250000000000001E-2</v>
      </c>
      <c r="AO84" s="329"/>
      <c r="AP84" s="355">
        <v>0.26</v>
      </c>
      <c r="AQ84" s="359">
        <f t="shared" si="13"/>
        <v>0.25090000000000001</v>
      </c>
      <c r="AR84" s="360"/>
      <c r="AS84" s="355">
        <v>0.4</v>
      </c>
      <c r="AT84" s="356">
        <f t="shared" si="14"/>
        <v>0.38600000000000001</v>
      </c>
      <c r="AU84" s="345" t="s">
        <v>85</v>
      </c>
      <c r="AV84" s="355">
        <v>0.15</v>
      </c>
      <c r="AW84" s="359">
        <f t="shared" si="15"/>
        <v>7.2374999999999995E-2</v>
      </c>
      <c r="AX84" s="345" t="s">
        <v>85</v>
      </c>
      <c r="AY84" s="355">
        <v>0.13</v>
      </c>
      <c r="AZ84" s="359">
        <f t="shared" si="16"/>
        <v>6.2725000000000003E-2</v>
      </c>
      <c r="BA84" s="329">
        <f>IF('Degrémont Entrée'!K84="",,('Degrémont Entrée'!K84-I84)/'Degrémont Entrée'!K84*100)</f>
        <v>65.61780506523408</v>
      </c>
      <c r="BB84" s="329">
        <f>IF('Degrémont Entrée'!G84="",,('Degrémont Entrée'!G84-G84)/'Degrémont Entrée'!G84*100)</f>
        <v>97.568389057750778</v>
      </c>
      <c r="BC84" s="329">
        <f>IF('Degrémont Entrée'!S84="",,('Degrémont Entrée'!S84-M84)/'Degrémont Entrée'!S84*100)</f>
        <v>97.596266044340723</v>
      </c>
      <c r="BD84" s="361" t="str">
        <f ca="1">IFERROR(__xludf.DUMMYFUNCTION("""COMPUTED_VALUE"""),"#DIV/0!")</f>
        <v>#DIV/0!</v>
      </c>
      <c r="BE84" s="362"/>
      <c r="BF84" s="363"/>
      <c r="BG84" s="363"/>
      <c r="BH84" s="338">
        <f t="shared" si="17"/>
        <v>0</v>
      </c>
      <c r="BI84" s="364"/>
      <c r="BJ84" s="365"/>
      <c r="BK84" s="371">
        <f>'Degrémont Entrée'!BH84</f>
        <v>0</v>
      </c>
      <c r="BL84" s="372" t="str">
        <f>'Degrémont Entrée'!BI84</f>
        <v>Défaut poire niveau sortie Transfert B04 vers B01 1h40</v>
      </c>
    </row>
    <row r="85" spans="1:64" ht="15.75" customHeight="1" outlineLevel="1">
      <c r="A85" s="337">
        <f t="shared" si="18"/>
        <v>43537</v>
      </c>
      <c r="B85" s="338">
        <f>'Degrémont Entrée'!B85</f>
        <v>986</v>
      </c>
      <c r="C85" s="339">
        <v>8.4</v>
      </c>
      <c r="D85" s="340">
        <v>91</v>
      </c>
      <c r="E85" s="341">
        <v>93.2</v>
      </c>
      <c r="F85" s="342">
        <v>100</v>
      </c>
      <c r="G85" s="329">
        <f t="shared" si="0"/>
        <v>22.000000000000028</v>
      </c>
      <c r="H85" s="338"/>
      <c r="I85" s="343">
        <v>447</v>
      </c>
      <c r="J85" s="344">
        <f t="shared" si="2"/>
        <v>440.74200000000002</v>
      </c>
      <c r="K85" s="343">
        <v>1</v>
      </c>
      <c r="L85" s="345">
        <v>0.88</v>
      </c>
      <c r="M85" s="346">
        <f t="shared" si="3"/>
        <v>0.88</v>
      </c>
      <c r="N85" s="338">
        <f t="shared" si="4"/>
        <v>0.8676799999999999</v>
      </c>
      <c r="O85" s="368"/>
      <c r="P85" s="347">
        <f t="shared" si="19"/>
        <v>0</v>
      </c>
      <c r="Q85" s="348"/>
      <c r="R85" s="369"/>
      <c r="S85" s="349">
        <f t="shared" si="20"/>
        <v>0</v>
      </c>
      <c r="T85" s="348"/>
      <c r="U85" s="369"/>
      <c r="V85" s="349">
        <f t="shared" si="5"/>
        <v>0</v>
      </c>
      <c r="W85" s="348"/>
      <c r="X85" s="318" t="str">
        <f t="shared" si="6"/>
        <v/>
      </c>
      <c r="Y85" s="370" t="e">
        <f t="shared" si="7"/>
        <v>#VALUE!</v>
      </c>
      <c r="Z85" s="343" t="s">
        <v>85</v>
      </c>
      <c r="AA85" s="345">
        <v>0.01</v>
      </c>
      <c r="AB85" s="352">
        <f t="shared" si="8"/>
        <v>4.9299999999999995E-3</v>
      </c>
      <c r="AC85" s="353"/>
      <c r="AD85" s="354"/>
      <c r="AE85" s="378" t="str">
        <f t="shared" si="21"/>
        <v/>
      </c>
      <c r="AF85" s="329"/>
      <c r="AG85" s="358"/>
      <c r="AH85" s="356" t="str">
        <f t="shared" si="22"/>
        <v/>
      </c>
      <c r="AI85" s="329"/>
      <c r="AJ85" s="329"/>
      <c r="AK85" s="356">
        <f t="shared" si="11"/>
        <v>0</v>
      </c>
      <c r="AL85" s="357"/>
      <c r="AM85" s="358"/>
      <c r="AN85" s="356">
        <f t="shared" si="12"/>
        <v>0</v>
      </c>
      <c r="AO85" s="329"/>
      <c r="AP85" s="358"/>
      <c r="AQ85" s="359">
        <f t="shared" si="13"/>
        <v>0</v>
      </c>
      <c r="AR85" s="360"/>
      <c r="AS85" s="358"/>
      <c r="AT85" s="356">
        <f t="shared" si="14"/>
        <v>0</v>
      </c>
      <c r="AU85" s="329"/>
      <c r="AV85" s="358"/>
      <c r="AW85" s="359">
        <f t="shared" si="15"/>
        <v>0</v>
      </c>
      <c r="AX85" s="329"/>
      <c r="AY85" s="358"/>
      <c r="AZ85" s="359">
        <f t="shared" si="16"/>
        <v>0</v>
      </c>
      <c r="BA85" s="329">
        <f>IF('Degrémont Entrée'!K85="",,('Degrémont Entrée'!K85-I85)/'Degrémont Entrée'!K85*100)</f>
        <v>77.980295566502463</v>
      </c>
      <c r="BB85" s="329">
        <f>IF('Degrémont Entrée'!G85="",,('Degrémont Entrée'!G85-G85)/'Degrémont Entrée'!G85*100)</f>
        <v>98.483920367534466</v>
      </c>
      <c r="BC85" s="329">
        <f>IF('Degrémont Entrée'!S85="",,('Degrémont Entrée'!S85-M85)/'Degrémont Entrée'!S85*100)</f>
        <v>98.656488549618331</v>
      </c>
      <c r="BD85" s="361" t="str">
        <f ca="1">IFERROR(__xludf.DUMMYFUNCTION("""COMPUTED_VALUE"""),"#DIV/0!")</f>
        <v>#DIV/0!</v>
      </c>
      <c r="BE85" s="386">
        <v>22.430199999999999</v>
      </c>
      <c r="BF85" s="387">
        <v>39.760800000000003</v>
      </c>
      <c r="BG85" s="387">
        <v>31.890999999999998</v>
      </c>
      <c r="BH85" s="338">
        <f t="shared" si="17"/>
        <v>54.590146907781595</v>
      </c>
      <c r="BI85" s="364"/>
      <c r="BJ85" s="365"/>
      <c r="BK85" s="366">
        <f>'Degrémont Entrée'!BH85</f>
        <v>0</v>
      </c>
      <c r="BL85" s="367">
        <f>'Degrémont Entrée'!BI85</f>
        <v>0</v>
      </c>
    </row>
    <row r="86" spans="1:64" ht="14.25" outlineLevel="1">
      <c r="A86" s="337">
        <f t="shared" si="18"/>
        <v>43538</v>
      </c>
      <c r="B86" s="338">
        <f>'Degrémont Entrée'!B86</f>
        <v>1022</v>
      </c>
      <c r="C86" s="339">
        <v>8.5500000000000007</v>
      </c>
      <c r="D86" s="340">
        <v>89.4</v>
      </c>
      <c r="E86" s="341">
        <v>93.1</v>
      </c>
      <c r="F86" s="342">
        <v>100</v>
      </c>
      <c r="G86" s="329">
        <f t="shared" si="0"/>
        <v>36.999999999999886</v>
      </c>
      <c r="H86" s="338"/>
      <c r="I86" s="343">
        <v>1042</v>
      </c>
      <c r="J86" s="344">
        <f t="shared" si="2"/>
        <v>1064.924</v>
      </c>
      <c r="K86" s="343">
        <v>1</v>
      </c>
      <c r="L86" s="345">
        <v>1</v>
      </c>
      <c r="M86" s="346">
        <f t="shared" si="3"/>
        <v>1</v>
      </c>
      <c r="N86" s="338">
        <f t="shared" si="4"/>
        <v>1.022</v>
      </c>
      <c r="O86" s="368"/>
      <c r="P86" s="347">
        <f t="shared" si="19"/>
        <v>0</v>
      </c>
      <c r="Q86" s="348"/>
      <c r="R86" s="369"/>
      <c r="S86" s="349">
        <f t="shared" si="20"/>
        <v>0</v>
      </c>
      <c r="T86" s="348"/>
      <c r="U86" s="369"/>
      <c r="V86" s="349">
        <f t="shared" si="5"/>
        <v>0</v>
      </c>
      <c r="W86" s="348"/>
      <c r="X86" s="318" t="str">
        <f t="shared" si="6"/>
        <v/>
      </c>
      <c r="Y86" s="370" t="e">
        <f t="shared" si="7"/>
        <v>#VALUE!</v>
      </c>
      <c r="Z86" s="343" t="s">
        <v>85</v>
      </c>
      <c r="AA86" s="345">
        <v>0.01</v>
      </c>
      <c r="AB86" s="352">
        <f t="shared" si="8"/>
        <v>5.11E-3</v>
      </c>
      <c r="AC86" s="353"/>
      <c r="AD86" s="354"/>
      <c r="AE86" s="378" t="str">
        <f t="shared" si="21"/>
        <v/>
      </c>
      <c r="AF86" s="329"/>
      <c r="AG86" s="358"/>
      <c r="AH86" s="356" t="str">
        <f t="shared" si="22"/>
        <v/>
      </c>
      <c r="AI86" s="329"/>
      <c r="AJ86" s="329"/>
      <c r="AK86" s="356">
        <f t="shared" si="11"/>
        <v>0</v>
      </c>
      <c r="AL86" s="357"/>
      <c r="AM86" s="358"/>
      <c r="AN86" s="356">
        <f t="shared" si="12"/>
        <v>0</v>
      </c>
      <c r="AO86" s="329"/>
      <c r="AP86" s="358"/>
      <c r="AQ86" s="359">
        <f t="shared" si="13"/>
        <v>0</v>
      </c>
      <c r="AR86" s="360"/>
      <c r="AS86" s="358"/>
      <c r="AT86" s="356">
        <f t="shared" si="14"/>
        <v>0</v>
      </c>
      <c r="AU86" s="329"/>
      <c r="AV86" s="358"/>
      <c r="AW86" s="359">
        <f t="shared" si="15"/>
        <v>0</v>
      </c>
      <c r="AX86" s="329"/>
      <c r="AY86" s="358"/>
      <c r="AZ86" s="359">
        <f t="shared" si="16"/>
        <v>0</v>
      </c>
      <c r="BA86" s="329">
        <f>IF('Degrémont Entrée'!K86="",,('Degrémont Entrée'!K86-I86)/'Degrémont Entrée'!K86*100)</f>
        <v>72.04185672122351</v>
      </c>
      <c r="BB86" s="329">
        <f>IF('Degrémont Entrée'!G86="",,('Degrémont Entrée'!G86-G86)/'Degrémont Entrée'!G86*100)</f>
        <v>98.293948126801155</v>
      </c>
      <c r="BC86" s="329">
        <f>IF('Degrémont Entrée'!S86="",,('Degrémont Entrée'!S86-M86)/'Degrémont Entrée'!S86*100)</f>
        <v>99.033816425120762</v>
      </c>
      <c r="BD86" s="361" t="str">
        <f ca="1">IFERROR(__xludf.DUMMYFUNCTION("""COMPUTED_VALUE"""),"#DIV/0!")</f>
        <v>#DIV/0!</v>
      </c>
      <c r="BE86" s="362"/>
      <c r="BF86" s="363"/>
      <c r="BG86" s="363"/>
      <c r="BH86" s="338">
        <f t="shared" si="17"/>
        <v>0</v>
      </c>
      <c r="BI86" s="364"/>
      <c r="BJ86" s="365"/>
      <c r="BK86" s="371">
        <f>'Degrémont Entrée'!BH86</f>
        <v>0</v>
      </c>
      <c r="BL86" s="372">
        <f>'Degrémont Entrée'!BI86</f>
        <v>0</v>
      </c>
    </row>
    <row r="87" spans="1:64" ht="15.75" customHeight="1" outlineLevel="1">
      <c r="A87" s="337">
        <f t="shared" si="18"/>
        <v>43539</v>
      </c>
      <c r="B87" s="338">
        <f>'Degrémont Entrée'!B87</f>
        <v>1081</v>
      </c>
      <c r="C87" s="339">
        <v>8.4</v>
      </c>
      <c r="D87" s="340">
        <v>89.7</v>
      </c>
      <c r="E87" s="341">
        <v>93.1</v>
      </c>
      <c r="F87" s="342">
        <v>100</v>
      </c>
      <c r="G87" s="329">
        <f t="shared" si="0"/>
        <v>33.999999999999915</v>
      </c>
      <c r="H87" s="338"/>
      <c r="I87" s="343">
        <v>1018</v>
      </c>
      <c r="J87" s="344">
        <f t="shared" si="2"/>
        <v>1100.4580000000001</v>
      </c>
      <c r="K87" s="343">
        <v>1</v>
      </c>
      <c r="L87" s="345">
        <v>0.85</v>
      </c>
      <c r="M87" s="346">
        <f t="shared" si="3"/>
        <v>0.85</v>
      </c>
      <c r="N87" s="338">
        <f t="shared" si="4"/>
        <v>0.91885000000000006</v>
      </c>
      <c r="O87" s="368"/>
      <c r="P87" s="347">
        <f t="shared" si="19"/>
        <v>0</v>
      </c>
      <c r="Q87" s="348"/>
      <c r="R87" s="369"/>
      <c r="S87" s="349">
        <f t="shared" si="20"/>
        <v>0</v>
      </c>
      <c r="T87" s="348"/>
      <c r="U87" s="369"/>
      <c r="V87" s="349">
        <f t="shared" si="5"/>
        <v>0</v>
      </c>
      <c r="W87" s="348"/>
      <c r="X87" s="318" t="str">
        <f t="shared" si="6"/>
        <v/>
      </c>
      <c r="Y87" s="370" t="e">
        <f t="shared" si="7"/>
        <v>#VALUE!</v>
      </c>
      <c r="Z87" s="343" t="s">
        <v>85</v>
      </c>
      <c r="AA87" s="345">
        <v>0.01</v>
      </c>
      <c r="AB87" s="352">
        <f t="shared" si="8"/>
        <v>5.4050000000000001E-3</v>
      </c>
      <c r="AC87" s="353"/>
      <c r="AD87" s="354"/>
      <c r="AE87" s="378" t="str">
        <f t="shared" si="21"/>
        <v/>
      </c>
      <c r="AF87" s="329"/>
      <c r="AG87" s="358"/>
      <c r="AH87" s="356" t="str">
        <f t="shared" si="22"/>
        <v/>
      </c>
      <c r="AI87" s="329"/>
      <c r="AJ87" s="329"/>
      <c r="AK87" s="356">
        <f t="shared" si="11"/>
        <v>0</v>
      </c>
      <c r="AL87" s="357"/>
      <c r="AM87" s="358"/>
      <c r="AN87" s="356">
        <f t="shared" si="12"/>
        <v>0</v>
      </c>
      <c r="AO87" s="329"/>
      <c r="AP87" s="358"/>
      <c r="AQ87" s="359">
        <f t="shared" si="13"/>
        <v>0</v>
      </c>
      <c r="AR87" s="360"/>
      <c r="AS87" s="358"/>
      <c r="AT87" s="356">
        <f t="shared" si="14"/>
        <v>0</v>
      </c>
      <c r="AU87" s="329"/>
      <c r="AV87" s="358"/>
      <c r="AW87" s="359">
        <f t="shared" si="15"/>
        <v>0</v>
      </c>
      <c r="AX87" s="329"/>
      <c r="AY87" s="358"/>
      <c r="AZ87" s="359">
        <f t="shared" si="16"/>
        <v>0</v>
      </c>
      <c r="BA87" s="329">
        <f>IF('Degrémont Entrée'!K87="",,('Degrémont Entrée'!K87-I87)/'Degrémont Entrée'!K87*100)</f>
        <v>76.281453867660758</v>
      </c>
      <c r="BB87" s="329">
        <f>IF('Degrémont Entrée'!G87="",,('Degrémont Entrée'!G87-G87)/'Degrémont Entrée'!G87*100)</f>
        <v>98.760820045558091</v>
      </c>
      <c r="BC87" s="329">
        <f>IF('Degrémont Entrée'!S87="",,('Degrémont Entrée'!S87-M87)/'Degrémont Entrée'!S87*100)</f>
        <v>99.273504273504273</v>
      </c>
      <c r="BD87" s="361" t="str">
        <f ca="1">IFERROR(__xludf.DUMMYFUNCTION("""COMPUTED_VALUE"""),"#DIV/0!")</f>
        <v>#DIV/0!</v>
      </c>
      <c r="BE87" s="362"/>
      <c r="BF87" s="363"/>
      <c r="BG87" s="363"/>
      <c r="BH87" s="338">
        <f t="shared" si="17"/>
        <v>0</v>
      </c>
      <c r="BI87" s="364"/>
      <c r="BJ87" s="365"/>
      <c r="BK87" s="366">
        <f>'Degrémont Entrée'!BH87</f>
        <v>0</v>
      </c>
      <c r="BL87" s="367">
        <f>'Degrémont Entrée'!BI87</f>
        <v>0</v>
      </c>
    </row>
    <row r="88" spans="1:64" ht="14.25" outlineLevel="1">
      <c r="A88" s="337">
        <f t="shared" si="18"/>
        <v>43540</v>
      </c>
      <c r="B88" s="338">
        <f>'Degrémont Entrée'!B88</f>
        <v>1272</v>
      </c>
      <c r="C88" s="339">
        <v>7.8</v>
      </c>
      <c r="D88" s="340">
        <v>88.8</v>
      </c>
      <c r="E88" s="341">
        <v>94</v>
      </c>
      <c r="F88" s="342">
        <v>100</v>
      </c>
      <c r="G88" s="329">
        <f t="shared" si="0"/>
        <v>52.000000000000028</v>
      </c>
      <c r="H88" s="338"/>
      <c r="I88" s="343">
        <v>972</v>
      </c>
      <c r="J88" s="344">
        <f t="shared" si="2"/>
        <v>1236.384</v>
      </c>
      <c r="K88" s="343">
        <v>1</v>
      </c>
      <c r="L88" s="345">
        <v>1.55</v>
      </c>
      <c r="M88" s="346">
        <f t="shared" si="3"/>
        <v>1.55</v>
      </c>
      <c r="N88" s="338">
        <f t="shared" si="4"/>
        <v>1.9716000000000002</v>
      </c>
      <c r="O88" s="368"/>
      <c r="P88" s="347">
        <f t="shared" si="19"/>
        <v>0</v>
      </c>
      <c r="Q88" s="348"/>
      <c r="R88" s="369"/>
      <c r="S88" s="349">
        <f t="shared" si="20"/>
        <v>0</v>
      </c>
      <c r="T88" s="348"/>
      <c r="U88" s="369"/>
      <c r="V88" s="349">
        <f t="shared" si="5"/>
        <v>0</v>
      </c>
      <c r="W88" s="348"/>
      <c r="X88" s="318" t="str">
        <f t="shared" si="6"/>
        <v/>
      </c>
      <c r="Y88" s="370" t="e">
        <f t="shared" si="7"/>
        <v>#VALUE!</v>
      </c>
      <c r="Z88" s="343" t="s">
        <v>85</v>
      </c>
      <c r="AA88" s="345">
        <v>0.01</v>
      </c>
      <c r="AB88" s="352">
        <f t="shared" si="8"/>
        <v>6.3600000000000002E-3</v>
      </c>
      <c r="AC88" s="353"/>
      <c r="AD88" s="354"/>
      <c r="AE88" s="378" t="str">
        <f t="shared" si="21"/>
        <v/>
      </c>
      <c r="AF88" s="329"/>
      <c r="AG88" s="358"/>
      <c r="AH88" s="356" t="str">
        <f t="shared" si="22"/>
        <v/>
      </c>
      <c r="AI88" s="329"/>
      <c r="AJ88" s="329"/>
      <c r="AK88" s="356">
        <f t="shared" si="11"/>
        <v>0</v>
      </c>
      <c r="AL88" s="357"/>
      <c r="AM88" s="358"/>
      <c r="AN88" s="356">
        <f t="shared" si="12"/>
        <v>0</v>
      </c>
      <c r="AO88" s="329"/>
      <c r="AP88" s="358"/>
      <c r="AQ88" s="359">
        <f t="shared" si="13"/>
        <v>0</v>
      </c>
      <c r="AR88" s="360"/>
      <c r="AS88" s="358"/>
      <c r="AT88" s="356">
        <f t="shared" si="14"/>
        <v>0</v>
      </c>
      <c r="AU88" s="329"/>
      <c r="AV88" s="358"/>
      <c r="AW88" s="359">
        <f t="shared" si="15"/>
        <v>0</v>
      </c>
      <c r="AX88" s="329"/>
      <c r="AY88" s="358"/>
      <c r="AZ88" s="359">
        <f t="shared" si="16"/>
        <v>0</v>
      </c>
      <c r="BA88" s="329">
        <f>IF('Degrémont Entrée'!K88="",,('Degrémont Entrée'!K88-I88)/'Degrémont Entrée'!K88*100)</f>
        <v>80.359668619923212</v>
      </c>
      <c r="BB88" s="329">
        <f>IF('Degrémont Entrée'!G88="",,('Degrémont Entrée'!G88-G88)/'Degrémont Entrée'!G88*100)</f>
        <v>98.478723404255319</v>
      </c>
      <c r="BC88" s="329">
        <f>IF('Degrémont Entrée'!S88="",,('Degrémont Entrée'!S88-M88)/'Degrémont Entrée'!S88*100)</f>
        <v>98.952702702702695</v>
      </c>
      <c r="BD88" s="361" t="str">
        <f ca="1">IFERROR(__xludf.DUMMYFUNCTION("""COMPUTED_VALUE"""),"#DIV/0!")</f>
        <v>#DIV/0!</v>
      </c>
      <c r="BE88" s="362"/>
      <c r="BF88" s="363"/>
      <c r="BG88" s="363"/>
      <c r="BH88" s="338">
        <f t="shared" si="17"/>
        <v>0</v>
      </c>
      <c r="BI88" s="364"/>
      <c r="BJ88" s="365"/>
      <c r="BK88" s="371">
        <f>'Degrémont Entrée'!BH88</f>
        <v>0</v>
      </c>
      <c r="BL88" s="372">
        <f>'Degrémont Entrée'!BI88</f>
        <v>0</v>
      </c>
    </row>
    <row r="89" spans="1:64" ht="15.75" customHeight="1" outlineLevel="1">
      <c r="A89" s="337">
        <f t="shared" si="18"/>
        <v>43541</v>
      </c>
      <c r="B89" s="338">
        <f>'Degrémont Entrée'!B89</f>
        <v>0</v>
      </c>
      <c r="C89" s="338"/>
      <c r="D89" s="388"/>
      <c r="E89" s="368"/>
      <c r="F89" s="342">
        <v>100</v>
      </c>
      <c r="G89" s="329">
        <f t="shared" si="0"/>
        <v>0</v>
      </c>
      <c r="H89" s="338"/>
      <c r="I89" s="346"/>
      <c r="J89" s="344">
        <f t="shared" si="2"/>
        <v>0</v>
      </c>
      <c r="K89" s="343">
        <v>1</v>
      </c>
      <c r="L89" s="329"/>
      <c r="M89" s="346" t="str">
        <f t="shared" si="3"/>
        <v/>
      </c>
      <c r="N89" s="338" t="e">
        <f t="shared" si="4"/>
        <v>#VALUE!</v>
      </c>
      <c r="O89" s="368"/>
      <c r="P89" s="347">
        <f t="shared" si="19"/>
        <v>0</v>
      </c>
      <c r="Q89" s="348"/>
      <c r="R89" s="369"/>
      <c r="S89" s="349">
        <f t="shared" si="20"/>
        <v>0</v>
      </c>
      <c r="T89" s="348"/>
      <c r="U89" s="369"/>
      <c r="V89" s="349">
        <f t="shared" si="5"/>
        <v>0</v>
      </c>
      <c r="W89" s="348"/>
      <c r="X89" s="318" t="str">
        <f t="shared" si="6"/>
        <v/>
      </c>
      <c r="Y89" s="370" t="e">
        <f t="shared" si="7"/>
        <v>#VALUE!</v>
      </c>
      <c r="Z89" s="346"/>
      <c r="AA89" s="329"/>
      <c r="AB89" s="352">
        <f t="shared" si="8"/>
        <v>0</v>
      </c>
      <c r="AC89" s="353"/>
      <c r="AD89" s="354"/>
      <c r="AE89" s="378" t="str">
        <f t="shared" si="21"/>
        <v/>
      </c>
      <c r="AF89" s="329"/>
      <c r="AG89" s="358"/>
      <c r="AH89" s="356" t="str">
        <f t="shared" si="22"/>
        <v/>
      </c>
      <c r="AI89" s="329"/>
      <c r="AJ89" s="329"/>
      <c r="AK89" s="356">
        <f t="shared" si="11"/>
        <v>0</v>
      </c>
      <c r="AL89" s="357"/>
      <c r="AM89" s="358"/>
      <c r="AN89" s="356">
        <f t="shared" si="12"/>
        <v>0</v>
      </c>
      <c r="AO89" s="329"/>
      <c r="AP89" s="358"/>
      <c r="AQ89" s="359">
        <f t="shared" si="13"/>
        <v>0</v>
      </c>
      <c r="AR89" s="360"/>
      <c r="AS89" s="358"/>
      <c r="AT89" s="356">
        <f t="shared" si="14"/>
        <v>0</v>
      </c>
      <c r="AU89" s="329"/>
      <c r="AV89" s="358"/>
      <c r="AW89" s="359">
        <f t="shared" si="15"/>
        <v>0</v>
      </c>
      <c r="AX89" s="329"/>
      <c r="AY89" s="358"/>
      <c r="AZ89" s="359">
        <f t="shared" si="16"/>
        <v>0</v>
      </c>
      <c r="BA89" s="329" t="e">
        <f>IF('Degrémont Entrée'!K89="",,('Degrémont Entrée'!K89-I89)/'Degrémont Entrée'!K89*100)</f>
        <v>#DIV/0!</v>
      </c>
      <c r="BB89" s="329" t="e">
        <f>IF('Degrémont Entrée'!G89="",,('Degrémont Entrée'!G89-G89)/'Degrémont Entrée'!G89*100)</f>
        <v>#DIV/0!</v>
      </c>
      <c r="BC89" s="329">
        <f>IF('Degrémont Entrée'!S89="",,('Degrémont Entrée'!S89-M89)/'Degrémont Entrée'!S89*100)</f>
        <v>0</v>
      </c>
      <c r="BD89" s="361" t="str">
        <f ca="1">IFERROR(__xludf.DUMMYFUNCTION("""COMPUTED_VALUE"""),"#DIV/0!")</f>
        <v>#DIV/0!</v>
      </c>
      <c r="BE89" s="362"/>
      <c r="BF89" s="363"/>
      <c r="BG89" s="363"/>
      <c r="BH89" s="338">
        <f t="shared" si="17"/>
        <v>0</v>
      </c>
      <c r="BI89" s="364"/>
      <c r="BJ89" s="365"/>
      <c r="BK89" s="366">
        <f>'Degrémont Entrée'!BH89</f>
        <v>0</v>
      </c>
      <c r="BL89" s="367" t="str">
        <f>'Degrémont Entrée'!BI89</f>
        <v>Transfert B04 vers B01 0h30</v>
      </c>
    </row>
    <row r="90" spans="1:64" ht="14.25" outlineLevel="1">
      <c r="A90" s="337">
        <f t="shared" si="18"/>
        <v>43542</v>
      </c>
      <c r="B90" s="338">
        <f>'Degrémont Entrée'!B90</f>
        <v>873</v>
      </c>
      <c r="C90" s="339">
        <v>8.8000000000000007</v>
      </c>
      <c r="D90" s="340">
        <v>90.6</v>
      </c>
      <c r="E90" s="341">
        <v>94.4</v>
      </c>
      <c r="F90" s="342">
        <v>100</v>
      </c>
      <c r="G90" s="329">
        <f t="shared" si="0"/>
        <v>38.000000000000114</v>
      </c>
      <c r="H90" s="338"/>
      <c r="I90" s="343">
        <v>1066</v>
      </c>
      <c r="J90" s="344">
        <f t="shared" si="2"/>
        <v>930.61800000000005</v>
      </c>
      <c r="K90" s="343">
        <v>1</v>
      </c>
      <c r="L90" s="345">
        <v>1.1399999999999999</v>
      </c>
      <c r="M90" s="346">
        <f t="shared" si="3"/>
        <v>1.1399999999999999</v>
      </c>
      <c r="N90" s="338">
        <f t="shared" si="4"/>
        <v>0.99521999999999988</v>
      </c>
      <c r="O90" s="368"/>
      <c r="P90" s="347">
        <f t="shared" si="19"/>
        <v>0</v>
      </c>
      <c r="Q90" s="348"/>
      <c r="R90" s="369"/>
      <c r="S90" s="349">
        <f t="shared" si="20"/>
        <v>0</v>
      </c>
      <c r="T90" s="348"/>
      <c r="U90" s="369"/>
      <c r="V90" s="349">
        <f t="shared" si="5"/>
        <v>0</v>
      </c>
      <c r="W90" s="348"/>
      <c r="X90" s="318" t="str">
        <f t="shared" si="6"/>
        <v/>
      </c>
      <c r="Y90" s="370" t="e">
        <f t="shared" si="7"/>
        <v>#VALUE!</v>
      </c>
      <c r="Z90" s="343" t="s">
        <v>85</v>
      </c>
      <c r="AA90" s="345">
        <v>0.01</v>
      </c>
      <c r="AB90" s="352">
        <f t="shared" si="8"/>
        <v>4.365E-3</v>
      </c>
      <c r="AC90" s="353"/>
      <c r="AD90" s="354"/>
      <c r="AE90" s="378" t="str">
        <f t="shared" si="21"/>
        <v/>
      </c>
      <c r="AF90" s="329"/>
      <c r="AG90" s="358"/>
      <c r="AH90" s="356" t="str">
        <f t="shared" si="22"/>
        <v/>
      </c>
      <c r="AI90" s="329"/>
      <c r="AJ90" s="329"/>
      <c r="AK90" s="356">
        <f t="shared" si="11"/>
        <v>0</v>
      </c>
      <c r="AL90" s="357"/>
      <c r="AM90" s="358"/>
      <c r="AN90" s="356">
        <f t="shared" si="12"/>
        <v>0</v>
      </c>
      <c r="AO90" s="329"/>
      <c r="AP90" s="358"/>
      <c r="AQ90" s="359">
        <f t="shared" si="13"/>
        <v>0</v>
      </c>
      <c r="AR90" s="360"/>
      <c r="AS90" s="358"/>
      <c r="AT90" s="356">
        <f t="shared" si="14"/>
        <v>0</v>
      </c>
      <c r="AU90" s="329"/>
      <c r="AV90" s="358"/>
      <c r="AW90" s="359">
        <f t="shared" si="15"/>
        <v>0</v>
      </c>
      <c r="AX90" s="329"/>
      <c r="AY90" s="358"/>
      <c r="AZ90" s="359">
        <f t="shared" si="16"/>
        <v>0</v>
      </c>
      <c r="BA90" s="329">
        <f>IF('Degrémont Entrée'!K90="",,('Degrémont Entrée'!K90-I90)/'Degrémont Entrée'!K90*100)</f>
        <v>69.056603773584897</v>
      </c>
      <c r="BB90" s="329">
        <f>IF('Degrémont Entrée'!G90="",,('Degrémont Entrée'!G90-G90)/'Degrémont Entrée'!G90*100)</f>
        <v>97.937584803256456</v>
      </c>
      <c r="BC90" s="329">
        <f>IF('Degrémont Entrée'!S90="",,('Degrémont Entrée'!S90-M90)/'Degrémont Entrée'!S90*100)</f>
        <v>98.364418938307026</v>
      </c>
      <c r="BD90" s="361" t="str">
        <f ca="1">IFERROR(__xludf.DUMMYFUNCTION("""COMPUTED_VALUE"""),"#DIV/0!")</f>
        <v>#DIV/0!</v>
      </c>
      <c r="BE90" s="362"/>
      <c r="BF90" s="363"/>
      <c r="BG90" s="363"/>
      <c r="BH90" s="338">
        <f t="shared" si="17"/>
        <v>0</v>
      </c>
      <c r="BI90" s="364"/>
      <c r="BJ90" s="365"/>
      <c r="BK90" s="371">
        <f>'Degrémont Entrée'!BH90</f>
        <v>0</v>
      </c>
      <c r="BL90" s="372" t="str">
        <f>'Degrémont Entrée'!BI90</f>
        <v>Transfert B04 vers B01 2h56</v>
      </c>
    </row>
    <row r="91" spans="1:64" ht="15.75" customHeight="1" outlineLevel="1">
      <c r="A91" s="337">
        <f t="shared" si="18"/>
        <v>43543</v>
      </c>
      <c r="B91" s="338">
        <f>'Degrémont Entrée'!B91</f>
        <v>1143</v>
      </c>
      <c r="C91" s="339">
        <v>8.4</v>
      </c>
      <c r="D91" s="340">
        <v>89.4</v>
      </c>
      <c r="E91" s="341">
        <v>93</v>
      </c>
      <c r="F91" s="342">
        <v>100</v>
      </c>
      <c r="G91" s="329">
        <f t="shared" si="0"/>
        <v>35.999999999999943</v>
      </c>
      <c r="H91" s="338"/>
      <c r="I91" s="343">
        <v>1399</v>
      </c>
      <c r="J91" s="344">
        <f t="shared" si="2"/>
        <v>1599.057</v>
      </c>
      <c r="K91" s="343">
        <v>1</v>
      </c>
      <c r="L91" s="345">
        <v>1.47</v>
      </c>
      <c r="M91" s="346">
        <f t="shared" si="3"/>
        <v>1.47</v>
      </c>
      <c r="N91" s="338">
        <f t="shared" si="4"/>
        <v>1.68021</v>
      </c>
      <c r="O91" s="341">
        <v>17.2</v>
      </c>
      <c r="P91" s="347">
        <f t="shared" si="19"/>
        <v>19.659599999999998</v>
      </c>
      <c r="Q91" s="348"/>
      <c r="R91" s="369"/>
      <c r="S91" s="349">
        <f t="shared" si="20"/>
        <v>0</v>
      </c>
      <c r="T91" s="348"/>
      <c r="U91" s="369"/>
      <c r="V91" s="349">
        <f t="shared" si="5"/>
        <v>0</v>
      </c>
      <c r="W91" s="348"/>
      <c r="X91" s="318">
        <f t="shared" si="6"/>
        <v>17.2</v>
      </c>
      <c r="Y91" s="370">
        <f t="shared" si="7"/>
        <v>19.659599999999998</v>
      </c>
      <c r="Z91" s="343" t="s">
        <v>85</v>
      </c>
      <c r="AA91" s="345">
        <v>0.01</v>
      </c>
      <c r="AB91" s="352">
        <f t="shared" si="8"/>
        <v>5.7149999999999996E-3</v>
      </c>
      <c r="AC91" s="353"/>
      <c r="AD91" s="354"/>
      <c r="AE91" s="378" t="str">
        <f t="shared" si="21"/>
        <v/>
      </c>
      <c r="AF91" s="329"/>
      <c r="AG91" s="355">
        <v>0.37</v>
      </c>
      <c r="AH91" s="356">
        <f t="shared" si="22"/>
        <v>2.3594900000000001</v>
      </c>
      <c r="AI91" s="329"/>
      <c r="AJ91" s="345">
        <v>0.53</v>
      </c>
      <c r="AK91" s="356">
        <f t="shared" si="11"/>
        <v>0.60579000000000005</v>
      </c>
      <c r="AL91" s="357"/>
      <c r="AM91" s="355">
        <v>0.08</v>
      </c>
      <c r="AN91" s="356">
        <f t="shared" si="12"/>
        <v>9.1439999999999994E-2</v>
      </c>
      <c r="AO91" s="329"/>
      <c r="AP91" s="355">
        <v>0.33</v>
      </c>
      <c r="AQ91" s="359">
        <f t="shared" si="13"/>
        <v>0.37719000000000003</v>
      </c>
      <c r="AR91" s="360"/>
      <c r="AS91" s="355">
        <v>0.5</v>
      </c>
      <c r="AT91" s="356">
        <f t="shared" si="14"/>
        <v>0.57150000000000001</v>
      </c>
      <c r="AU91" s="345" t="s">
        <v>85</v>
      </c>
      <c r="AV91" s="355">
        <v>0.15</v>
      </c>
      <c r="AW91" s="359">
        <f t="shared" si="15"/>
        <v>8.5724999999999996E-2</v>
      </c>
      <c r="AX91" s="345" t="s">
        <v>85</v>
      </c>
      <c r="AY91" s="355">
        <v>0.13</v>
      </c>
      <c r="AZ91" s="359">
        <f t="shared" si="16"/>
        <v>7.4295E-2</v>
      </c>
      <c r="BA91" s="329">
        <f>IF('Degrémont Entrée'!K91="",,('Degrémont Entrée'!K91-I91)/'Degrémont Entrée'!K91*100)</f>
        <v>71.273100616016421</v>
      </c>
      <c r="BB91" s="329">
        <f>IF('Degrémont Entrée'!G91="",,('Degrémont Entrée'!G91-G91)/'Degrémont Entrée'!G91*100)</f>
        <v>98.645343367826911</v>
      </c>
      <c r="BC91" s="329">
        <f>IF('Degrémont Entrée'!S91="",,('Degrémont Entrée'!S91-M91)/'Degrémont Entrée'!S91*100)</f>
        <v>98.327645051194551</v>
      </c>
      <c r="BD91" s="361" t="str">
        <f ca="1">IFERROR(__xludf.DUMMYFUNCTION("""COMPUTED_VALUE"""),"#DIV/0!")</f>
        <v>#DIV/0!</v>
      </c>
      <c r="BE91" s="362"/>
      <c r="BF91" s="363"/>
      <c r="BG91" s="363"/>
      <c r="BH91" s="338">
        <f t="shared" si="17"/>
        <v>0</v>
      </c>
      <c r="BI91" s="364"/>
      <c r="BJ91" s="365"/>
      <c r="BK91" s="366">
        <f>'Degrémont Entrée'!BH91</f>
        <v>0</v>
      </c>
      <c r="BL91" s="367" t="str">
        <f>'Degrémont Entrée'!BI91</f>
        <v>Décanteur trouble Vidange décanteur P21 Coag bouché</v>
      </c>
    </row>
    <row r="92" spans="1:64" ht="24" outlineLevel="1">
      <c r="A92" s="337">
        <f t="shared" si="18"/>
        <v>43544</v>
      </c>
      <c r="B92" s="338">
        <f>'Degrémont Entrée'!B92</f>
        <v>1034</v>
      </c>
      <c r="C92" s="339">
        <v>8.6999999999999993</v>
      </c>
      <c r="D92" s="340">
        <v>88.7</v>
      </c>
      <c r="E92" s="341">
        <v>91.5</v>
      </c>
      <c r="F92" s="342">
        <v>100</v>
      </c>
      <c r="G92" s="329">
        <f t="shared" si="0"/>
        <v>27.999999999999972</v>
      </c>
      <c r="H92" s="338"/>
      <c r="I92" s="343">
        <v>1039</v>
      </c>
      <c r="J92" s="344">
        <f t="shared" si="2"/>
        <v>1074.326</v>
      </c>
      <c r="K92" s="343">
        <v>1</v>
      </c>
      <c r="L92" s="345">
        <v>0.85</v>
      </c>
      <c r="M92" s="346">
        <f t="shared" si="3"/>
        <v>0.85</v>
      </c>
      <c r="N92" s="338">
        <f t="shared" si="4"/>
        <v>0.87890000000000001</v>
      </c>
      <c r="O92" s="368"/>
      <c r="P92" s="347">
        <f t="shared" si="19"/>
        <v>0</v>
      </c>
      <c r="Q92" s="348"/>
      <c r="R92" s="369"/>
      <c r="S92" s="349">
        <f t="shared" si="20"/>
        <v>0</v>
      </c>
      <c r="T92" s="348"/>
      <c r="U92" s="369"/>
      <c r="V92" s="349">
        <f t="shared" si="5"/>
        <v>0</v>
      </c>
      <c r="W92" s="348"/>
      <c r="X92" s="318" t="str">
        <f t="shared" si="6"/>
        <v/>
      </c>
      <c r="Y92" s="370" t="e">
        <f t="shared" si="7"/>
        <v>#VALUE!</v>
      </c>
      <c r="Z92" s="343" t="s">
        <v>85</v>
      </c>
      <c r="AA92" s="345">
        <v>0.01</v>
      </c>
      <c r="AB92" s="352">
        <f t="shared" si="8"/>
        <v>5.1700000000000001E-3</v>
      </c>
      <c r="AC92" s="353"/>
      <c r="AD92" s="354"/>
      <c r="AE92" s="378" t="str">
        <f t="shared" si="21"/>
        <v/>
      </c>
      <c r="AF92" s="329"/>
      <c r="AG92" s="358"/>
      <c r="AH92" s="356" t="str">
        <f t="shared" si="22"/>
        <v/>
      </c>
      <c r="AI92" s="329"/>
      <c r="AJ92" s="329"/>
      <c r="AK92" s="356">
        <f t="shared" si="11"/>
        <v>0</v>
      </c>
      <c r="AL92" s="357"/>
      <c r="AM92" s="358"/>
      <c r="AN92" s="356">
        <f t="shared" si="12"/>
        <v>0</v>
      </c>
      <c r="AO92" s="329"/>
      <c r="AP92" s="358"/>
      <c r="AQ92" s="359">
        <f t="shared" si="13"/>
        <v>0</v>
      </c>
      <c r="AR92" s="360"/>
      <c r="AS92" s="358"/>
      <c r="AT92" s="356">
        <f t="shared" si="14"/>
        <v>0</v>
      </c>
      <c r="AU92" s="329"/>
      <c r="AV92" s="358"/>
      <c r="AW92" s="359">
        <f t="shared" si="15"/>
        <v>0</v>
      </c>
      <c r="AX92" s="329"/>
      <c r="AY92" s="358"/>
      <c r="AZ92" s="359">
        <f t="shared" si="16"/>
        <v>0</v>
      </c>
      <c r="BA92" s="329">
        <f>IF('Degrémont Entrée'!K92="",,('Degrémont Entrée'!K92-I92)/'Degrémont Entrée'!K92*100)</f>
        <v>66.826309067688385</v>
      </c>
      <c r="BB92" s="329">
        <f>IF('Degrémont Entrée'!G92="",,('Degrémont Entrée'!G92-G92)/'Degrémont Entrée'!G92*100)</f>
        <v>98.148760330578511</v>
      </c>
      <c r="BC92" s="329">
        <f>IF('Degrémont Entrée'!S92="",,('Degrémont Entrée'!S92-M92)/'Degrémont Entrée'!S92*100)</f>
        <v>98.863636363636374</v>
      </c>
      <c r="BD92" s="361" t="str">
        <f ca="1">IFERROR(__xludf.DUMMYFUNCTION("""COMPUTED_VALUE"""),"#DIV/0!")</f>
        <v>#DIV/0!</v>
      </c>
      <c r="BE92" s="386">
        <v>22.432500000000001</v>
      </c>
      <c r="BF92" s="387">
        <v>38.308</v>
      </c>
      <c r="BG92" s="387">
        <v>31.25</v>
      </c>
      <c r="BH92" s="338">
        <f t="shared" si="17"/>
        <v>55.541557746212717</v>
      </c>
      <c r="BI92" s="364"/>
      <c r="BJ92" s="365"/>
      <c r="BK92" s="371">
        <f>'Degrémont Entrée'!BH92</f>
        <v>0</v>
      </c>
      <c r="BL92" s="372" t="str">
        <f>'Degrémont Entrée'!BI92</f>
        <v>Transfert B04 vers B01 1H 20 Big bags 1 rectifs Changement 3vannes entrée B01</v>
      </c>
    </row>
    <row r="93" spans="1:64" ht="15.75" customHeight="1" outlineLevel="1">
      <c r="A93" s="337">
        <f t="shared" si="18"/>
        <v>43545</v>
      </c>
      <c r="B93" s="338">
        <f>'Degrémont Entrée'!B93</f>
        <v>1065</v>
      </c>
      <c r="C93" s="339">
        <v>8.66</v>
      </c>
      <c r="D93" s="340">
        <v>89.7</v>
      </c>
      <c r="E93" s="341">
        <v>91.8</v>
      </c>
      <c r="F93" s="342">
        <v>100</v>
      </c>
      <c r="G93" s="329">
        <f t="shared" si="0"/>
        <v>20.999999999999947</v>
      </c>
      <c r="H93" s="338"/>
      <c r="I93" s="343">
        <v>738</v>
      </c>
      <c r="J93" s="344">
        <f t="shared" si="2"/>
        <v>785.97</v>
      </c>
      <c r="K93" s="343">
        <v>1</v>
      </c>
      <c r="L93" s="345">
        <v>0.83</v>
      </c>
      <c r="M93" s="346">
        <f t="shared" si="3"/>
        <v>0.83</v>
      </c>
      <c r="N93" s="338">
        <f t="shared" si="4"/>
        <v>0.8839499999999999</v>
      </c>
      <c r="O93" s="368"/>
      <c r="P93" s="347">
        <f t="shared" si="19"/>
        <v>0</v>
      </c>
      <c r="Q93" s="348"/>
      <c r="R93" s="369"/>
      <c r="S93" s="349">
        <f t="shared" si="20"/>
        <v>0</v>
      </c>
      <c r="T93" s="348"/>
      <c r="U93" s="369"/>
      <c r="V93" s="349">
        <f t="shared" si="5"/>
        <v>0</v>
      </c>
      <c r="W93" s="348"/>
      <c r="X93" s="318" t="str">
        <f t="shared" si="6"/>
        <v/>
      </c>
      <c r="Y93" s="370" t="e">
        <f t="shared" si="7"/>
        <v>#VALUE!</v>
      </c>
      <c r="Z93" s="343" t="s">
        <v>85</v>
      </c>
      <c r="AA93" s="345">
        <v>0.01</v>
      </c>
      <c r="AB93" s="352">
        <f t="shared" si="8"/>
        <v>5.3249999999999999E-3</v>
      </c>
      <c r="AC93" s="353"/>
      <c r="AD93" s="354"/>
      <c r="AE93" s="378" t="str">
        <f t="shared" si="21"/>
        <v/>
      </c>
      <c r="AF93" s="329"/>
      <c r="AG93" s="358"/>
      <c r="AH93" s="356" t="str">
        <f t="shared" si="22"/>
        <v/>
      </c>
      <c r="AI93" s="329"/>
      <c r="AJ93" s="329"/>
      <c r="AK93" s="356">
        <f t="shared" si="11"/>
        <v>0</v>
      </c>
      <c r="AL93" s="357"/>
      <c r="AM93" s="358"/>
      <c r="AN93" s="356">
        <f t="shared" si="12"/>
        <v>0</v>
      </c>
      <c r="AO93" s="329"/>
      <c r="AP93" s="358"/>
      <c r="AQ93" s="359">
        <f t="shared" si="13"/>
        <v>0</v>
      </c>
      <c r="AR93" s="360"/>
      <c r="AS93" s="358"/>
      <c r="AT93" s="356">
        <f t="shared" si="14"/>
        <v>0</v>
      </c>
      <c r="AU93" s="329"/>
      <c r="AV93" s="358"/>
      <c r="AW93" s="359">
        <f t="shared" si="15"/>
        <v>0</v>
      </c>
      <c r="AX93" s="329"/>
      <c r="AY93" s="358"/>
      <c r="AZ93" s="359">
        <f t="shared" si="16"/>
        <v>0</v>
      </c>
      <c r="BA93" s="329">
        <f>IF('Degrémont Entrée'!K93="",,('Degrémont Entrée'!K93-I93)/'Degrémont Entrée'!K93*100)</f>
        <v>80.821205821205822</v>
      </c>
      <c r="BB93" s="329">
        <f>IF('Degrémont Entrée'!G93="",,('Degrémont Entrée'!G93-G93)/'Degrémont Entrée'!G93*100)</f>
        <v>99.139632107023417</v>
      </c>
      <c r="BC93" s="329">
        <f>IF('Degrémont Entrée'!S93="",,('Degrémont Entrée'!S93-M93)/'Degrémont Entrée'!S93*100)</f>
        <v>98.965087281795519</v>
      </c>
      <c r="BD93" s="361" t="str">
        <f ca="1">IFERROR(__xludf.DUMMYFUNCTION("""COMPUTED_VALUE"""),"#DIV/0!")</f>
        <v>#DIV/0!</v>
      </c>
      <c r="BE93" s="362"/>
      <c r="BF93" s="363"/>
      <c r="BG93" s="363"/>
      <c r="BH93" s="338">
        <f t="shared" si="17"/>
        <v>0</v>
      </c>
      <c r="BI93" s="364"/>
      <c r="BJ93" s="365"/>
      <c r="BK93" s="366">
        <f>'Degrémont Entrée'!BH93</f>
        <v>0</v>
      </c>
      <c r="BL93" s="367" t="str">
        <f>'Degrémont Entrée'!BI93</f>
        <v>Transfert B04 vers B01 0h30 21Big bags</v>
      </c>
    </row>
    <row r="94" spans="1:64" ht="14.25" outlineLevel="1">
      <c r="A94" s="337">
        <f t="shared" si="18"/>
        <v>43546</v>
      </c>
      <c r="B94" s="338">
        <f>'Degrémont Entrée'!B94</f>
        <v>1037</v>
      </c>
      <c r="C94" s="339">
        <v>9</v>
      </c>
      <c r="D94" s="340">
        <v>91.2</v>
      </c>
      <c r="E94" s="341">
        <v>94.3</v>
      </c>
      <c r="F94" s="342">
        <v>100</v>
      </c>
      <c r="G94" s="329">
        <f t="shared" si="0"/>
        <v>30.999999999999947</v>
      </c>
      <c r="H94" s="338"/>
      <c r="I94" s="343">
        <v>722</v>
      </c>
      <c r="J94" s="344">
        <f t="shared" si="2"/>
        <v>748.71400000000006</v>
      </c>
      <c r="K94" s="343">
        <v>1</v>
      </c>
      <c r="L94" s="345">
        <v>1.05</v>
      </c>
      <c r="M94" s="346">
        <f t="shared" si="3"/>
        <v>1.05</v>
      </c>
      <c r="N94" s="338">
        <f t="shared" si="4"/>
        <v>1.0888500000000001</v>
      </c>
      <c r="O94" s="368"/>
      <c r="P94" s="347">
        <f t="shared" si="19"/>
        <v>0</v>
      </c>
      <c r="Q94" s="348"/>
      <c r="R94" s="369"/>
      <c r="S94" s="349">
        <f t="shared" si="20"/>
        <v>0</v>
      </c>
      <c r="T94" s="348"/>
      <c r="U94" s="369"/>
      <c r="V94" s="349">
        <f t="shared" si="5"/>
        <v>0</v>
      </c>
      <c r="W94" s="348"/>
      <c r="X94" s="318" t="str">
        <f t="shared" si="6"/>
        <v/>
      </c>
      <c r="Y94" s="370" t="e">
        <f t="shared" si="7"/>
        <v>#VALUE!</v>
      </c>
      <c r="Z94" s="343" t="s">
        <v>85</v>
      </c>
      <c r="AA94" s="345">
        <v>0.1</v>
      </c>
      <c r="AB94" s="352">
        <f t="shared" si="8"/>
        <v>5.185E-2</v>
      </c>
      <c r="AC94" s="353"/>
      <c r="AD94" s="354"/>
      <c r="AE94" s="378" t="str">
        <f t="shared" si="21"/>
        <v/>
      </c>
      <c r="AF94" s="329"/>
      <c r="AG94" s="358"/>
      <c r="AH94" s="356" t="str">
        <f t="shared" si="22"/>
        <v/>
      </c>
      <c r="AI94" s="329"/>
      <c r="AJ94" s="329"/>
      <c r="AK94" s="356">
        <f t="shared" si="11"/>
        <v>0</v>
      </c>
      <c r="AL94" s="357"/>
      <c r="AM94" s="358"/>
      <c r="AN94" s="356">
        <f t="shared" si="12"/>
        <v>0</v>
      </c>
      <c r="AO94" s="329"/>
      <c r="AP94" s="358"/>
      <c r="AQ94" s="359">
        <f t="shared" si="13"/>
        <v>0</v>
      </c>
      <c r="AR94" s="360"/>
      <c r="AS94" s="358"/>
      <c r="AT94" s="356">
        <f t="shared" si="14"/>
        <v>0</v>
      </c>
      <c r="AU94" s="329"/>
      <c r="AV94" s="358"/>
      <c r="AW94" s="359">
        <f t="shared" si="15"/>
        <v>0</v>
      </c>
      <c r="AX94" s="329"/>
      <c r="AY94" s="358"/>
      <c r="AZ94" s="359">
        <f t="shared" si="16"/>
        <v>0</v>
      </c>
      <c r="BA94" s="329">
        <f>IF('Degrémont Entrée'!K94="",,('Degrémont Entrée'!K94-I94)/'Degrémont Entrée'!K94*100)</f>
        <v>83.107159569489937</v>
      </c>
      <c r="BB94" s="329">
        <f>IF('Degrémont Entrée'!G94="",,('Degrémont Entrée'!G94-G94)/'Degrémont Entrée'!G94*100)</f>
        <v>98.80440771349862</v>
      </c>
      <c r="BC94" s="329">
        <f>IF('Degrémont Entrée'!S94="",,('Degrémont Entrée'!S94-M94)/'Degrémont Entrée'!S94*100)</f>
        <v>99.264448336252173</v>
      </c>
      <c r="BD94" s="361" t="str">
        <f ca="1">IFERROR(__xludf.DUMMYFUNCTION("""COMPUTED_VALUE"""),"#DIV/0!")</f>
        <v>#DIV/0!</v>
      </c>
      <c r="BE94" s="362"/>
      <c r="BF94" s="363"/>
      <c r="BG94" s="363"/>
      <c r="BH94" s="338">
        <f t="shared" si="17"/>
        <v>0</v>
      </c>
      <c r="BI94" s="364"/>
      <c r="BJ94" s="365"/>
      <c r="BK94" s="371">
        <f>'Degrémont Entrée'!BH94</f>
        <v>0</v>
      </c>
      <c r="BL94" s="372" t="str">
        <f>'Degrémont Entrée'!BI94</f>
        <v>Transfert B04 vers B01 0h30</v>
      </c>
    </row>
    <row r="95" spans="1:64" ht="15.75" customHeight="1" outlineLevel="1">
      <c r="A95" s="337">
        <f t="shared" si="18"/>
        <v>43547</v>
      </c>
      <c r="B95" s="338">
        <f>'Degrémont Entrée'!B95</f>
        <v>925</v>
      </c>
      <c r="C95" s="339">
        <v>7.9</v>
      </c>
      <c r="D95" s="340">
        <v>90.2</v>
      </c>
      <c r="E95" s="341">
        <v>96.8</v>
      </c>
      <c r="F95" s="342">
        <v>100</v>
      </c>
      <c r="G95" s="329">
        <f t="shared" si="0"/>
        <v>65.999999999999943</v>
      </c>
      <c r="H95" s="338"/>
      <c r="I95" s="343">
        <v>1068</v>
      </c>
      <c r="J95" s="344">
        <f t="shared" si="2"/>
        <v>987.9</v>
      </c>
      <c r="K95" s="343">
        <v>1</v>
      </c>
      <c r="L95" s="345">
        <v>2.97</v>
      </c>
      <c r="M95" s="346">
        <f t="shared" si="3"/>
        <v>2.97</v>
      </c>
      <c r="N95" s="338">
        <f t="shared" si="4"/>
        <v>2.7472500000000002</v>
      </c>
      <c r="O95" s="368"/>
      <c r="P95" s="347">
        <f t="shared" si="19"/>
        <v>0</v>
      </c>
      <c r="Q95" s="348"/>
      <c r="R95" s="369"/>
      <c r="S95" s="349">
        <f t="shared" si="20"/>
        <v>0</v>
      </c>
      <c r="T95" s="348"/>
      <c r="U95" s="369"/>
      <c r="V95" s="349">
        <f t="shared" si="5"/>
        <v>0</v>
      </c>
      <c r="W95" s="348"/>
      <c r="X95" s="318" t="str">
        <f t="shared" si="6"/>
        <v/>
      </c>
      <c r="Y95" s="370" t="e">
        <f t="shared" si="7"/>
        <v>#VALUE!</v>
      </c>
      <c r="Z95" s="343" t="s">
        <v>85</v>
      </c>
      <c r="AA95" s="345">
        <v>0.01</v>
      </c>
      <c r="AB95" s="352">
        <f t="shared" si="8"/>
        <v>4.6249999999999998E-3</v>
      </c>
      <c r="AC95" s="353"/>
      <c r="AD95" s="354"/>
      <c r="AE95" s="378" t="str">
        <f t="shared" si="21"/>
        <v/>
      </c>
      <c r="AF95" s="329"/>
      <c r="AG95" s="358"/>
      <c r="AH95" s="356" t="str">
        <f t="shared" si="22"/>
        <v/>
      </c>
      <c r="AI95" s="329"/>
      <c r="AJ95" s="329"/>
      <c r="AK95" s="356">
        <f t="shared" si="11"/>
        <v>0</v>
      </c>
      <c r="AL95" s="357"/>
      <c r="AM95" s="358"/>
      <c r="AN95" s="356">
        <f t="shared" si="12"/>
        <v>0</v>
      </c>
      <c r="AO95" s="329"/>
      <c r="AP95" s="358"/>
      <c r="AQ95" s="359">
        <f t="shared" si="13"/>
        <v>0</v>
      </c>
      <c r="AR95" s="360"/>
      <c r="AS95" s="358"/>
      <c r="AT95" s="356">
        <f t="shared" si="14"/>
        <v>0</v>
      </c>
      <c r="AU95" s="329"/>
      <c r="AV95" s="358"/>
      <c r="AW95" s="359">
        <f t="shared" si="15"/>
        <v>0</v>
      </c>
      <c r="AX95" s="329"/>
      <c r="AY95" s="358"/>
      <c r="AZ95" s="359">
        <f t="shared" si="16"/>
        <v>0</v>
      </c>
      <c r="BA95" s="329">
        <f>IF('Degrémont Entrée'!K95="",,('Degrémont Entrée'!K95-I95)/'Degrémont Entrée'!K95*100)</f>
        <v>93.826589595375722</v>
      </c>
      <c r="BB95" s="329">
        <f>IF('Degrémont Entrée'!G95="",,('Degrémont Entrée'!G95-G95)/'Degrémont Entrée'!G95*100)</f>
        <v>99.464257659073056</v>
      </c>
      <c r="BC95" s="329">
        <f>IF('Degrémont Entrée'!S95="",,('Degrémont Entrée'!S95-M95)/'Degrémont Entrée'!S95*100)</f>
        <v>99.301176470588231</v>
      </c>
      <c r="BD95" s="361" t="str">
        <f ca="1">IFERROR(__xludf.DUMMYFUNCTION("""COMPUTED_VALUE"""),"#DIV/0!")</f>
        <v>#DIV/0!</v>
      </c>
      <c r="BE95" s="362"/>
      <c r="BF95" s="363"/>
      <c r="BG95" s="363"/>
      <c r="BH95" s="338">
        <f t="shared" si="17"/>
        <v>0</v>
      </c>
      <c r="BI95" s="364" t="s">
        <v>198</v>
      </c>
      <c r="BJ95" s="365"/>
      <c r="BK95" s="366">
        <f>'Degrémont Entrée'!BH95</f>
        <v>0</v>
      </c>
      <c r="BL95" s="367">
        <f>'Degrémont Entrée'!BI95</f>
        <v>0</v>
      </c>
    </row>
    <row r="96" spans="1:64" ht="14.25" outlineLevel="1">
      <c r="A96" s="337">
        <f t="shared" si="18"/>
        <v>43548</v>
      </c>
      <c r="B96" s="338">
        <f>'Degrémont Entrée'!B96</f>
        <v>0</v>
      </c>
      <c r="C96" s="338"/>
      <c r="D96" s="388"/>
      <c r="E96" s="368"/>
      <c r="F96" s="342">
        <v>100</v>
      </c>
      <c r="G96" s="329">
        <f t="shared" si="0"/>
        <v>0</v>
      </c>
      <c r="H96" s="338"/>
      <c r="I96" s="346"/>
      <c r="J96" s="344">
        <f t="shared" si="2"/>
        <v>0</v>
      </c>
      <c r="K96" s="343">
        <v>1</v>
      </c>
      <c r="L96" s="329"/>
      <c r="M96" s="346" t="str">
        <f t="shared" si="3"/>
        <v/>
      </c>
      <c r="N96" s="338" t="e">
        <f t="shared" si="4"/>
        <v>#VALUE!</v>
      </c>
      <c r="O96" s="368"/>
      <c r="P96" s="347">
        <f t="shared" si="19"/>
        <v>0</v>
      </c>
      <c r="Q96" s="348"/>
      <c r="R96" s="369"/>
      <c r="S96" s="349">
        <f t="shared" si="20"/>
        <v>0</v>
      </c>
      <c r="T96" s="348"/>
      <c r="U96" s="369"/>
      <c r="V96" s="349">
        <f t="shared" si="5"/>
        <v>0</v>
      </c>
      <c r="W96" s="348"/>
      <c r="X96" s="318" t="str">
        <f t="shared" si="6"/>
        <v/>
      </c>
      <c r="Y96" s="370" t="e">
        <f t="shared" si="7"/>
        <v>#VALUE!</v>
      </c>
      <c r="Z96" s="346"/>
      <c r="AA96" s="329"/>
      <c r="AB96" s="352">
        <f t="shared" si="8"/>
        <v>0</v>
      </c>
      <c r="AC96" s="353"/>
      <c r="AD96" s="354"/>
      <c r="AE96" s="378" t="str">
        <f t="shared" si="21"/>
        <v/>
      </c>
      <c r="AF96" s="329"/>
      <c r="AG96" s="358"/>
      <c r="AH96" s="356" t="str">
        <f t="shared" si="22"/>
        <v/>
      </c>
      <c r="AI96" s="329"/>
      <c r="AJ96" s="329"/>
      <c r="AK96" s="356">
        <f t="shared" si="11"/>
        <v>0</v>
      </c>
      <c r="AL96" s="357"/>
      <c r="AM96" s="358"/>
      <c r="AN96" s="356">
        <f t="shared" si="12"/>
        <v>0</v>
      </c>
      <c r="AO96" s="329"/>
      <c r="AP96" s="358"/>
      <c r="AQ96" s="359">
        <f t="shared" si="13"/>
        <v>0</v>
      </c>
      <c r="AR96" s="360"/>
      <c r="AS96" s="358"/>
      <c r="AT96" s="356">
        <f t="shared" si="14"/>
        <v>0</v>
      </c>
      <c r="AU96" s="329"/>
      <c r="AV96" s="358"/>
      <c r="AW96" s="359">
        <f t="shared" si="15"/>
        <v>0</v>
      </c>
      <c r="AX96" s="329"/>
      <c r="AY96" s="358"/>
      <c r="AZ96" s="359">
        <f t="shared" si="16"/>
        <v>0</v>
      </c>
      <c r="BA96" s="329" t="e">
        <f>IF('Degrémont Entrée'!K96="",,('Degrémont Entrée'!K96-I96)/'Degrémont Entrée'!K96*100)</f>
        <v>#DIV/0!</v>
      </c>
      <c r="BB96" s="329" t="e">
        <f>IF('Degrémont Entrée'!G96="",,('Degrémont Entrée'!G96-G96)/'Degrémont Entrée'!G96*100)</f>
        <v>#DIV/0!</v>
      </c>
      <c r="BC96" s="329">
        <f>IF('Degrémont Entrée'!S96="",,('Degrémont Entrée'!S96-M96)/'Degrémont Entrée'!S96*100)</f>
        <v>0</v>
      </c>
      <c r="BD96" s="361" t="str">
        <f ca="1">IFERROR(__xludf.DUMMYFUNCTION("""COMPUTED_VALUE"""),"#DIV/0!")</f>
        <v>#DIV/0!</v>
      </c>
      <c r="BE96" s="362"/>
      <c r="BF96" s="363"/>
      <c r="BG96" s="363"/>
      <c r="BH96" s="338">
        <f t="shared" si="17"/>
        <v>0</v>
      </c>
      <c r="BI96" s="364"/>
      <c r="BJ96" s="365"/>
      <c r="BK96" s="371">
        <f>'Degrémont Entrée'!BH96</f>
        <v>0</v>
      </c>
      <c r="BL96" s="372">
        <f>'Degrémont Entrée'!BI96</f>
        <v>0</v>
      </c>
    </row>
    <row r="97" spans="1:64" ht="15.75" customHeight="1" outlineLevel="1">
      <c r="A97" s="337">
        <f t="shared" si="18"/>
        <v>43549</v>
      </c>
      <c r="B97" s="338">
        <f>'Degrémont Entrée'!B97</f>
        <v>819</v>
      </c>
      <c r="C97" s="339">
        <v>9</v>
      </c>
      <c r="D97" s="340">
        <v>90</v>
      </c>
      <c r="E97" s="341">
        <v>92.3</v>
      </c>
      <c r="F97" s="342">
        <v>100</v>
      </c>
      <c r="G97" s="329">
        <f t="shared" si="0"/>
        <v>22.999999999999972</v>
      </c>
      <c r="H97" s="338"/>
      <c r="I97" s="343">
        <v>885</v>
      </c>
      <c r="J97" s="344">
        <f t="shared" si="2"/>
        <v>724.81500000000005</v>
      </c>
      <c r="K97" s="343">
        <v>1</v>
      </c>
      <c r="L97" s="345">
        <v>1.62</v>
      </c>
      <c r="M97" s="346">
        <f t="shared" si="3"/>
        <v>1.62</v>
      </c>
      <c r="N97" s="338">
        <f t="shared" si="4"/>
        <v>1.3267800000000003</v>
      </c>
      <c r="O97" s="368"/>
      <c r="P97" s="347">
        <f t="shared" si="19"/>
        <v>0</v>
      </c>
      <c r="Q97" s="348"/>
      <c r="R97" s="369"/>
      <c r="S97" s="349">
        <f t="shared" si="20"/>
        <v>0</v>
      </c>
      <c r="T97" s="348"/>
      <c r="U97" s="369"/>
      <c r="V97" s="349">
        <f t="shared" si="5"/>
        <v>0</v>
      </c>
      <c r="W97" s="348"/>
      <c r="X97" s="318" t="str">
        <f t="shared" si="6"/>
        <v/>
      </c>
      <c r="Y97" s="370" t="e">
        <f t="shared" si="7"/>
        <v>#VALUE!</v>
      </c>
      <c r="Z97" s="343" t="s">
        <v>85</v>
      </c>
      <c r="AA97" s="345">
        <v>0.01</v>
      </c>
      <c r="AB97" s="352">
        <f t="shared" si="8"/>
        <v>4.0949999999999997E-3</v>
      </c>
      <c r="AC97" s="353"/>
      <c r="AD97" s="354"/>
      <c r="AE97" s="378" t="str">
        <f t="shared" si="21"/>
        <v/>
      </c>
      <c r="AF97" s="329"/>
      <c r="AG97" s="358"/>
      <c r="AH97" s="356" t="str">
        <f t="shared" si="22"/>
        <v/>
      </c>
      <c r="AI97" s="329"/>
      <c r="AJ97" s="329"/>
      <c r="AK97" s="356">
        <f t="shared" si="11"/>
        <v>0</v>
      </c>
      <c r="AL97" s="357"/>
      <c r="AM97" s="358"/>
      <c r="AN97" s="356">
        <f t="shared" si="12"/>
        <v>0</v>
      </c>
      <c r="AO97" s="329"/>
      <c r="AP97" s="358"/>
      <c r="AQ97" s="359">
        <f t="shared" si="13"/>
        <v>0</v>
      </c>
      <c r="AR97" s="360"/>
      <c r="AS97" s="358"/>
      <c r="AT97" s="356">
        <f t="shared" si="14"/>
        <v>0</v>
      </c>
      <c r="AU97" s="329"/>
      <c r="AV97" s="358"/>
      <c r="AW97" s="359">
        <f t="shared" si="15"/>
        <v>0</v>
      </c>
      <c r="AX97" s="329"/>
      <c r="AY97" s="358"/>
      <c r="AZ97" s="359">
        <f t="shared" si="16"/>
        <v>0</v>
      </c>
      <c r="BA97" s="329">
        <f>IF('Degrémont Entrée'!K97="",,('Degrémont Entrée'!K97-I97)/'Degrémont Entrée'!K97*100)</f>
        <v>81.117985918497965</v>
      </c>
      <c r="BB97" s="329">
        <f>IF('Degrémont Entrée'!G97="",,('Degrémont Entrée'!G97-G97)/'Degrémont Entrée'!G97*100)</f>
        <v>99.354166666666671</v>
      </c>
      <c r="BC97" s="329">
        <f>IF('Degrémont Entrée'!S97="",,('Degrémont Entrée'!S97-M97)/'Degrémont Entrée'!S97*100)</f>
        <v>98.981132075471706</v>
      </c>
      <c r="BD97" s="361" t="str">
        <f ca="1">IFERROR(__xludf.DUMMYFUNCTION("""COMPUTED_VALUE"""),"#DIV/0!")</f>
        <v>#DIV/0!</v>
      </c>
      <c r="BE97" s="362"/>
      <c r="BF97" s="363"/>
      <c r="BG97" s="363"/>
      <c r="BH97" s="338">
        <f t="shared" si="17"/>
        <v>0</v>
      </c>
      <c r="BI97" s="364"/>
      <c r="BJ97" s="365"/>
      <c r="BK97" s="366">
        <f>'Degrémont Entrée'!BH97</f>
        <v>0</v>
      </c>
      <c r="BL97" s="367" t="str">
        <f>'Degrémont Entrée'!BI97</f>
        <v>Transfert B04 vers B01 1h33 Décanteur trouble Débouchage canalisation bac chaulage pompe abel</v>
      </c>
    </row>
    <row r="98" spans="1:64" ht="14.25" outlineLevel="1">
      <c r="A98" s="337">
        <f t="shared" si="18"/>
        <v>43550</v>
      </c>
      <c r="B98" s="338">
        <f>'Degrémont Entrée'!B98</f>
        <v>1037</v>
      </c>
      <c r="C98" s="339">
        <v>8.8000000000000007</v>
      </c>
      <c r="D98" s="340">
        <v>86.8</v>
      </c>
      <c r="E98" s="341">
        <v>89.3</v>
      </c>
      <c r="F98" s="342">
        <v>100</v>
      </c>
      <c r="G98" s="329">
        <f t="shared" si="0"/>
        <v>25</v>
      </c>
      <c r="H98" s="338"/>
      <c r="I98" s="343">
        <v>858</v>
      </c>
      <c r="J98" s="344">
        <f t="shared" si="2"/>
        <v>889.74599999999998</v>
      </c>
      <c r="K98" s="343">
        <v>1</v>
      </c>
      <c r="L98" s="345">
        <v>0.76</v>
      </c>
      <c r="M98" s="346">
        <f t="shared" si="3"/>
        <v>0.76</v>
      </c>
      <c r="N98" s="338">
        <f t="shared" si="4"/>
        <v>0.78812000000000004</v>
      </c>
      <c r="O98" s="341">
        <v>17</v>
      </c>
      <c r="P98" s="347">
        <f t="shared" si="19"/>
        <v>17.629000000000001</v>
      </c>
      <c r="Q98" s="348"/>
      <c r="R98" s="369"/>
      <c r="S98" s="349">
        <f t="shared" si="20"/>
        <v>0</v>
      </c>
      <c r="T98" s="348"/>
      <c r="U98" s="369"/>
      <c r="V98" s="349">
        <f t="shared" si="5"/>
        <v>0</v>
      </c>
      <c r="W98" s="348"/>
      <c r="X98" s="318">
        <f t="shared" si="6"/>
        <v>17</v>
      </c>
      <c r="Y98" s="370">
        <f t="shared" si="7"/>
        <v>17.629000000000001</v>
      </c>
      <c r="Z98" s="343" t="s">
        <v>85</v>
      </c>
      <c r="AA98" s="345">
        <v>0.01</v>
      </c>
      <c r="AB98" s="352">
        <f t="shared" si="8"/>
        <v>5.1850000000000004E-3</v>
      </c>
      <c r="AC98" s="353"/>
      <c r="AD98" s="354"/>
      <c r="AE98" s="378" t="str">
        <f t="shared" si="21"/>
        <v/>
      </c>
      <c r="AF98" s="329"/>
      <c r="AG98" s="355">
        <v>1.2</v>
      </c>
      <c r="AH98" s="356">
        <f t="shared" si="22"/>
        <v>7.1003999999999996</v>
      </c>
      <c r="AI98" s="329"/>
      <c r="AJ98" s="345">
        <v>0.5</v>
      </c>
      <c r="AK98" s="356">
        <f t="shared" si="11"/>
        <v>0.51849999999999996</v>
      </c>
      <c r="AL98" s="357"/>
      <c r="AM98" s="355">
        <v>0.06</v>
      </c>
      <c r="AN98" s="356">
        <f t="shared" si="12"/>
        <v>6.2219999999999998E-2</v>
      </c>
      <c r="AO98" s="329"/>
      <c r="AP98" s="355">
        <v>0.21</v>
      </c>
      <c r="AQ98" s="359">
        <f t="shared" si="13"/>
        <v>0.21776999999999999</v>
      </c>
      <c r="AR98" s="360"/>
      <c r="AS98" s="355">
        <v>0.42</v>
      </c>
      <c r="AT98" s="356">
        <f t="shared" si="14"/>
        <v>0.43553999999999998</v>
      </c>
      <c r="AU98" s="345" t="s">
        <v>85</v>
      </c>
      <c r="AV98" s="355">
        <v>0.15</v>
      </c>
      <c r="AW98" s="359">
        <f t="shared" si="15"/>
        <v>7.7774999999999997E-2</v>
      </c>
      <c r="AX98" s="345" t="s">
        <v>85</v>
      </c>
      <c r="AY98" s="355">
        <v>0.13</v>
      </c>
      <c r="AZ98" s="359">
        <f t="shared" si="16"/>
        <v>6.7405000000000007E-2</v>
      </c>
      <c r="BA98" s="329">
        <f>IF('Degrémont Entrée'!K98="",,('Degrémont Entrée'!K98-I98)/'Degrémont Entrée'!K98*100)</f>
        <v>81.756325749521579</v>
      </c>
      <c r="BB98" s="329">
        <f>IF('Degrémont Entrée'!G98="",,('Degrémont Entrée'!G98-G98)/'Degrémont Entrée'!G98*100)</f>
        <v>99.281221922731362</v>
      </c>
      <c r="BC98" s="329">
        <f>IF('Degrémont Entrée'!S98="",,('Degrémont Entrée'!S98-M98)/'Degrémont Entrée'!S98*100)</f>
        <v>99.627450980392169</v>
      </c>
      <c r="BD98" s="361" t="str">
        <f ca="1">IFERROR(__xludf.DUMMYFUNCTION("""COMPUTED_VALUE"""),"#DIV/0!")</f>
        <v>#DIV/0!</v>
      </c>
      <c r="BE98" s="386">
        <v>22.431999999999999</v>
      </c>
      <c r="BF98" s="387">
        <v>39.619999999999997</v>
      </c>
      <c r="BG98" s="387">
        <v>32.209499999999998</v>
      </c>
      <c r="BH98" s="338">
        <f t="shared" si="17"/>
        <v>56.88561787293461</v>
      </c>
      <c r="BI98" s="364"/>
      <c r="BJ98" s="365"/>
      <c r="BK98" s="371">
        <f>'Degrémont Entrée'!BH98</f>
        <v>0</v>
      </c>
      <c r="BL98" s="372" t="str">
        <f>'Degrémont Entrée'!BI98</f>
        <v>Transfert B04 vers B01 1h29</v>
      </c>
    </row>
    <row r="99" spans="1:64" ht="15.75" customHeight="1" outlineLevel="1">
      <c r="A99" s="337">
        <f t="shared" si="18"/>
        <v>43551</v>
      </c>
      <c r="B99" s="338">
        <f>'Degrémont Entrée'!B99</f>
        <v>886</v>
      </c>
      <c r="C99" s="339">
        <v>8.9</v>
      </c>
      <c r="D99" s="340">
        <v>90.7</v>
      </c>
      <c r="E99" s="341">
        <v>92.1</v>
      </c>
      <c r="F99" s="342">
        <v>100</v>
      </c>
      <c r="G99" s="329">
        <f t="shared" si="0"/>
        <v>13.999999999999913</v>
      </c>
      <c r="H99" s="338"/>
      <c r="I99" s="343">
        <v>573</v>
      </c>
      <c r="J99" s="344">
        <f t="shared" si="2"/>
        <v>507.678</v>
      </c>
      <c r="K99" s="343">
        <v>1</v>
      </c>
      <c r="L99" s="345">
        <v>1.01</v>
      </c>
      <c r="M99" s="346">
        <f t="shared" si="3"/>
        <v>1.01</v>
      </c>
      <c r="N99" s="338">
        <f t="shared" si="4"/>
        <v>0.89485999999999999</v>
      </c>
      <c r="O99" s="368"/>
      <c r="P99" s="347">
        <f t="shared" si="19"/>
        <v>0</v>
      </c>
      <c r="Q99" s="348"/>
      <c r="R99" s="369"/>
      <c r="S99" s="349">
        <f t="shared" si="20"/>
        <v>0</v>
      </c>
      <c r="T99" s="348"/>
      <c r="U99" s="369"/>
      <c r="V99" s="349">
        <f t="shared" si="5"/>
        <v>0</v>
      </c>
      <c r="W99" s="348"/>
      <c r="X99" s="318" t="str">
        <f t="shared" si="6"/>
        <v/>
      </c>
      <c r="Y99" s="370" t="e">
        <f t="shared" si="7"/>
        <v>#VALUE!</v>
      </c>
      <c r="Z99" s="343" t="s">
        <v>85</v>
      </c>
      <c r="AA99" s="345">
        <v>0.01</v>
      </c>
      <c r="AB99" s="352">
        <f t="shared" si="8"/>
        <v>4.4299999999999999E-3</v>
      </c>
      <c r="AC99" s="353"/>
      <c r="AD99" s="354"/>
      <c r="AE99" s="378" t="str">
        <f t="shared" si="21"/>
        <v/>
      </c>
      <c r="AF99" s="329"/>
      <c r="AG99" s="358"/>
      <c r="AH99" s="356" t="str">
        <f t="shared" si="22"/>
        <v/>
      </c>
      <c r="AI99" s="329"/>
      <c r="AJ99" s="329"/>
      <c r="AK99" s="356">
        <f t="shared" si="11"/>
        <v>0</v>
      </c>
      <c r="AL99" s="357"/>
      <c r="AM99" s="358"/>
      <c r="AN99" s="356">
        <f t="shared" si="12"/>
        <v>0</v>
      </c>
      <c r="AO99" s="329"/>
      <c r="AP99" s="358"/>
      <c r="AQ99" s="359">
        <f t="shared" si="13"/>
        <v>0</v>
      </c>
      <c r="AR99" s="360"/>
      <c r="AS99" s="358"/>
      <c r="AT99" s="356">
        <f t="shared" si="14"/>
        <v>0</v>
      </c>
      <c r="AU99" s="329"/>
      <c r="AV99" s="358"/>
      <c r="AW99" s="359">
        <f t="shared" si="15"/>
        <v>0</v>
      </c>
      <c r="AX99" s="329"/>
      <c r="AY99" s="358"/>
      <c r="AZ99" s="359">
        <f t="shared" si="16"/>
        <v>0</v>
      </c>
      <c r="BA99" s="329">
        <f>IF('Degrémont Entrée'!K99="",,('Degrémont Entrée'!K99-I99)/'Degrémont Entrée'!K99*100)</f>
        <v>87.753793545629406</v>
      </c>
      <c r="BB99" s="329">
        <f>IF('Degrémont Entrée'!G99="",,('Degrémont Entrée'!G99-G99)/'Degrémont Entrée'!G99*100)</f>
        <v>99.615648592999321</v>
      </c>
      <c r="BC99" s="329">
        <f>IF('Degrémont Entrée'!S99="",,('Degrémont Entrée'!S99-M99)/'Degrémont Entrée'!S99*100)</f>
        <v>99.445664105378711</v>
      </c>
      <c r="BD99" s="361" t="str">
        <f ca="1">IFERROR(__xludf.DUMMYFUNCTION("""COMPUTED_VALUE"""),"#DIV/0!")</f>
        <v>#DIV/0!</v>
      </c>
      <c r="BE99" s="362"/>
      <c r="BF99" s="363"/>
      <c r="BG99" s="363"/>
      <c r="BH99" s="338">
        <f t="shared" si="17"/>
        <v>0</v>
      </c>
      <c r="BI99" s="364"/>
      <c r="BJ99" s="365"/>
      <c r="BK99" s="366">
        <f>'Degrémont Entrée'!BH99</f>
        <v>0</v>
      </c>
      <c r="BL99" s="367" t="str">
        <f>'Degrémont Entrée'!BI99</f>
        <v>Transfert B04 vers B01 1h44</v>
      </c>
    </row>
    <row r="100" spans="1:64" ht="14.25" outlineLevel="1">
      <c r="A100" s="337">
        <f t="shared" si="18"/>
        <v>43552</v>
      </c>
      <c r="B100" s="338">
        <f>'Degrémont Entrée'!B100</f>
        <v>788</v>
      </c>
      <c r="C100" s="339">
        <v>9</v>
      </c>
      <c r="D100" s="340">
        <v>89.6</v>
      </c>
      <c r="E100" s="341">
        <v>91.2</v>
      </c>
      <c r="F100" s="342">
        <v>100</v>
      </c>
      <c r="G100" s="329">
        <f t="shared" si="0"/>
        <v>16.000000000000085</v>
      </c>
      <c r="H100" s="338"/>
      <c r="I100" s="343">
        <v>324</v>
      </c>
      <c r="J100" s="344">
        <f t="shared" si="2"/>
        <v>255.31200000000001</v>
      </c>
      <c r="K100" s="343">
        <v>1</v>
      </c>
      <c r="L100" s="345">
        <v>0.89</v>
      </c>
      <c r="M100" s="346">
        <f t="shared" si="3"/>
        <v>0.89</v>
      </c>
      <c r="N100" s="338">
        <f t="shared" si="4"/>
        <v>0.70132000000000005</v>
      </c>
      <c r="O100" s="368"/>
      <c r="P100" s="347">
        <f t="shared" si="19"/>
        <v>0</v>
      </c>
      <c r="Q100" s="348"/>
      <c r="R100" s="369"/>
      <c r="S100" s="349">
        <f t="shared" si="20"/>
        <v>0</v>
      </c>
      <c r="T100" s="348"/>
      <c r="U100" s="369"/>
      <c r="V100" s="349">
        <f t="shared" si="5"/>
        <v>0</v>
      </c>
      <c r="W100" s="348"/>
      <c r="X100" s="318" t="str">
        <f t="shared" si="6"/>
        <v/>
      </c>
      <c r="Y100" s="370" t="e">
        <f t="shared" si="7"/>
        <v>#VALUE!</v>
      </c>
      <c r="Z100" s="343" t="s">
        <v>85</v>
      </c>
      <c r="AA100" s="345">
        <v>0.01</v>
      </c>
      <c r="AB100" s="352">
        <f t="shared" si="8"/>
        <v>3.9399999999999999E-3</v>
      </c>
      <c r="AC100" s="353"/>
      <c r="AD100" s="354"/>
      <c r="AE100" s="378" t="str">
        <f t="shared" si="21"/>
        <v/>
      </c>
      <c r="AF100" s="329"/>
      <c r="AG100" s="358"/>
      <c r="AH100" s="356" t="str">
        <f t="shared" si="22"/>
        <v/>
      </c>
      <c r="AI100" s="329"/>
      <c r="AJ100" s="329"/>
      <c r="AK100" s="356">
        <f t="shared" si="11"/>
        <v>0</v>
      </c>
      <c r="AL100" s="357"/>
      <c r="AM100" s="358"/>
      <c r="AN100" s="356">
        <f t="shared" si="12"/>
        <v>0</v>
      </c>
      <c r="AO100" s="329"/>
      <c r="AP100" s="358"/>
      <c r="AQ100" s="359">
        <f t="shared" si="13"/>
        <v>0</v>
      </c>
      <c r="AR100" s="360"/>
      <c r="AS100" s="358"/>
      <c r="AT100" s="356">
        <f t="shared" si="14"/>
        <v>0</v>
      </c>
      <c r="AU100" s="329"/>
      <c r="AV100" s="358"/>
      <c r="AW100" s="359">
        <f t="shared" si="15"/>
        <v>0</v>
      </c>
      <c r="AX100" s="329"/>
      <c r="AY100" s="358"/>
      <c r="AZ100" s="359">
        <f t="shared" si="16"/>
        <v>0</v>
      </c>
      <c r="BA100" s="329">
        <f>IF('Degrémont Entrée'!K100="",,('Degrémont Entrée'!K100-I100)/'Degrémont Entrée'!K100*100)</f>
        <v>92.027559055118118</v>
      </c>
      <c r="BB100" s="329">
        <f>IF('Degrémont Entrée'!G100="",,('Degrémont Entrée'!G100-G100)/'Degrémont Entrée'!G100*100)</f>
        <v>99.511450381679396</v>
      </c>
      <c r="BC100" s="329">
        <f>IF('Degrémont Entrée'!S100="",,('Degrémont Entrée'!S100-M100)/'Degrémont Entrée'!S100*100)</f>
        <v>99.404283801874172</v>
      </c>
      <c r="BD100" s="361" t="str">
        <f ca="1">IFERROR(__xludf.DUMMYFUNCTION("""COMPUTED_VALUE"""),"#DIV/0!")</f>
        <v>#DIV/0!</v>
      </c>
      <c r="BE100" s="362"/>
      <c r="BF100" s="363"/>
      <c r="BG100" s="363"/>
      <c r="BH100" s="338">
        <f t="shared" si="17"/>
        <v>0</v>
      </c>
      <c r="BI100" s="364"/>
      <c r="BJ100" s="365"/>
      <c r="BK100" s="371">
        <f>'Degrémont Entrée'!BH100</f>
        <v>0</v>
      </c>
      <c r="BL100" s="372" t="str">
        <f>'Degrémont Entrée'!BI100</f>
        <v>Transfert B04 vers B01 3h50</v>
      </c>
    </row>
    <row r="101" spans="1:64" ht="15.75" customHeight="1" outlineLevel="1">
      <c r="A101" s="337">
        <f t="shared" si="18"/>
        <v>43553</v>
      </c>
      <c r="B101" s="338">
        <f>'Degrémont Entrée'!B101</f>
        <v>970</v>
      </c>
      <c r="C101" s="339">
        <v>7.8</v>
      </c>
      <c r="D101" s="340">
        <v>90.2</v>
      </c>
      <c r="E101" s="341">
        <v>92.3</v>
      </c>
      <c r="F101" s="342">
        <v>88</v>
      </c>
      <c r="G101" s="329">
        <f t="shared" si="0"/>
        <v>23.863636363636303</v>
      </c>
      <c r="H101" s="338"/>
      <c r="I101" s="343">
        <v>579</v>
      </c>
      <c r="J101" s="344">
        <f t="shared" si="2"/>
        <v>561.63</v>
      </c>
      <c r="K101" s="343">
        <v>1</v>
      </c>
      <c r="L101" s="345">
        <v>0.66</v>
      </c>
      <c r="M101" s="346">
        <f t="shared" si="3"/>
        <v>0.66</v>
      </c>
      <c r="N101" s="338">
        <f t="shared" si="4"/>
        <v>0.64019999999999999</v>
      </c>
      <c r="O101" s="368"/>
      <c r="P101" s="347">
        <f t="shared" si="19"/>
        <v>0</v>
      </c>
      <c r="Q101" s="348"/>
      <c r="R101" s="369"/>
      <c r="S101" s="349">
        <f t="shared" si="20"/>
        <v>0</v>
      </c>
      <c r="T101" s="348"/>
      <c r="U101" s="369"/>
      <c r="V101" s="349">
        <f t="shared" si="5"/>
        <v>0</v>
      </c>
      <c r="W101" s="348"/>
      <c r="X101" s="318" t="str">
        <f t="shared" si="6"/>
        <v/>
      </c>
      <c r="Y101" s="370" t="e">
        <f t="shared" si="7"/>
        <v>#VALUE!</v>
      </c>
      <c r="Z101" s="343" t="s">
        <v>85</v>
      </c>
      <c r="AA101" s="345">
        <v>0.01</v>
      </c>
      <c r="AB101" s="352">
        <f t="shared" si="8"/>
        <v>4.8500000000000001E-3</v>
      </c>
      <c r="AC101" s="353"/>
      <c r="AD101" s="354"/>
      <c r="AE101" s="378" t="str">
        <f t="shared" si="21"/>
        <v/>
      </c>
      <c r="AF101" s="329"/>
      <c r="AG101" s="358"/>
      <c r="AH101" s="356" t="str">
        <f t="shared" si="22"/>
        <v/>
      </c>
      <c r="AI101" s="329"/>
      <c r="AJ101" s="329"/>
      <c r="AK101" s="356">
        <f t="shared" si="11"/>
        <v>0</v>
      </c>
      <c r="AL101" s="357"/>
      <c r="AM101" s="358"/>
      <c r="AN101" s="356">
        <f t="shared" si="12"/>
        <v>0</v>
      </c>
      <c r="AO101" s="329"/>
      <c r="AP101" s="358"/>
      <c r="AQ101" s="359">
        <f t="shared" si="13"/>
        <v>0</v>
      </c>
      <c r="AR101" s="360"/>
      <c r="AS101" s="358"/>
      <c r="AT101" s="356">
        <f t="shared" si="14"/>
        <v>0</v>
      </c>
      <c r="AU101" s="329"/>
      <c r="AV101" s="358"/>
      <c r="AW101" s="359">
        <f t="shared" si="15"/>
        <v>0</v>
      </c>
      <c r="AX101" s="329"/>
      <c r="AY101" s="358"/>
      <c r="AZ101" s="359">
        <f t="shared" si="16"/>
        <v>0</v>
      </c>
      <c r="BA101" s="329">
        <f>IF('Degrémont Entrée'!K101="",,('Degrémont Entrée'!K101-I101)/'Degrémont Entrée'!K101*100)</f>
        <v>86.081730769230774</v>
      </c>
      <c r="BB101" s="329">
        <f>IF('Degrémont Entrée'!G101="",,('Degrémont Entrée'!G101-G101)/'Degrémont Entrée'!G101*100)</f>
        <v>99.234614183067777</v>
      </c>
      <c r="BC101" s="329">
        <f>IF('Degrémont Entrée'!S101="",,('Degrémont Entrée'!S101-M101)/'Degrémont Entrée'!S101*100)</f>
        <v>99.488372093023258</v>
      </c>
      <c r="BD101" s="361" t="str">
        <f ca="1">IFERROR(__xludf.DUMMYFUNCTION("""COMPUTED_VALUE"""),"#DIV/0!")</f>
        <v>#DIV/0!</v>
      </c>
      <c r="BE101" s="362"/>
      <c r="BF101" s="363"/>
      <c r="BG101" s="363"/>
      <c r="BH101" s="338">
        <f t="shared" si="17"/>
        <v>0</v>
      </c>
      <c r="BI101" s="364" t="s">
        <v>202</v>
      </c>
      <c r="BJ101" s="365"/>
      <c r="BK101" s="366">
        <f>'Degrémont Entrée'!BH101</f>
        <v>0</v>
      </c>
      <c r="BL101" s="367">
        <f>'Degrémont Entrée'!BI101</f>
        <v>0</v>
      </c>
    </row>
    <row r="102" spans="1:64" ht="14.25" outlineLevel="1">
      <c r="A102" s="337">
        <f t="shared" si="18"/>
        <v>43554</v>
      </c>
      <c r="B102" s="338">
        <f>'Degrémont Entrée'!B102</f>
        <v>997</v>
      </c>
      <c r="C102" s="339">
        <v>8.4</v>
      </c>
      <c r="D102" s="340">
        <v>89.7</v>
      </c>
      <c r="E102" s="341">
        <v>91.6</v>
      </c>
      <c r="F102" s="342">
        <v>90</v>
      </c>
      <c r="G102" s="329">
        <f t="shared" si="0"/>
        <v>21.111111111111015</v>
      </c>
      <c r="H102" s="338"/>
      <c r="I102" s="343">
        <v>664</v>
      </c>
      <c r="J102" s="344">
        <f t="shared" si="2"/>
        <v>662.00800000000004</v>
      </c>
      <c r="K102" s="343">
        <v>1</v>
      </c>
      <c r="L102" s="345">
        <v>0.72</v>
      </c>
      <c r="M102" s="346">
        <f t="shared" si="3"/>
        <v>0.72</v>
      </c>
      <c r="N102" s="338">
        <f t="shared" si="4"/>
        <v>0.71783999999999992</v>
      </c>
      <c r="O102" s="368"/>
      <c r="P102" s="347">
        <f t="shared" si="19"/>
        <v>0</v>
      </c>
      <c r="Q102" s="348"/>
      <c r="R102" s="369"/>
      <c r="S102" s="349">
        <f t="shared" si="20"/>
        <v>0</v>
      </c>
      <c r="T102" s="348"/>
      <c r="U102" s="369"/>
      <c r="V102" s="349">
        <f t="shared" si="5"/>
        <v>0</v>
      </c>
      <c r="W102" s="348"/>
      <c r="X102" s="318" t="str">
        <f t="shared" si="6"/>
        <v/>
      </c>
      <c r="Y102" s="370" t="e">
        <f t="shared" si="7"/>
        <v>#VALUE!</v>
      </c>
      <c r="Z102" s="343" t="s">
        <v>85</v>
      </c>
      <c r="AA102" s="345">
        <v>0.01</v>
      </c>
      <c r="AB102" s="352">
        <f t="shared" si="8"/>
        <v>4.9850000000000007E-3</v>
      </c>
      <c r="AC102" s="353"/>
      <c r="AD102" s="354"/>
      <c r="AE102" s="378" t="str">
        <f t="shared" si="21"/>
        <v/>
      </c>
      <c r="AF102" s="329"/>
      <c r="AG102" s="358"/>
      <c r="AH102" s="356" t="str">
        <f t="shared" si="22"/>
        <v/>
      </c>
      <c r="AI102" s="329"/>
      <c r="AJ102" s="329"/>
      <c r="AK102" s="356">
        <f t="shared" si="11"/>
        <v>0</v>
      </c>
      <c r="AL102" s="357"/>
      <c r="AM102" s="358"/>
      <c r="AN102" s="356">
        <f t="shared" si="12"/>
        <v>0</v>
      </c>
      <c r="AO102" s="329"/>
      <c r="AP102" s="358"/>
      <c r="AQ102" s="359">
        <f t="shared" si="13"/>
        <v>0</v>
      </c>
      <c r="AR102" s="360"/>
      <c r="AS102" s="358"/>
      <c r="AT102" s="356">
        <f t="shared" si="14"/>
        <v>0</v>
      </c>
      <c r="AU102" s="329"/>
      <c r="AV102" s="358"/>
      <c r="AW102" s="359">
        <f t="shared" si="15"/>
        <v>0</v>
      </c>
      <c r="AX102" s="329"/>
      <c r="AY102" s="358"/>
      <c r="AZ102" s="359">
        <f t="shared" si="16"/>
        <v>0</v>
      </c>
      <c r="BA102" s="329">
        <f>IF('Degrémont Entrée'!K102="",,('Degrémont Entrée'!K102-I102)/'Degrémont Entrée'!K102*100)</f>
        <v>40.018066847335135</v>
      </c>
      <c r="BB102" s="329">
        <f>IF('Degrémont Entrée'!G102="",,('Degrémont Entrée'!G102-G102)/'Degrémont Entrée'!G102*100)</f>
        <v>88.84696016771494</v>
      </c>
      <c r="BC102" s="329">
        <f>IF('Degrémont Entrée'!S102="",,('Degrémont Entrée'!S102-M102)/'Degrémont Entrée'!S102*100)</f>
        <v>94.461538461538453</v>
      </c>
      <c r="BD102" s="361" t="str">
        <f ca="1">IFERROR(__xludf.DUMMYFUNCTION("""COMPUTED_VALUE"""),"#DIV/0!")</f>
        <v>#DIV/0!</v>
      </c>
      <c r="BE102" s="362"/>
      <c r="BF102" s="363"/>
      <c r="BG102" s="363"/>
      <c r="BH102" s="338">
        <f t="shared" si="17"/>
        <v>0</v>
      </c>
      <c r="BI102" s="364"/>
      <c r="BJ102" s="365"/>
      <c r="BK102" s="371">
        <f>'Degrémont Entrée'!BH102</f>
        <v>0</v>
      </c>
      <c r="BL102" s="372">
        <f>'Degrémont Entrée'!BI102</f>
        <v>0</v>
      </c>
    </row>
    <row r="103" spans="1:64" ht="15.75" customHeight="1" outlineLevel="1">
      <c r="A103" s="337">
        <f t="shared" si="18"/>
        <v>43555</v>
      </c>
      <c r="B103" s="338">
        <f>'Degrémont Entrée'!B103</f>
        <v>0</v>
      </c>
      <c r="C103" s="338"/>
      <c r="D103" s="388"/>
      <c r="E103" s="368"/>
      <c r="F103" s="342">
        <v>100</v>
      </c>
      <c r="G103" s="329">
        <f t="shared" si="0"/>
        <v>0</v>
      </c>
      <c r="H103" s="338"/>
      <c r="I103" s="346"/>
      <c r="J103" s="344">
        <f t="shared" si="2"/>
        <v>0</v>
      </c>
      <c r="K103" s="343">
        <v>1</v>
      </c>
      <c r="L103" s="329"/>
      <c r="M103" s="346" t="str">
        <f t="shared" si="3"/>
        <v/>
      </c>
      <c r="N103" s="338" t="e">
        <f t="shared" si="4"/>
        <v>#VALUE!</v>
      </c>
      <c r="O103" s="368"/>
      <c r="P103" s="347">
        <f t="shared" si="19"/>
        <v>0</v>
      </c>
      <c r="Q103" s="348"/>
      <c r="R103" s="369"/>
      <c r="S103" s="349">
        <f t="shared" si="20"/>
        <v>0</v>
      </c>
      <c r="T103" s="348"/>
      <c r="U103" s="369"/>
      <c r="V103" s="349">
        <f t="shared" si="5"/>
        <v>0</v>
      </c>
      <c r="W103" s="348"/>
      <c r="X103" s="318" t="str">
        <f t="shared" si="6"/>
        <v/>
      </c>
      <c r="Y103" s="370" t="e">
        <f t="shared" si="7"/>
        <v>#VALUE!</v>
      </c>
      <c r="Z103" s="346"/>
      <c r="AA103" s="329"/>
      <c r="AB103" s="352">
        <f t="shared" si="8"/>
        <v>0</v>
      </c>
      <c r="AC103" s="353"/>
      <c r="AD103" s="354"/>
      <c r="AE103" s="378" t="str">
        <f t="shared" si="21"/>
        <v/>
      </c>
      <c r="AF103" s="329"/>
      <c r="AG103" s="358"/>
      <c r="AH103" s="356" t="str">
        <f t="shared" si="22"/>
        <v/>
      </c>
      <c r="AI103" s="329"/>
      <c r="AJ103" s="329"/>
      <c r="AK103" s="356">
        <f t="shared" si="11"/>
        <v>0</v>
      </c>
      <c r="AL103" s="357"/>
      <c r="AM103" s="358"/>
      <c r="AN103" s="356">
        <f t="shared" si="12"/>
        <v>0</v>
      </c>
      <c r="AO103" s="329"/>
      <c r="AP103" s="358"/>
      <c r="AQ103" s="359">
        <f t="shared" si="13"/>
        <v>0</v>
      </c>
      <c r="AR103" s="360"/>
      <c r="AS103" s="358"/>
      <c r="AT103" s="356">
        <f t="shared" si="14"/>
        <v>0</v>
      </c>
      <c r="AU103" s="329"/>
      <c r="AV103" s="358"/>
      <c r="AW103" s="359">
        <f t="shared" si="15"/>
        <v>0</v>
      </c>
      <c r="AX103" s="329"/>
      <c r="AY103" s="358"/>
      <c r="AZ103" s="359">
        <f t="shared" si="16"/>
        <v>0</v>
      </c>
      <c r="BA103" s="329" t="e">
        <f>IF('Degrémont Entrée'!K103="",,('Degrémont Entrée'!K103-I103)/'Degrémont Entrée'!K103*100)</f>
        <v>#DIV/0!</v>
      </c>
      <c r="BB103" s="329" t="e">
        <f>IF('Degrémont Entrée'!G103="",,('Degrémont Entrée'!G103-G103)/'Degrémont Entrée'!G103*100)</f>
        <v>#DIV/0!</v>
      </c>
      <c r="BC103" s="329">
        <f>IF('Degrémont Entrée'!S103="",,('Degrémont Entrée'!S103-M103)/'Degrémont Entrée'!S103*100)</f>
        <v>0</v>
      </c>
      <c r="BD103" s="361" t="str">
        <f ca="1">IFERROR(__xludf.DUMMYFUNCTION("""COMPUTED_VALUE"""),"#DIV/0!")</f>
        <v>#DIV/0!</v>
      </c>
      <c r="BE103" s="362"/>
      <c r="BF103" s="363"/>
      <c r="BG103" s="363"/>
      <c r="BH103" s="338">
        <f t="shared" si="17"/>
        <v>0</v>
      </c>
      <c r="BI103" s="364"/>
      <c r="BJ103" s="365"/>
      <c r="BK103" s="366">
        <f>'Degrémont Entrée'!BH103</f>
        <v>0</v>
      </c>
      <c r="BL103" s="367">
        <f>'Degrémont Entrée'!BI103</f>
        <v>0</v>
      </c>
    </row>
    <row r="104" spans="1:64" ht="14.25" outlineLevel="1">
      <c r="A104" s="337">
        <f t="shared" si="18"/>
        <v>43556</v>
      </c>
      <c r="B104" s="338">
        <f>'Degrémont Entrée'!B104</f>
        <v>538</v>
      </c>
      <c r="C104" s="339">
        <v>7.8</v>
      </c>
      <c r="D104" s="340">
        <v>89.7</v>
      </c>
      <c r="E104" s="341">
        <v>95</v>
      </c>
      <c r="F104" s="342">
        <v>100</v>
      </c>
      <c r="G104" s="329">
        <f t="shared" si="0"/>
        <v>52.999999999999972</v>
      </c>
      <c r="H104" s="338"/>
      <c r="I104" s="343">
        <v>853</v>
      </c>
      <c r="J104" s="344">
        <f t="shared" si="2"/>
        <v>458.91399999999999</v>
      </c>
      <c r="K104" s="343">
        <v>1</v>
      </c>
      <c r="L104" s="345">
        <v>1.29</v>
      </c>
      <c r="M104" s="346">
        <f t="shared" si="3"/>
        <v>1.29</v>
      </c>
      <c r="N104" s="338">
        <f t="shared" si="4"/>
        <v>0.69401999999999997</v>
      </c>
      <c r="O104" s="368"/>
      <c r="P104" s="347">
        <f t="shared" si="19"/>
        <v>0</v>
      </c>
      <c r="Q104" s="348"/>
      <c r="R104" s="369"/>
      <c r="S104" s="349">
        <f t="shared" si="20"/>
        <v>0</v>
      </c>
      <c r="T104" s="348"/>
      <c r="U104" s="369"/>
      <c r="V104" s="349">
        <f t="shared" si="5"/>
        <v>0</v>
      </c>
      <c r="W104" s="348"/>
      <c r="X104" s="318" t="str">
        <f t="shared" si="6"/>
        <v/>
      </c>
      <c r="Y104" s="370" t="e">
        <f t="shared" si="7"/>
        <v>#VALUE!</v>
      </c>
      <c r="Z104" s="343" t="s">
        <v>85</v>
      </c>
      <c r="AA104" s="345">
        <v>0.01</v>
      </c>
      <c r="AB104" s="352">
        <f t="shared" si="8"/>
        <v>2.6900000000000001E-3</v>
      </c>
      <c r="AC104" s="353"/>
      <c r="AD104" s="354"/>
      <c r="AE104" s="378" t="str">
        <f t="shared" si="21"/>
        <v/>
      </c>
      <c r="AF104" s="329"/>
      <c r="AG104" s="358"/>
      <c r="AH104" s="356" t="str">
        <f t="shared" si="22"/>
        <v/>
      </c>
      <c r="AI104" s="329"/>
      <c r="AJ104" s="329"/>
      <c r="AK104" s="356">
        <f t="shared" si="11"/>
        <v>0</v>
      </c>
      <c r="AL104" s="357"/>
      <c r="AM104" s="358"/>
      <c r="AN104" s="356">
        <f t="shared" si="12"/>
        <v>0</v>
      </c>
      <c r="AO104" s="329"/>
      <c r="AP104" s="358"/>
      <c r="AQ104" s="359">
        <f t="shared" si="13"/>
        <v>0</v>
      </c>
      <c r="AR104" s="360"/>
      <c r="AS104" s="358"/>
      <c r="AT104" s="356">
        <f t="shared" si="14"/>
        <v>0</v>
      </c>
      <c r="AU104" s="329"/>
      <c r="AV104" s="358"/>
      <c r="AW104" s="359">
        <f t="shared" si="15"/>
        <v>0</v>
      </c>
      <c r="AX104" s="329"/>
      <c r="AY104" s="358"/>
      <c r="AZ104" s="359">
        <f t="shared" si="16"/>
        <v>0</v>
      </c>
      <c r="BA104" s="329">
        <f>IF('Degrémont Entrée'!K104="",,('Degrémont Entrée'!K104-I104)/'Degrémont Entrée'!K104*100)</f>
        <v>75.684150513112883</v>
      </c>
      <c r="BB104" s="329">
        <f>IF('Degrémont Entrée'!G104="",,('Degrémont Entrée'!G104-G104)/'Degrémont Entrée'!G104*100)</f>
        <v>97.893167701863362</v>
      </c>
      <c r="BC104" s="329">
        <f>IF('Degrémont Entrée'!S104="",,('Degrémont Entrée'!S104-M104)/'Degrémont Entrée'!S104*100)</f>
        <v>98.968000000000004</v>
      </c>
      <c r="BD104" s="361" t="str">
        <f ca="1">IFERROR(__xludf.DUMMYFUNCTION("""COMPUTED_VALUE"""),"#DIV/0!")</f>
        <v>#DIV/0!</v>
      </c>
      <c r="BE104" s="362"/>
      <c r="BF104" s="363"/>
      <c r="BG104" s="363"/>
      <c r="BH104" s="338">
        <f t="shared" si="17"/>
        <v>0</v>
      </c>
      <c r="BI104" s="364"/>
      <c r="BJ104" s="365"/>
      <c r="BK104" s="371">
        <f>'Degrémont Entrée'!BH104</f>
        <v>0</v>
      </c>
      <c r="BL104" s="372" t="str">
        <f>'Degrémont Entrée'!BI104</f>
        <v>Disjoncteur verin FT HS</v>
      </c>
    </row>
    <row r="105" spans="1:64" ht="15.75" customHeight="1" outlineLevel="1">
      <c r="A105" s="337">
        <f t="shared" si="18"/>
        <v>43557</v>
      </c>
      <c r="B105" s="338">
        <f>'Degrémont Entrée'!B105</f>
        <v>862</v>
      </c>
      <c r="C105" s="339">
        <v>8.8000000000000007</v>
      </c>
      <c r="D105" s="340">
        <v>89.1</v>
      </c>
      <c r="E105" s="341">
        <v>90.3</v>
      </c>
      <c r="F105" s="342">
        <v>100</v>
      </c>
      <c r="G105" s="329">
        <f t="shared" si="0"/>
        <v>12.000000000000027</v>
      </c>
      <c r="H105" s="338"/>
      <c r="I105" s="343">
        <v>449</v>
      </c>
      <c r="J105" s="344">
        <f t="shared" si="2"/>
        <v>387.03800000000001</v>
      </c>
      <c r="K105" s="343">
        <v>1</v>
      </c>
      <c r="L105" s="345">
        <v>0.79</v>
      </c>
      <c r="M105" s="346">
        <f t="shared" si="3"/>
        <v>0.79</v>
      </c>
      <c r="N105" s="338">
        <f t="shared" si="4"/>
        <v>0.68098000000000003</v>
      </c>
      <c r="O105" s="341">
        <v>11.8</v>
      </c>
      <c r="P105" s="347">
        <f t="shared" si="19"/>
        <v>10.1716</v>
      </c>
      <c r="Q105" s="348"/>
      <c r="R105" s="369"/>
      <c r="S105" s="349">
        <f t="shared" si="20"/>
        <v>0</v>
      </c>
      <c r="T105" s="348"/>
      <c r="U105" s="369"/>
      <c r="V105" s="349">
        <f t="shared" si="5"/>
        <v>0</v>
      </c>
      <c r="W105" s="348"/>
      <c r="X105" s="318">
        <f t="shared" si="6"/>
        <v>11.8</v>
      </c>
      <c r="Y105" s="370">
        <f t="shared" si="7"/>
        <v>10.1716</v>
      </c>
      <c r="Z105" s="343" t="s">
        <v>85</v>
      </c>
      <c r="AA105" s="345">
        <v>0.01</v>
      </c>
      <c r="AB105" s="352">
        <f t="shared" si="8"/>
        <v>4.3100000000000005E-3</v>
      </c>
      <c r="AC105" s="353"/>
      <c r="AD105" s="354"/>
      <c r="AE105" s="378" t="str">
        <f t="shared" si="21"/>
        <v/>
      </c>
      <c r="AF105" s="329"/>
      <c r="AG105" s="355">
        <v>0.73</v>
      </c>
      <c r="AH105" s="356">
        <f t="shared" si="22"/>
        <v>3.6799300000000001</v>
      </c>
      <c r="AI105" s="329"/>
      <c r="AJ105" s="345">
        <v>0.87</v>
      </c>
      <c r="AK105" s="356">
        <f t="shared" si="11"/>
        <v>0.74993999999999994</v>
      </c>
      <c r="AL105" s="357"/>
      <c r="AM105" s="355">
        <v>0.06</v>
      </c>
      <c r="AN105" s="356">
        <f t="shared" si="12"/>
        <v>5.1720000000000002E-2</v>
      </c>
      <c r="AO105" s="329"/>
      <c r="AP105" s="355">
        <v>0.21</v>
      </c>
      <c r="AQ105" s="359">
        <f t="shared" si="13"/>
        <v>0.18101999999999999</v>
      </c>
      <c r="AR105" s="360"/>
      <c r="AS105" s="355">
        <v>0.49</v>
      </c>
      <c r="AT105" s="356">
        <f t="shared" si="14"/>
        <v>0.42237999999999998</v>
      </c>
      <c r="AU105" s="345" t="s">
        <v>85</v>
      </c>
      <c r="AV105" s="355">
        <v>0.15</v>
      </c>
      <c r="AW105" s="359">
        <f t="shared" si="15"/>
        <v>6.4649999999999985E-2</v>
      </c>
      <c r="AX105" s="345" t="s">
        <v>85</v>
      </c>
      <c r="AY105" s="355">
        <v>0.13</v>
      </c>
      <c r="AZ105" s="359">
        <f t="shared" si="16"/>
        <v>5.6030000000000003E-2</v>
      </c>
      <c r="BA105" s="329">
        <f>IF('Degrémont Entrée'!K105="",,('Degrémont Entrée'!K105-I105)/'Degrémont Entrée'!K105*100)</f>
        <v>82.596899224806194</v>
      </c>
      <c r="BB105" s="329">
        <f>IF('Degrémont Entrée'!G105="",,('Degrémont Entrée'!G105-G105)/'Degrémont Entrée'!G105*100)</f>
        <v>99.349005424954797</v>
      </c>
      <c r="BC105" s="329">
        <f>IF('Degrémont Entrée'!S105="",,('Degrémont Entrée'!S105-M105)/'Degrémont Entrée'!S105*100)</f>
        <v>99.139433551198252</v>
      </c>
      <c r="BD105" s="361" t="str">
        <f ca="1">IFERROR(__xludf.DUMMYFUNCTION("""COMPUTED_VALUE"""),"#DIV/0!")</f>
        <v>#DIV/0!</v>
      </c>
      <c r="BE105" s="362"/>
      <c r="BF105" s="363"/>
      <c r="BG105" s="363"/>
      <c r="BH105" s="338">
        <f t="shared" si="17"/>
        <v>0</v>
      </c>
      <c r="BI105" s="364"/>
      <c r="BJ105" s="365"/>
      <c r="BK105" s="366">
        <f>'Degrémont Entrée'!BH105</f>
        <v>0</v>
      </c>
      <c r="BL105" s="367">
        <f>'Degrémont Entrée'!BI105</f>
        <v>0</v>
      </c>
    </row>
    <row r="106" spans="1:64" ht="14.25" outlineLevel="1">
      <c r="A106" s="337">
        <f t="shared" si="18"/>
        <v>43558</v>
      </c>
      <c r="B106" s="338">
        <f>'Degrémont Entrée'!B106</f>
        <v>1062</v>
      </c>
      <c r="C106" s="339">
        <v>9.1</v>
      </c>
      <c r="D106" s="340">
        <v>90.6</v>
      </c>
      <c r="E106" s="341">
        <v>92.3</v>
      </c>
      <c r="F106" s="342">
        <v>100</v>
      </c>
      <c r="G106" s="329">
        <f t="shared" si="0"/>
        <v>17.000000000000028</v>
      </c>
      <c r="H106" s="338"/>
      <c r="I106" s="343">
        <v>621</v>
      </c>
      <c r="J106" s="344">
        <f t="shared" si="2"/>
        <v>659.50199999999995</v>
      </c>
      <c r="K106" s="343">
        <v>1</v>
      </c>
      <c r="L106" s="345">
        <v>0.7</v>
      </c>
      <c r="M106" s="346">
        <f t="shared" si="3"/>
        <v>0.7</v>
      </c>
      <c r="N106" s="338">
        <f t="shared" si="4"/>
        <v>0.74339999999999995</v>
      </c>
      <c r="O106" s="368"/>
      <c r="P106" s="347">
        <f t="shared" si="19"/>
        <v>0</v>
      </c>
      <c r="Q106" s="348"/>
      <c r="R106" s="369"/>
      <c r="S106" s="349">
        <f t="shared" si="20"/>
        <v>0</v>
      </c>
      <c r="T106" s="348"/>
      <c r="U106" s="369"/>
      <c r="V106" s="349">
        <f t="shared" si="5"/>
        <v>0</v>
      </c>
      <c r="W106" s="348"/>
      <c r="X106" s="318" t="str">
        <f t="shared" si="6"/>
        <v/>
      </c>
      <c r="Y106" s="370" t="e">
        <f t="shared" si="7"/>
        <v>#VALUE!</v>
      </c>
      <c r="Z106" s="343" t="s">
        <v>85</v>
      </c>
      <c r="AA106" s="345">
        <v>0.01</v>
      </c>
      <c r="AB106" s="352">
        <f t="shared" si="8"/>
        <v>5.3100000000000005E-3</v>
      </c>
      <c r="AC106" s="353"/>
      <c r="AD106" s="354"/>
      <c r="AE106" s="378" t="str">
        <f t="shared" si="21"/>
        <v/>
      </c>
      <c r="AF106" s="329"/>
      <c r="AG106" s="358"/>
      <c r="AH106" s="356" t="str">
        <f t="shared" si="22"/>
        <v/>
      </c>
      <c r="AI106" s="329"/>
      <c r="AJ106" s="329"/>
      <c r="AK106" s="356">
        <f t="shared" si="11"/>
        <v>0</v>
      </c>
      <c r="AL106" s="357"/>
      <c r="AM106" s="358"/>
      <c r="AN106" s="356">
        <f t="shared" si="12"/>
        <v>0</v>
      </c>
      <c r="AO106" s="329"/>
      <c r="AP106" s="358"/>
      <c r="AQ106" s="359">
        <f t="shared" si="13"/>
        <v>0</v>
      </c>
      <c r="AR106" s="360"/>
      <c r="AS106" s="358"/>
      <c r="AT106" s="356">
        <f t="shared" si="14"/>
        <v>0</v>
      </c>
      <c r="AU106" s="329"/>
      <c r="AV106" s="358"/>
      <c r="AW106" s="359">
        <f t="shared" si="15"/>
        <v>0</v>
      </c>
      <c r="AX106" s="329"/>
      <c r="AY106" s="358"/>
      <c r="AZ106" s="359">
        <f t="shared" si="16"/>
        <v>0</v>
      </c>
      <c r="BA106" s="329">
        <f>IF('Degrémont Entrée'!K106="",,('Degrémont Entrée'!K106-I106)/'Degrémont Entrée'!K106*100)</f>
        <v>78.017699115044252</v>
      </c>
      <c r="BB106" s="329">
        <f>IF('Degrémont Entrée'!G106="",,('Degrémont Entrée'!G106-G106)/'Degrémont Entrée'!G106*100)</f>
        <v>98.959915611814338</v>
      </c>
      <c r="BC106" s="329">
        <f>IF('Degrémont Entrée'!S106="",,('Degrémont Entrée'!S106-M106)/'Degrémont Entrée'!S106*100)</f>
        <v>99.199084668192214</v>
      </c>
      <c r="BD106" s="361" t="str">
        <f ca="1">IFERROR(__xludf.DUMMYFUNCTION("""COMPUTED_VALUE"""),"#DIV/0!")</f>
        <v>#DIV/0!</v>
      </c>
      <c r="BE106" s="386">
        <v>22.430599999999998</v>
      </c>
      <c r="BF106" s="387">
        <v>31.236000000000001</v>
      </c>
      <c r="BG106" s="387">
        <v>27.326599999999999</v>
      </c>
      <c r="BH106" s="338">
        <f t="shared" si="17"/>
        <v>55.602244077497893</v>
      </c>
      <c r="BI106" s="364"/>
      <c r="BJ106" s="365"/>
      <c r="BK106" s="371">
        <f>'Degrémont Entrée'!BH106</f>
        <v>0</v>
      </c>
      <c r="BL106" s="372">
        <f>'Degrémont Entrée'!BI106</f>
        <v>0</v>
      </c>
    </row>
    <row r="107" spans="1:64" ht="15.75" customHeight="1" outlineLevel="1">
      <c r="A107" s="337">
        <f t="shared" si="18"/>
        <v>43559</v>
      </c>
      <c r="B107" s="338">
        <f>'Degrémont Entrée'!B107</f>
        <v>919</v>
      </c>
      <c r="C107" s="339">
        <v>9.1</v>
      </c>
      <c r="D107" s="340">
        <v>87.8</v>
      </c>
      <c r="E107" s="341">
        <v>89.4</v>
      </c>
      <c r="F107" s="342">
        <v>100</v>
      </c>
      <c r="G107" s="329">
        <f t="shared" si="0"/>
        <v>16.000000000000085</v>
      </c>
      <c r="H107" s="338"/>
      <c r="I107" s="343">
        <v>590</v>
      </c>
      <c r="J107" s="344">
        <f t="shared" si="2"/>
        <v>542.21</v>
      </c>
      <c r="K107" s="343">
        <v>1</v>
      </c>
      <c r="L107" s="345">
        <v>0.89</v>
      </c>
      <c r="M107" s="346">
        <f t="shared" si="3"/>
        <v>0.89</v>
      </c>
      <c r="N107" s="338">
        <f t="shared" si="4"/>
        <v>0.81790999999999991</v>
      </c>
      <c r="O107" s="368"/>
      <c r="P107" s="347">
        <f t="shared" si="19"/>
        <v>0</v>
      </c>
      <c r="Q107" s="348"/>
      <c r="R107" s="369"/>
      <c r="S107" s="349">
        <f t="shared" si="20"/>
        <v>0</v>
      </c>
      <c r="T107" s="348"/>
      <c r="U107" s="369"/>
      <c r="V107" s="349">
        <f t="shared" si="5"/>
        <v>0</v>
      </c>
      <c r="W107" s="348"/>
      <c r="X107" s="318" t="str">
        <f t="shared" si="6"/>
        <v/>
      </c>
      <c r="Y107" s="370" t="e">
        <f t="shared" si="7"/>
        <v>#VALUE!</v>
      </c>
      <c r="Z107" s="343" t="s">
        <v>85</v>
      </c>
      <c r="AA107" s="345">
        <v>0.01</v>
      </c>
      <c r="AB107" s="352">
        <f t="shared" si="8"/>
        <v>4.5950000000000001E-3</v>
      </c>
      <c r="AC107" s="353"/>
      <c r="AD107" s="354"/>
      <c r="AE107" s="378" t="str">
        <f t="shared" si="21"/>
        <v/>
      </c>
      <c r="AF107" s="329"/>
      <c r="AG107" s="358"/>
      <c r="AH107" s="356" t="str">
        <f t="shared" si="22"/>
        <v/>
      </c>
      <c r="AI107" s="329"/>
      <c r="AJ107" s="329"/>
      <c r="AK107" s="356">
        <f t="shared" si="11"/>
        <v>0</v>
      </c>
      <c r="AL107" s="357"/>
      <c r="AM107" s="358"/>
      <c r="AN107" s="356">
        <f t="shared" si="12"/>
        <v>0</v>
      </c>
      <c r="AO107" s="329"/>
      <c r="AP107" s="358"/>
      <c r="AQ107" s="359">
        <f t="shared" si="13"/>
        <v>0</v>
      </c>
      <c r="AR107" s="360"/>
      <c r="AS107" s="358"/>
      <c r="AT107" s="356">
        <f t="shared" si="14"/>
        <v>0</v>
      </c>
      <c r="AU107" s="329"/>
      <c r="AV107" s="358"/>
      <c r="AW107" s="359">
        <f t="shared" si="15"/>
        <v>0</v>
      </c>
      <c r="AX107" s="329"/>
      <c r="AY107" s="358"/>
      <c r="AZ107" s="359">
        <f t="shared" si="16"/>
        <v>0</v>
      </c>
      <c r="BA107" s="329">
        <f>IF('Degrémont Entrée'!K107="",,('Degrémont Entrée'!K107-I107)/'Degrémont Entrée'!K107*100)</f>
        <v>76.484655241131932</v>
      </c>
      <c r="BB107" s="329">
        <f>IF('Degrémont Entrée'!G107="",,('Degrémont Entrée'!G107-G107)/'Degrémont Entrée'!G107*100)</f>
        <v>98.973947895791582</v>
      </c>
      <c r="BC107" s="329">
        <f>IF('Degrémont Entrée'!S107="",,('Degrémont Entrée'!S107-M107)/'Degrémont Entrée'!S107*100)</f>
        <v>98.501683501683502</v>
      </c>
      <c r="BD107" s="361" t="str">
        <f ca="1">IFERROR(__xludf.DUMMYFUNCTION("""COMPUTED_VALUE"""),"#DIV/0!")</f>
        <v>#DIV/0!</v>
      </c>
      <c r="BE107" s="362"/>
      <c r="BF107" s="363"/>
      <c r="BG107" s="363"/>
      <c r="BH107" s="338">
        <f t="shared" si="17"/>
        <v>0</v>
      </c>
      <c r="BI107" s="364"/>
      <c r="BJ107" s="365"/>
      <c r="BK107" s="366">
        <f>'Degrémont Entrée'!BH107</f>
        <v>0</v>
      </c>
      <c r="BL107" s="367">
        <f>'Degrémont Entrée'!BI107</f>
        <v>0</v>
      </c>
    </row>
    <row r="108" spans="1:64" ht="14.25" outlineLevel="1">
      <c r="A108" s="337">
        <f t="shared" si="18"/>
        <v>43560</v>
      </c>
      <c r="B108" s="338">
        <f>'Degrémont Entrée'!B108</f>
        <v>1056</v>
      </c>
      <c r="C108" s="339">
        <v>8.8000000000000007</v>
      </c>
      <c r="D108" s="340">
        <v>89</v>
      </c>
      <c r="E108" s="341">
        <v>90</v>
      </c>
      <c r="F108" s="342">
        <v>100</v>
      </c>
      <c r="G108" s="329">
        <f t="shared" si="0"/>
        <v>10</v>
      </c>
      <c r="H108" s="338"/>
      <c r="I108" s="343">
        <v>512</v>
      </c>
      <c r="J108" s="344">
        <f t="shared" si="2"/>
        <v>540.67200000000003</v>
      </c>
      <c r="K108" s="343">
        <v>1</v>
      </c>
      <c r="L108" s="345">
        <v>0.77</v>
      </c>
      <c r="M108" s="346">
        <f t="shared" si="3"/>
        <v>0.77</v>
      </c>
      <c r="N108" s="338">
        <f t="shared" si="4"/>
        <v>0.81311999999999995</v>
      </c>
      <c r="O108" s="368"/>
      <c r="P108" s="347">
        <f t="shared" si="19"/>
        <v>0</v>
      </c>
      <c r="Q108" s="348"/>
      <c r="R108" s="369"/>
      <c r="S108" s="349">
        <f t="shared" si="20"/>
        <v>0</v>
      </c>
      <c r="T108" s="348"/>
      <c r="U108" s="369"/>
      <c r="V108" s="349">
        <f t="shared" si="5"/>
        <v>0</v>
      </c>
      <c r="W108" s="348"/>
      <c r="X108" s="318" t="str">
        <f t="shared" si="6"/>
        <v/>
      </c>
      <c r="Y108" s="370" t="e">
        <f t="shared" si="7"/>
        <v>#VALUE!</v>
      </c>
      <c r="Z108" s="343" t="s">
        <v>85</v>
      </c>
      <c r="AA108" s="345">
        <v>0.01</v>
      </c>
      <c r="AB108" s="352">
        <f t="shared" si="8"/>
        <v>5.28E-3</v>
      </c>
      <c r="AC108" s="353"/>
      <c r="AD108" s="354"/>
      <c r="AE108" s="378" t="str">
        <f t="shared" si="21"/>
        <v/>
      </c>
      <c r="AF108" s="329"/>
      <c r="AG108" s="358"/>
      <c r="AH108" s="356" t="str">
        <f t="shared" si="22"/>
        <v/>
      </c>
      <c r="AI108" s="329"/>
      <c r="AJ108" s="329"/>
      <c r="AK108" s="356">
        <f t="shared" si="11"/>
        <v>0</v>
      </c>
      <c r="AL108" s="357"/>
      <c r="AM108" s="358"/>
      <c r="AN108" s="356">
        <f t="shared" si="12"/>
        <v>0</v>
      </c>
      <c r="AO108" s="329"/>
      <c r="AP108" s="358"/>
      <c r="AQ108" s="359">
        <f t="shared" si="13"/>
        <v>0</v>
      </c>
      <c r="AR108" s="360"/>
      <c r="AS108" s="358"/>
      <c r="AT108" s="356">
        <f t="shared" si="14"/>
        <v>0</v>
      </c>
      <c r="AU108" s="329"/>
      <c r="AV108" s="358"/>
      <c r="AW108" s="359">
        <f t="shared" si="15"/>
        <v>0</v>
      </c>
      <c r="AX108" s="329"/>
      <c r="AY108" s="358"/>
      <c r="AZ108" s="359">
        <f t="shared" si="16"/>
        <v>0</v>
      </c>
      <c r="BA108" s="329">
        <f>IF('Degrémont Entrée'!K108="",,('Degrémont Entrée'!K108-I108)/'Degrémont Entrée'!K108*100)</f>
        <v>80.923994038748134</v>
      </c>
      <c r="BB108" s="329">
        <f>IF('Degrémont Entrée'!G108="",,('Degrémont Entrée'!G108-G108)/'Degrémont Entrée'!G108*100)</f>
        <v>99.400749063670418</v>
      </c>
      <c r="BC108" s="329">
        <f>IF('Degrémont Entrée'!S108="",,('Degrémont Entrée'!S108-M108)/'Degrémont Entrée'!S108*100)</f>
        <v>98.694915254237287</v>
      </c>
      <c r="BD108" s="361" t="str">
        <f ca="1">IFERROR(__xludf.DUMMYFUNCTION("""COMPUTED_VALUE"""),"#DIV/0!")</f>
        <v>#DIV/0!</v>
      </c>
      <c r="BE108" s="362"/>
      <c r="BF108" s="363"/>
      <c r="BG108" s="363"/>
      <c r="BH108" s="338">
        <f t="shared" si="17"/>
        <v>0</v>
      </c>
      <c r="BI108" s="364"/>
      <c r="BJ108" s="365"/>
      <c r="BK108" s="371">
        <f>'Degrémont Entrée'!BH108</f>
        <v>0</v>
      </c>
      <c r="BL108" s="372" t="str">
        <f>'Degrémont Entrée'!BI108</f>
        <v>Transfert B04 vers B01 5h20</v>
      </c>
    </row>
    <row r="109" spans="1:64" ht="15.75" customHeight="1" outlineLevel="1">
      <c r="A109" s="337">
        <f t="shared" si="18"/>
        <v>43561</v>
      </c>
      <c r="B109" s="338">
        <f>'Degrémont Entrée'!B109</f>
        <v>920</v>
      </c>
      <c r="C109" s="339">
        <v>9</v>
      </c>
      <c r="D109" s="340">
        <v>89.8</v>
      </c>
      <c r="E109" s="341">
        <v>92.4</v>
      </c>
      <c r="F109" s="342">
        <v>100</v>
      </c>
      <c r="G109" s="329">
        <f t="shared" si="0"/>
        <v>26.000000000000085</v>
      </c>
      <c r="H109" s="338"/>
      <c r="I109" s="343">
        <v>597</v>
      </c>
      <c r="J109" s="344">
        <f t="shared" si="2"/>
        <v>549.24</v>
      </c>
      <c r="K109" s="343">
        <v>1</v>
      </c>
      <c r="L109" s="345">
        <v>2.02</v>
      </c>
      <c r="M109" s="346">
        <f t="shared" si="3"/>
        <v>2.02</v>
      </c>
      <c r="N109" s="338">
        <f t="shared" si="4"/>
        <v>1.8584000000000001</v>
      </c>
      <c r="O109" s="368"/>
      <c r="P109" s="347">
        <f t="shared" si="19"/>
        <v>0</v>
      </c>
      <c r="Q109" s="348"/>
      <c r="R109" s="369"/>
      <c r="S109" s="349">
        <f t="shared" si="20"/>
        <v>0</v>
      </c>
      <c r="T109" s="348"/>
      <c r="U109" s="369"/>
      <c r="V109" s="349">
        <f t="shared" si="5"/>
        <v>0</v>
      </c>
      <c r="W109" s="348"/>
      <c r="X109" s="318" t="str">
        <f t="shared" si="6"/>
        <v/>
      </c>
      <c r="Y109" s="370" t="e">
        <f t="shared" si="7"/>
        <v>#VALUE!</v>
      </c>
      <c r="Z109" s="343" t="s">
        <v>85</v>
      </c>
      <c r="AA109" s="345">
        <v>0.01</v>
      </c>
      <c r="AB109" s="352">
        <f t="shared" si="8"/>
        <v>4.6000000000000008E-3</v>
      </c>
      <c r="AC109" s="353"/>
      <c r="AD109" s="354"/>
      <c r="AE109" s="378" t="str">
        <f t="shared" si="21"/>
        <v/>
      </c>
      <c r="AF109" s="329"/>
      <c r="AG109" s="358"/>
      <c r="AH109" s="356" t="str">
        <f t="shared" si="22"/>
        <v/>
      </c>
      <c r="AI109" s="329"/>
      <c r="AJ109" s="329"/>
      <c r="AK109" s="356">
        <f t="shared" si="11"/>
        <v>0</v>
      </c>
      <c r="AL109" s="357"/>
      <c r="AM109" s="358"/>
      <c r="AN109" s="356">
        <f t="shared" si="12"/>
        <v>0</v>
      </c>
      <c r="AO109" s="329"/>
      <c r="AP109" s="358"/>
      <c r="AQ109" s="359">
        <f t="shared" si="13"/>
        <v>0</v>
      </c>
      <c r="AR109" s="360"/>
      <c r="AS109" s="358"/>
      <c r="AT109" s="356">
        <f t="shared" si="14"/>
        <v>0</v>
      </c>
      <c r="AU109" s="329"/>
      <c r="AV109" s="358"/>
      <c r="AW109" s="359">
        <f t="shared" si="15"/>
        <v>0</v>
      </c>
      <c r="AX109" s="329"/>
      <c r="AY109" s="358"/>
      <c r="AZ109" s="359">
        <f t="shared" si="16"/>
        <v>0</v>
      </c>
      <c r="BA109" s="329">
        <f>IF('Degrémont Entrée'!K109="",,('Degrémont Entrée'!K109-I109)/'Degrémont Entrée'!K109*100)</f>
        <v>80.277502477700693</v>
      </c>
      <c r="BB109" s="329">
        <f>IF('Degrémont Entrée'!G109="",,('Degrémont Entrée'!G109-G109)/'Degrémont Entrée'!G109*100)</f>
        <v>98.566929133858267</v>
      </c>
      <c r="BC109" s="329">
        <f>IF('Degrémont Entrée'!S109="",,('Degrémont Entrée'!S109-M109)/'Degrémont Entrée'!S109*100)</f>
        <v>97.984031936127749</v>
      </c>
      <c r="BD109" s="361" t="str">
        <f ca="1">IFERROR(__xludf.DUMMYFUNCTION("""COMPUTED_VALUE"""),"#DIV/0!")</f>
        <v>#DIV/0!</v>
      </c>
      <c r="BE109" s="362"/>
      <c r="BF109" s="363"/>
      <c r="BG109" s="363"/>
      <c r="BH109" s="338">
        <f t="shared" si="17"/>
        <v>0</v>
      </c>
      <c r="BI109" s="364"/>
      <c r="BJ109" s="365"/>
      <c r="BK109" s="366">
        <f>'Degrémont Entrée'!BH109</f>
        <v>0</v>
      </c>
      <c r="BL109" s="367">
        <f>'Degrémont Entrée'!BI109</f>
        <v>0</v>
      </c>
    </row>
    <row r="110" spans="1:64" ht="14.25" outlineLevel="1">
      <c r="A110" s="337">
        <f t="shared" si="18"/>
        <v>43562</v>
      </c>
      <c r="B110" s="338">
        <f>'Degrémont Entrée'!B110</f>
        <v>0</v>
      </c>
      <c r="C110" s="338"/>
      <c r="D110" s="388"/>
      <c r="E110" s="368"/>
      <c r="F110" s="342">
        <v>100</v>
      </c>
      <c r="G110" s="329">
        <f t="shared" si="0"/>
        <v>0</v>
      </c>
      <c r="H110" s="338"/>
      <c r="I110" s="346"/>
      <c r="J110" s="344">
        <f t="shared" si="2"/>
        <v>0</v>
      </c>
      <c r="K110" s="343">
        <v>1</v>
      </c>
      <c r="L110" s="329"/>
      <c r="M110" s="346" t="str">
        <f t="shared" si="3"/>
        <v/>
      </c>
      <c r="N110" s="338" t="e">
        <f t="shared" si="4"/>
        <v>#VALUE!</v>
      </c>
      <c r="O110" s="368"/>
      <c r="P110" s="347">
        <f t="shared" si="19"/>
        <v>0</v>
      </c>
      <c r="Q110" s="348"/>
      <c r="R110" s="369"/>
      <c r="S110" s="349">
        <f t="shared" si="20"/>
        <v>0</v>
      </c>
      <c r="T110" s="348"/>
      <c r="U110" s="369"/>
      <c r="V110" s="349">
        <f t="shared" si="5"/>
        <v>0</v>
      </c>
      <c r="W110" s="348"/>
      <c r="X110" s="318" t="str">
        <f t="shared" si="6"/>
        <v/>
      </c>
      <c r="Y110" s="370" t="e">
        <f t="shared" si="7"/>
        <v>#VALUE!</v>
      </c>
      <c r="Z110" s="346"/>
      <c r="AA110" s="329"/>
      <c r="AB110" s="352">
        <f t="shared" si="8"/>
        <v>0</v>
      </c>
      <c r="AC110" s="353"/>
      <c r="AD110" s="354"/>
      <c r="AE110" s="378" t="str">
        <f t="shared" si="21"/>
        <v/>
      </c>
      <c r="AF110" s="329"/>
      <c r="AG110" s="358"/>
      <c r="AH110" s="356" t="str">
        <f t="shared" si="22"/>
        <v/>
      </c>
      <c r="AI110" s="329"/>
      <c r="AJ110" s="329"/>
      <c r="AK110" s="356">
        <f t="shared" si="11"/>
        <v>0</v>
      </c>
      <c r="AL110" s="357"/>
      <c r="AM110" s="358"/>
      <c r="AN110" s="356">
        <f t="shared" si="12"/>
        <v>0</v>
      </c>
      <c r="AO110" s="329"/>
      <c r="AP110" s="358"/>
      <c r="AQ110" s="359">
        <f t="shared" si="13"/>
        <v>0</v>
      </c>
      <c r="AR110" s="360"/>
      <c r="AS110" s="358"/>
      <c r="AT110" s="356">
        <f t="shared" si="14"/>
        <v>0</v>
      </c>
      <c r="AU110" s="329"/>
      <c r="AV110" s="358"/>
      <c r="AW110" s="359">
        <f t="shared" si="15"/>
        <v>0</v>
      </c>
      <c r="AX110" s="329"/>
      <c r="AY110" s="358"/>
      <c r="AZ110" s="359">
        <f t="shared" si="16"/>
        <v>0</v>
      </c>
      <c r="BA110" s="329" t="e">
        <f>IF('Degrémont Entrée'!K110="",,('Degrémont Entrée'!K110-I110)/'Degrémont Entrée'!K110*100)</f>
        <v>#DIV/0!</v>
      </c>
      <c r="BB110" s="329" t="e">
        <f>IF('Degrémont Entrée'!G110="",,('Degrémont Entrée'!G110-G110)/'Degrémont Entrée'!G110*100)</f>
        <v>#DIV/0!</v>
      </c>
      <c r="BC110" s="329">
        <f>IF('Degrémont Entrée'!S110="",,('Degrémont Entrée'!S110-M110)/'Degrémont Entrée'!S110*100)</f>
        <v>0</v>
      </c>
      <c r="BD110" s="361" t="str">
        <f ca="1">IFERROR(__xludf.DUMMYFUNCTION("""COMPUTED_VALUE"""),"#DIV/0!")</f>
        <v>#DIV/0!</v>
      </c>
      <c r="BE110" s="362"/>
      <c r="BF110" s="363"/>
      <c r="BG110" s="363"/>
      <c r="BH110" s="338">
        <f t="shared" si="17"/>
        <v>0</v>
      </c>
      <c r="BI110" s="364"/>
      <c r="BJ110" s="365"/>
      <c r="BK110" s="371">
        <f>'Degrémont Entrée'!BH110</f>
        <v>0</v>
      </c>
      <c r="BL110" s="372">
        <f>'Degrémont Entrée'!BI110</f>
        <v>0</v>
      </c>
    </row>
    <row r="111" spans="1:64" ht="15.75" customHeight="1" outlineLevel="1">
      <c r="A111" s="337">
        <f t="shared" si="18"/>
        <v>43563</v>
      </c>
      <c r="B111" s="338">
        <f>'Degrémont Entrée'!B111</f>
        <v>1093</v>
      </c>
      <c r="C111" s="339">
        <v>8.8000000000000007</v>
      </c>
      <c r="D111" s="340">
        <v>88.8</v>
      </c>
      <c r="E111" s="341">
        <v>91.2</v>
      </c>
      <c r="F111" s="342">
        <v>100</v>
      </c>
      <c r="G111" s="329">
        <f t="shared" si="0"/>
        <v>24.000000000000053</v>
      </c>
      <c r="H111" s="338"/>
      <c r="I111" s="343">
        <v>623</v>
      </c>
      <c r="J111" s="344">
        <f t="shared" si="2"/>
        <v>680.93899999999996</v>
      </c>
      <c r="K111" s="343">
        <v>1</v>
      </c>
      <c r="L111" s="345">
        <v>1.32</v>
      </c>
      <c r="M111" s="346">
        <f t="shared" si="3"/>
        <v>1.32</v>
      </c>
      <c r="N111" s="338">
        <f t="shared" si="4"/>
        <v>1.44276</v>
      </c>
      <c r="O111" s="368"/>
      <c r="P111" s="347">
        <f t="shared" si="19"/>
        <v>0</v>
      </c>
      <c r="Q111" s="348"/>
      <c r="R111" s="369"/>
      <c r="S111" s="349">
        <f t="shared" si="20"/>
        <v>0</v>
      </c>
      <c r="T111" s="348"/>
      <c r="U111" s="369"/>
      <c r="V111" s="349">
        <f t="shared" si="5"/>
        <v>0</v>
      </c>
      <c r="W111" s="348"/>
      <c r="X111" s="318" t="str">
        <f t="shared" si="6"/>
        <v/>
      </c>
      <c r="Y111" s="370" t="e">
        <f t="shared" si="7"/>
        <v>#VALUE!</v>
      </c>
      <c r="Z111" s="343" t="s">
        <v>85</v>
      </c>
      <c r="AA111" s="345">
        <v>0.01</v>
      </c>
      <c r="AB111" s="352">
        <f t="shared" si="8"/>
        <v>5.4650000000000002E-3</v>
      </c>
      <c r="AC111" s="353"/>
      <c r="AD111" s="354"/>
      <c r="AE111" s="378" t="str">
        <f t="shared" si="21"/>
        <v/>
      </c>
      <c r="AF111" s="329"/>
      <c r="AG111" s="358"/>
      <c r="AH111" s="356" t="str">
        <f t="shared" si="22"/>
        <v/>
      </c>
      <c r="AI111" s="329"/>
      <c r="AJ111" s="329"/>
      <c r="AK111" s="356">
        <f t="shared" si="11"/>
        <v>0</v>
      </c>
      <c r="AL111" s="357"/>
      <c r="AM111" s="358"/>
      <c r="AN111" s="356">
        <f t="shared" si="12"/>
        <v>0</v>
      </c>
      <c r="AO111" s="329"/>
      <c r="AP111" s="358"/>
      <c r="AQ111" s="359">
        <f t="shared" si="13"/>
        <v>0</v>
      </c>
      <c r="AR111" s="360"/>
      <c r="AS111" s="358"/>
      <c r="AT111" s="356">
        <f t="shared" si="14"/>
        <v>0</v>
      </c>
      <c r="AU111" s="329"/>
      <c r="AV111" s="358"/>
      <c r="AW111" s="359">
        <f t="shared" si="15"/>
        <v>0</v>
      </c>
      <c r="AX111" s="329"/>
      <c r="AY111" s="358"/>
      <c r="AZ111" s="359">
        <f t="shared" si="16"/>
        <v>0</v>
      </c>
      <c r="BA111" s="329">
        <f>IF('Degrémont Entrée'!K111="",,('Degrémont Entrée'!K111-I111)/'Degrémont Entrée'!K111*100)</f>
        <v>82.987438558164939</v>
      </c>
      <c r="BB111" s="329">
        <f>IF('Degrémont Entrée'!G111="",,('Degrémont Entrée'!G111-G111)/'Degrémont Entrée'!G111*100)</f>
        <v>99.030567685589517</v>
      </c>
      <c r="BC111" s="329">
        <f>IF('Degrémont Entrée'!S111="",,('Degrémont Entrée'!S111-M111)/'Degrémont Entrée'!S111*100)</f>
        <v>99.03649635036497</v>
      </c>
      <c r="BD111" s="361" t="str">
        <f ca="1">IFERROR(__xludf.DUMMYFUNCTION("""COMPUTED_VALUE"""),"#DIV/0!")</f>
        <v>#DIV/0!</v>
      </c>
      <c r="BE111" s="362"/>
      <c r="BF111" s="363"/>
      <c r="BG111" s="363"/>
      <c r="BH111" s="338">
        <f t="shared" si="17"/>
        <v>0</v>
      </c>
      <c r="BI111" s="364"/>
      <c r="BJ111" s="365"/>
      <c r="BK111" s="366">
        <f>'Degrémont Entrée'!BH111</f>
        <v>0</v>
      </c>
      <c r="BL111" s="367">
        <f>'Degrémont Entrée'!BI111</f>
        <v>0</v>
      </c>
    </row>
    <row r="112" spans="1:64" ht="24" outlineLevel="1">
      <c r="A112" s="337">
        <f t="shared" si="18"/>
        <v>43564</v>
      </c>
      <c r="B112" s="338">
        <f>'Degrémont Entrée'!B112</f>
        <v>976</v>
      </c>
      <c r="C112" s="339">
        <v>8.8000000000000007</v>
      </c>
      <c r="D112" s="340">
        <v>89.5</v>
      </c>
      <c r="E112" s="341">
        <v>92</v>
      </c>
      <c r="F112" s="342">
        <v>100</v>
      </c>
      <c r="G112" s="329">
        <f t="shared" si="0"/>
        <v>25</v>
      </c>
      <c r="H112" s="338"/>
      <c r="I112" s="343">
        <v>465</v>
      </c>
      <c r="J112" s="344">
        <f t="shared" si="2"/>
        <v>453.84</v>
      </c>
      <c r="K112" s="343">
        <v>1</v>
      </c>
      <c r="L112" s="345">
        <v>0.64</v>
      </c>
      <c r="M112" s="346">
        <f t="shared" si="3"/>
        <v>0.64</v>
      </c>
      <c r="N112" s="338">
        <f t="shared" si="4"/>
        <v>0.62463999999999997</v>
      </c>
      <c r="O112" s="341">
        <v>7.3</v>
      </c>
      <c r="P112" s="347">
        <f t="shared" si="19"/>
        <v>7.1248000000000005</v>
      </c>
      <c r="Q112" s="348"/>
      <c r="R112" s="369"/>
      <c r="S112" s="349">
        <f t="shared" si="20"/>
        <v>0</v>
      </c>
      <c r="T112" s="348"/>
      <c r="U112" s="369"/>
      <c r="V112" s="349">
        <f t="shared" si="5"/>
        <v>0</v>
      </c>
      <c r="W112" s="348"/>
      <c r="X112" s="318">
        <f t="shared" si="6"/>
        <v>7.3</v>
      </c>
      <c r="Y112" s="370">
        <f t="shared" si="7"/>
        <v>7.1248000000000005</v>
      </c>
      <c r="Z112" s="343" t="s">
        <v>85</v>
      </c>
      <c r="AA112" s="345">
        <v>0.01</v>
      </c>
      <c r="AB112" s="352">
        <f t="shared" si="8"/>
        <v>4.8799999999999998E-3</v>
      </c>
      <c r="AC112" s="353"/>
      <c r="AD112" s="354"/>
      <c r="AE112" s="378" t="str">
        <f t="shared" si="21"/>
        <v/>
      </c>
      <c r="AF112" s="329"/>
      <c r="AG112" s="355">
        <v>1.1000000000000001</v>
      </c>
      <c r="AH112" s="356">
        <f t="shared" si="22"/>
        <v>6.6286000000000005</v>
      </c>
      <c r="AI112" s="329"/>
      <c r="AJ112" s="345">
        <v>0.68</v>
      </c>
      <c r="AK112" s="356">
        <f t="shared" si="11"/>
        <v>0.66368000000000005</v>
      </c>
      <c r="AL112" s="357"/>
      <c r="AM112" s="355">
        <v>0.08</v>
      </c>
      <c r="AN112" s="356">
        <f t="shared" si="12"/>
        <v>7.8079999999999997E-2</v>
      </c>
      <c r="AO112" s="329"/>
      <c r="AP112" s="355">
        <v>0.21</v>
      </c>
      <c r="AQ112" s="359">
        <f t="shared" si="13"/>
        <v>0.20495999999999998</v>
      </c>
      <c r="AR112" s="360"/>
      <c r="AS112" s="355">
        <v>0.27</v>
      </c>
      <c r="AT112" s="356">
        <f t="shared" si="14"/>
        <v>0.26352000000000003</v>
      </c>
      <c r="AU112" s="345" t="s">
        <v>85</v>
      </c>
      <c r="AV112" s="355">
        <v>0.15</v>
      </c>
      <c r="AW112" s="359">
        <f t="shared" si="15"/>
        <v>7.3200000000000001E-2</v>
      </c>
      <c r="AX112" s="345" t="s">
        <v>85</v>
      </c>
      <c r="AY112" s="355">
        <v>0.13</v>
      </c>
      <c r="AZ112" s="359">
        <f t="shared" si="16"/>
        <v>6.344000000000001E-2</v>
      </c>
      <c r="BA112" s="329">
        <f>IF('Degrémont Entrée'!K112="",,('Degrémont Entrée'!K112-I112)/'Degrémont Entrée'!K112*100)</f>
        <v>94.064334950217003</v>
      </c>
      <c r="BB112" s="329">
        <f>IF('Degrémont Entrée'!G112="",,('Degrémont Entrée'!G112-G112)/'Degrémont Entrée'!G112*100)</f>
        <v>99.692874692874682</v>
      </c>
      <c r="BC112" s="329">
        <f>IF('Degrémont Entrée'!S112="",,('Degrémont Entrée'!S112-M112)/'Degrémont Entrée'!S112*100)</f>
        <v>99.739837398373993</v>
      </c>
      <c r="BD112" s="361" t="str">
        <f ca="1">IFERROR(__xludf.DUMMYFUNCTION("""COMPUTED_VALUE"""),"#DIV/0!")</f>
        <v>#DIV/0!</v>
      </c>
      <c r="BE112" s="386">
        <v>22.431799999999999</v>
      </c>
      <c r="BF112" s="387">
        <v>35.604999999999997</v>
      </c>
      <c r="BG112" s="387">
        <v>29.07</v>
      </c>
      <c r="BH112" s="338">
        <f t="shared" si="17"/>
        <v>50.391704369477445</v>
      </c>
      <c r="BI112" s="364"/>
      <c r="BJ112" s="365"/>
      <c r="BK112" s="371">
        <f>'Degrémont Entrée'!BH112</f>
        <v>0</v>
      </c>
      <c r="BL112" s="372" t="str">
        <f>'Degrémont Entrée'!BI112</f>
        <v>Nettoyage degrilleur B01: dépot blanchatre</v>
      </c>
    </row>
    <row r="113" spans="1:64" ht="15.75" customHeight="1" outlineLevel="1">
      <c r="A113" s="337">
        <f t="shared" si="18"/>
        <v>43565</v>
      </c>
      <c r="B113" s="338">
        <f>'Degrémont Entrée'!B113</f>
        <v>886</v>
      </c>
      <c r="C113" s="339">
        <v>8.8000000000000007</v>
      </c>
      <c r="D113" s="340">
        <v>89.6</v>
      </c>
      <c r="E113" s="341">
        <v>92</v>
      </c>
      <c r="F113" s="342">
        <v>100</v>
      </c>
      <c r="G113" s="329">
        <f t="shared" si="0"/>
        <v>24.000000000000053</v>
      </c>
      <c r="H113" s="338"/>
      <c r="I113" s="343">
        <v>473</v>
      </c>
      <c r="J113" s="344">
        <f t="shared" si="2"/>
        <v>419.07799999999997</v>
      </c>
      <c r="K113" s="343">
        <v>1</v>
      </c>
      <c r="L113" s="345">
        <v>0.82</v>
      </c>
      <c r="M113" s="346">
        <f t="shared" si="3"/>
        <v>0.82</v>
      </c>
      <c r="N113" s="338">
        <f t="shared" si="4"/>
        <v>0.72651999999999994</v>
      </c>
      <c r="O113" s="368"/>
      <c r="P113" s="347">
        <f t="shared" si="19"/>
        <v>0</v>
      </c>
      <c r="Q113" s="348"/>
      <c r="R113" s="369"/>
      <c r="S113" s="349">
        <f t="shared" si="20"/>
        <v>0</v>
      </c>
      <c r="T113" s="348"/>
      <c r="U113" s="369"/>
      <c r="V113" s="349">
        <f t="shared" si="5"/>
        <v>0</v>
      </c>
      <c r="W113" s="348"/>
      <c r="X113" s="318" t="str">
        <f t="shared" si="6"/>
        <v/>
      </c>
      <c r="Y113" s="370" t="e">
        <f t="shared" si="7"/>
        <v>#VALUE!</v>
      </c>
      <c r="Z113" s="343" t="s">
        <v>85</v>
      </c>
      <c r="AA113" s="345">
        <v>0.01</v>
      </c>
      <c r="AB113" s="352">
        <f t="shared" si="8"/>
        <v>4.4299999999999999E-3</v>
      </c>
      <c r="AC113" s="353"/>
      <c r="AD113" s="354"/>
      <c r="AE113" s="378" t="str">
        <f t="shared" si="21"/>
        <v/>
      </c>
      <c r="AF113" s="329"/>
      <c r="AG113" s="358"/>
      <c r="AH113" s="356" t="str">
        <f t="shared" si="22"/>
        <v/>
      </c>
      <c r="AI113" s="329"/>
      <c r="AJ113" s="329"/>
      <c r="AK113" s="356">
        <f t="shared" si="11"/>
        <v>0</v>
      </c>
      <c r="AL113" s="357"/>
      <c r="AM113" s="358"/>
      <c r="AN113" s="356">
        <f t="shared" si="12"/>
        <v>0</v>
      </c>
      <c r="AO113" s="329"/>
      <c r="AP113" s="358"/>
      <c r="AQ113" s="359">
        <f t="shared" si="13"/>
        <v>0</v>
      </c>
      <c r="AR113" s="360"/>
      <c r="AS113" s="358"/>
      <c r="AT113" s="356">
        <f t="shared" si="14"/>
        <v>0</v>
      </c>
      <c r="AU113" s="329"/>
      <c r="AV113" s="358"/>
      <c r="AW113" s="359">
        <f t="shared" si="15"/>
        <v>0</v>
      </c>
      <c r="AX113" s="329"/>
      <c r="AY113" s="358"/>
      <c r="AZ113" s="359">
        <f t="shared" si="16"/>
        <v>0</v>
      </c>
      <c r="BA113" s="329">
        <f>IF('Degrémont Entrée'!K113="",,('Degrémont Entrée'!K113-I113)/'Degrémont Entrée'!K113*100)</f>
        <v>95.369554576603036</v>
      </c>
      <c r="BB113" s="329">
        <f>IF('Degrémont Entrée'!G113="",,('Degrémont Entrée'!G113-G113)/'Degrémont Entrée'!G113*100)</f>
        <v>99.793445878848061</v>
      </c>
      <c r="BC113" s="329">
        <f>IF('Degrémont Entrée'!S113="",,('Degrémont Entrée'!S113-M113)/'Degrémont Entrée'!S113*100)</f>
        <v>99.805687203791464</v>
      </c>
      <c r="BD113" s="361" t="str">
        <f ca="1">IFERROR(__xludf.DUMMYFUNCTION("""COMPUTED_VALUE"""),"#DIV/0!")</f>
        <v>#DIV/0!</v>
      </c>
      <c r="BE113" s="362"/>
      <c r="BF113" s="363"/>
      <c r="BG113" s="363"/>
      <c r="BH113" s="338">
        <f t="shared" si="17"/>
        <v>0</v>
      </c>
      <c r="BI113" s="364"/>
      <c r="BJ113" s="365"/>
      <c r="BK113" s="366">
        <f>'Degrémont Entrée'!BH113</f>
        <v>0</v>
      </c>
      <c r="BL113" s="367">
        <f>'Degrémont Entrée'!BI113</f>
        <v>0</v>
      </c>
    </row>
    <row r="114" spans="1:64" ht="14.25" outlineLevel="1">
      <c r="A114" s="337">
        <f t="shared" si="18"/>
        <v>43566</v>
      </c>
      <c r="B114" s="338">
        <f>'Degrémont Entrée'!B114</f>
        <v>731</v>
      </c>
      <c r="C114" s="339">
        <v>8.9499999999999993</v>
      </c>
      <c r="D114" s="340">
        <v>87.8</v>
      </c>
      <c r="E114" s="341">
        <v>89</v>
      </c>
      <c r="F114" s="342">
        <v>100</v>
      </c>
      <c r="G114" s="329">
        <f t="shared" si="0"/>
        <v>12.000000000000027</v>
      </c>
      <c r="H114" s="338"/>
      <c r="I114" s="343">
        <v>395</v>
      </c>
      <c r="J114" s="344">
        <f t="shared" si="2"/>
        <v>288.745</v>
      </c>
      <c r="K114" s="343">
        <v>1</v>
      </c>
      <c r="L114" s="345">
        <v>0.72</v>
      </c>
      <c r="M114" s="346">
        <f t="shared" si="3"/>
        <v>0.72</v>
      </c>
      <c r="N114" s="338">
        <f t="shared" si="4"/>
        <v>0.5263199999999999</v>
      </c>
      <c r="O114" s="368"/>
      <c r="P114" s="347">
        <f t="shared" si="19"/>
        <v>0</v>
      </c>
      <c r="Q114" s="348"/>
      <c r="R114" s="369"/>
      <c r="S114" s="349">
        <f t="shared" si="20"/>
        <v>0</v>
      </c>
      <c r="T114" s="348"/>
      <c r="U114" s="369"/>
      <c r="V114" s="349">
        <f t="shared" si="5"/>
        <v>0</v>
      </c>
      <c r="W114" s="348"/>
      <c r="X114" s="318" t="str">
        <f t="shared" si="6"/>
        <v/>
      </c>
      <c r="Y114" s="370" t="e">
        <f t="shared" si="7"/>
        <v>#VALUE!</v>
      </c>
      <c r="Z114" s="343" t="s">
        <v>85</v>
      </c>
      <c r="AA114" s="345">
        <v>0.01</v>
      </c>
      <c r="AB114" s="352">
        <f t="shared" si="8"/>
        <v>3.6550000000000003E-3</v>
      </c>
      <c r="AC114" s="353"/>
      <c r="AD114" s="354"/>
      <c r="AE114" s="378" t="str">
        <f t="shared" si="21"/>
        <v/>
      </c>
      <c r="AF114" s="329"/>
      <c r="AG114" s="358"/>
      <c r="AH114" s="356" t="str">
        <f t="shared" si="22"/>
        <v/>
      </c>
      <c r="AI114" s="329"/>
      <c r="AJ114" s="329"/>
      <c r="AK114" s="356">
        <f t="shared" si="11"/>
        <v>0</v>
      </c>
      <c r="AL114" s="357"/>
      <c r="AM114" s="358"/>
      <c r="AN114" s="356">
        <f t="shared" si="12"/>
        <v>0</v>
      </c>
      <c r="AO114" s="329"/>
      <c r="AP114" s="358"/>
      <c r="AQ114" s="359">
        <f t="shared" si="13"/>
        <v>0</v>
      </c>
      <c r="AR114" s="360"/>
      <c r="AS114" s="358"/>
      <c r="AT114" s="356">
        <f t="shared" si="14"/>
        <v>0</v>
      </c>
      <c r="AU114" s="329"/>
      <c r="AV114" s="358"/>
      <c r="AW114" s="359">
        <f t="shared" si="15"/>
        <v>0</v>
      </c>
      <c r="AX114" s="329"/>
      <c r="AY114" s="358"/>
      <c r="AZ114" s="359">
        <f t="shared" si="16"/>
        <v>0</v>
      </c>
      <c r="BA114" s="329">
        <f>IF('Degrémont Entrée'!K114="",,('Degrémont Entrée'!K114-I114)/'Degrémont Entrée'!K114*100)</f>
        <v>96.153097000389565</v>
      </c>
      <c r="BB114" s="329">
        <f>IF('Degrémont Entrée'!G114="",,('Degrémont Entrée'!G114-G114)/'Degrémont Entrée'!G114*100)</f>
        <v>99.904709748083249</v>
      </c>
      <c r="BC114" s="329">
        <f>IF('Degrémont Entrée'!S114="",,('Degrémont Entrée'!S114-M114)/'Degrémont Entrée'!S114*100)</f>
        <v>99.864661654135332</v>
      </c>
      <c r="BD114" s="361" t="str">
        <f ca="1">IFERROR(__xludf.DUMMYFUNCTION("""COMPUTED_VALUE"""),"#DIV/0!")</f>
        <v>#DIV/0!</v>
      </c>
      <c r="BE114" s="362"/>
      <c r="BF114" s="363"/>
      <c r="BG114" s="363"/>
      <c r="BH114" s="338">
        <f t="shared" si="17"/>
        <v>0</v>
      </c>
      <c r="BI114" s="364"/>
      <c r="BJ114" s="365"/>
      <c r="BK114" s="371">
        <f>'Degrémont Entrée'!BH114</f>
        <v>0</v>
      </c>
      <c r="BL114" s="372">
        <f>'Degrémont Entrée'!BI114</f>
        <v>0</v>
      </c>
    </row>
    <row r="115" spans="1:64" ht="15.75" customHeight="1" outlineLevel="1">
      <c r="A115" s="337">
        <f t="shared" si="18"/>
        <v>43567</v>
      </c>
      <c r="B115" s="338">
        <f>'Degrémont Entrée'!B115</f>
        <v>883</v>
      </c>
      <c r="C115" s="339">
        <v>8.91</v>
      </c>
      <c r="D115" s="340">
        <v>88.7</v>
      </c>
      <c r="E115" s="341">
        <v>90.3</v>
      </c>
      <c r="F115" s="342">
        <v>85</v>
      </c>
      <c r="G115" s="329">
        <f t="shared" si="0"/>
        <v>18.823529411764639</v>
      </c>
      <c r="H115" s="338"/>
      <c r="I115" s="343">
        <v>418</v>
      </c>
      <c r="J115" s="344">
        <f t="shared" si="2"/>
        <v>369.09399999999999</v>
      </c>
      <c r="K115" s="343">
        <v>1</v>
      </c>
      <c r="L115" s="345">
        <v>0.8</v>
      </c>
      <c r="M115" s="346">
        <f t="shared" si="3"/>
        <v>0.8</v>
      </c>
      <c r="N115" s="338">
        <f t="shared" si="4"/>
        <v>0.70640000000000014</v>
      </c>
      <c r="O115" s="368"/>
      <c r="P115" s="347">
        <f t="shared" si="19"/>
        <v>0</v>
      </c>
      <c r="Q115" s="348"/>
      <c r="R115" s="369"/>
      <c r="S115" s="349">
        <f t="shared" si="20"/>
        <v>0</v>
      </c>
      <c r="T115" s="348"/>
      <c r="U115" s="369"/>
      <c r="V115" s="349">
        <f t="shared" si="5"/>
        <v>0</v>
      </c>
      <c r="W115" s="348"/>
      <c r="X115" s="318" t="str">
        <f t="shared" si="6"/>
        <v/>
      </c>
      <c r="Y115" s="370" t="e">
        <f t="shared" si="7"/>
        <v>#VALUE!</v>
      </c>
      <c r="Z115" s="343" t="s">
        <v>85</v>
      </c>
      <c r="AA115" s="345">
        <v>0.01</v>
      </c>
      <c r="AB115" s="352">
        <f t="shared" si="8"/>
        <v>4.4149999999999997E-3</v>
      </c>
      <c r="AC115" s="353"/>
      <c r="AD115" s="354"/>
      <c r="AE115" s="378" t="str">
        <f t="shared" si="21"/>
        <v/>
      </c>
      <c r="AF115" s="329"/>
      <c r="AG115" s="358"/>
      <c r="AH115" s="356" t="str">
        <f t="shared" si="22"/>
        <v/>
      </c>
      <c r="AI115" s="329"/>
      <c r="AJ115" s="329"/>
      <c r="AK115" s="356">
        <f t="shared" si="11"/>
        <v>0</v>
      </c>
      <c r="AL115" s="357"/>
      <c r="AM115" s="358"/>
      <c r="AN115" s="356">
        <f t="shared" si="12"/>
        <v>0</v>
      </c>
      <c r="AO115" s="329"/>
      <c r="AP115" s="358"/>
      <c r="AQ115" s="359">
        <f t="shared" si="13"/>
        <v>0</v>
      </c>
      <c r="AR115" s="360"/>
      <c r="AS115" s="358"/>
      <c r="AT115" s="356">
        <f t="shared" si="14"/>
        <v>0</v>
      </c>
      <c r="AU115" s="329"/>
      <c r="AV115" s="358"/>
      <c r="AW115" s="359">
        <f t="shared" si="15"/>
        <v>0</v>
      </c>
      <c r="AX115" s="329"/>
      <c r="AY115" s="358"/>
      <c r="AZ115" s="359">
        <f t="shared" si="16"/>
        <v>0</v>
      </c>
      <c r="BA115" s="329">
        <f>IF('Degrémont Entrée'!K115="",,('Degrémont Entrée'!K115-I115)/'Degrémont Entrée'!K115*100)</f>
        <v>96.354439211582061</v>
      </c>
      <c r="BB115" s="329">
        <f>IF('Degrémont Entrée'!G115="",,('Degrémont Entrée'!G115-G115)/'Degrémont Entrée'!G115*100)</f>
        <v>99.852074425054909</v>
      </c>
      <c r="BC115" s="329">
        <f>IF('Degrémont Entrée'!S115="",,('Degrémont Entrée'!S115-M115)/'Degrémont Entrée'!S115*100)</f>
        <v>99.779005524861873</v>
      </c>
      <c r="BD115" s="361" t="str">
        <f ca="1">IFERROR(__xludf.DUMMYFUNCTION("""COMPUTED_VALUE"""),"#DIV/0!")</f>
        <v>#DIV/0!</v>
      </c>
      <c r="BE115" s="362"/>
      <c r="BF115" s="363"/>
      <c r="BG115" s="363"/>
      <c r="BH115" s="338">
        <f t="shared" si="17"/>
        <v>0</v>
      </c>
      <c r="BI115" s="364"/>
      <c r="BJ115" s="365"/>
      <c r="BK115" s="366">
        <f>'Degrémont Entrée'!BH115</f>
        <v>0</v>
      </c>
      <c r="BL115" s="367">
        <f>'Degrémont Entrée'!BI115</f>
        <v>0</v>
      </c>
    </row>
    <row r="116" spans="1:64" ht="14.25" outlineLevel="1">
      <c r="A116" s="337">
        <f t="shared" si="18"/>
        <v>43568</v>
      </c>
      <c r="B116" s="338">
        <f>'Degrémont Entrée'!B116</f>
        <v>974</v>
      </c>
      <c r="C116" s="339">
        <v>8.6300000000000008</v>
      </c>
      <c r="D116" s="340">
        <v>89.9</v>
      </c>
      <c r="E116" s="341">
        <v>93.3</v>
      </c>
      <c r="F116" s="342">
        <v>91</v>
      </c>
      <c r="G116" s="329">
        <f t="shared" si="0"/>
        <v>37.362637362637265</v>
      </c>
      <c r="H116" s="338"/>
      <c r="I116" s="343">
        <v>580</v>
      </c>
      <c r="J116" s="344">
        <f t="shared" si="2"/>
        <v>564.91999999999996</v>
      </c>
      <c r="K116" s="343">
        <v>1</v>
      </c>
      <c r="L116" s="345">
        <v>1.36</v>
      </c>
      <c r="M116" s="346">
        <f t="shared" si="3"/>
        <v>1.36</v>
      </c>
      <c r="N116" s="338">
        <f t="shared" si="4"/>
        <v>1.32464</v>
      </c>
      <c r="O116" s="368"/>
      <c r="P116" s="347">
        <f t="shared" si="19"/>
        <v>0</v>
      </c>
      <c r="Q116" s="348"/>
      <c r="R116" s="369"/>
      <c r="S116" s="349">
        <f t="shared" si="20"/>
        <v>0</v>
      </c>
      <c r="T116" s="348"/>
      <c r="U116" s="369"/>
      <c r="V116" s="349">
        <f t="shared" si="5"/>
        <v>0</v>
      </c>
      <c r="W116" s="348"/>
      <c r="X116" s="318" t="str">
        <f t="shared" si="6"/>
        <v/>
      </c>
      <c r="Y116" s="370" t="e">
        <f t="shared" si="7"/>
        <v>#VALUE!</v>
      </c>
      <c r="Z116" s="343" t="s">
        <v>85</v>
      </c>
      <c r="AA116" s="345">
        <v>0.01</v>
      </c>
      <c r="AB116" s="352">
        <f t="shared" si="8"/>
        <v>4.8700000000000002E-3</v>
      </c>
      <c r="AC116" s="353"/>
      <c r="AD116" s="354"/>
      <c r="AE116" s="378" t="str">
        <f t="shared" si="21"/>
        <v/>
      </c>
      <c r="AF116" s="329"/>
      <c r="AG116" s="358"/>
      <c r="AH116" s="356" t="str">
        <f t="shared" si="22"/>
        <v/>
      </c>
      <c r="AI116" s="329"/>
      <c r="AJ116" s="329"/>
      <c r="AK116" s="356">
        <f t="shared" si="11"/>
        <v>0</v>
      </c>
      <c r="AL116" s="357"/>
      <c r="AM116" s="358"/>
      <c r="AN116" s="356">
        <f t="shared" si="12"/>
        <v>0</v>
      </c>
      <c r="AO116" s="329"/>
      <c r="AP116" s="358"/>
      <c r="AQ116" s="359">
        <f t="shared" si="13"/>
        <v>0</v>
      </c>
      <c r="AR116" s="360"/>
      <c r="AS116" s="358"/>
      <c r="AT116" s="356">
        <f t="shared" si="14"/>
        <v>0</v>
      </c>
      <c r="AU116" s="329"/>
      <c r="AV116" s="358"/>
      <c r="AW116" s="359">
        <f t="shared" si="15"/>
        <v>0</v>
      </c>
      <c r="AX116" s="329"/>
      <c r="AY116" s="358"/>
      <c r="AZ116" s="359">
        <f t="shared" si="16"/>
        <v>0</v>
      </c>
      <c r="BA116" s="329">
        <f>IF('Degrémont Entrée'!K116="",,('Degrémont Entrée'!K116-I116)/'Degrémont Entrée'!K116*100)</f>
        <v>84.096517685769129</v>
      </c>
      <c r="BB116" s="329">
        <f>IF('Degrémont Entrée'!G116="",,('Degrémont Entrée'!G116-G116)/'Degrémont Entrée'!G116*100)</f>
        <v>98.484093472160311</v>
      </c>
      <c r="BC116" s="329">
        <f>IF('Degrémont Entrée'!S116="",,('Degrémont Entrée'!S116-M116)/'Degrémont Entrée'!S116*100)</f>
        <v>98.733705772811916</v>
      </c>
      <c r="BD116" s="361" t="str">
        <f ca="1">IFERROR(__xludf.DUMMYFUNCTION("""COMPUTED_VALUE"""),"#DIV/0!")</f>
        <v>#DIV/0!</v>
      </c>
      <c r="BE116" s="362"/>
      <c r="BF116" s="363"/>
      <c r="BG116" s="363"/>
      <c r="BH116" s="338">
        <f t="shared" si="17"/>
        <v>0</v>
      </c>
      <c r="BI116" s="364"/>
      <c r="BJ116" s="365"/>
      <c r="BK116" s="371">
        <f>'Degrémont Entrée'!BH116</f>
        <v>0</v>
      </c>
      <c r="BL116" s="372" t="str">
        <f>'Degrémont Entrée'!BI116</f>
        <v>Transfert B04 vers B0115 min</v>
      </c>
    </row>
    <row r="117" spans="1:64" ht="15.75" customHeight="1" outlineLevel="1">
      <c r="A117" s="337">
        <f t="shared" si="18"/>
        <v>43569</v>
      </c>
      <c r="B117" s="338">
        <f>'Degrémont Entrée'!B117</f>
        <v>0</v>
      </c>
      <c r="C117" s="338"/>
      <c r="D117" s="388"/>
      <c r="E117" s="368"/>
      <c r="F117" s="342">
        <v>100</v>
      </c>
      <c r="G117" s="329">
        <f t="shared" si="0"/>
        <v>0</v>
      </c>
      <c r="H117" s="338"/>
      <c r="I117" s="346"/>
      <c r="J117" s="344">
        <f t="shared" si="2"/>
        <v>0</v>
      </c>
      <c r="K117" s="343">
        <v>1</v>
      </c>
      <c r="L117" s="329"/>
      <c r="M117" s="346" t="str">
        <f t="shared" si="3"/>
        <v/>
      </c>
      <c r="N117" s="338" t="e">
        <f t="shared" si="4"/>
        <v>#VALUE!</v>
      </c>
      <c r="O117" s="368"/>
      <c r="P117" s="347">
        <f t="shared" si="19"/>
        <v>0</v>
      </c>
      <c r="Q117" s="348"/>
      <c r="R117" s="369"/>
      <c r="S117" s="349">
        <f t="shared" si="20"/>
        <v>0</v>
      </c>
      <c r="T117" s="348"/>
      <c r="U117" s="369"/>
      <c r="V117" s="349">
        <f t="shared" si="5"/>
        <v>0</v>
      </c>
      <c r="W117" s="348"/>
      <c r="X117" s="318" t="str">
        <f t="shared" si="6"/>
        <v/>
      </c>
      <c r="Y117" s="370" t="e">
        <f t="shared" si="7"/>
        <v>#VALUE!</v>
      </c>
      <c r="Z117" s="343" t="s">
        <v>85</v>
      </c>
      <c r="AA117" s="345">
        <v>0.01</v>
      </c>
      <c r="AB117" s="352">
        <f t="shared" si="8"/>
        <v>0</v>
      </c>
      <c r="AC117" s="353"/>
      <c r="AD117" s="354"/>
      <c r="AE117" s="378" t="str">
        <f t="shared" si="21"/>
        <v/>
      </c>
      <c r="AF117" s="329"/>
      <c r="AG117" s="358"/>
      <c r="AH117" s="356" t="str">
        <f t="shared" si="22"/>
        <v/>
      </c>
      <c r="AI117" s="329"/>
      <c r="AJ117" s="329"/>
      <c r="AK117" s="356">
        <f t="shared" si="11"/>
        <v>0</v>
      </c>
      <c r="AL117" s="357"/>
      <c r="AM117" s="358"/>
      <c r="AN117" s="356">
        <f t="shared" si="12"/>
        <v>0</v>
      </c>
      <c r="AO117" s="329"/>
      <c r="AP117" s="358"/>
      <c r="AQ117" s="359">
        <f t="shared" si="13"/>
        <v>0</v>
      </c>
      <c r="AR117" s="360"/>
      <c r="AS117" s="358"/>
      <c r="AT117" s="356">
        <f t="shared" si="14"/>
        <v>0</v>
      </c>
      <c r="AU117" s="329"/>
      <c r="AV117" s="358"/>
      <c r="AW117" s="359">
        <f t="shared" si="15"/>
        <v>0</v>
      </c>
      <c r="AX117" s="329"/>
      <c r="AY117" s="358"/>
      <c r="AZ117" s="359">
        <f t="shared" si="16"/>
        <v>0</v>
      </c>
      <c r="BA117" s="329" t="e">
        <f>IF('Degrémont Entrée'!K117="",,('Degrémont Entrée'!K117-I117)/'Degrémont Entrée'!K117*100)</f>
        <v>#DIV/0!</v>
      </c>
      <c r="BB117" s="329" t="e">
        <f>IF('Degrémont Entrée'!G117="",,('Degrémont Entrée'!G117-G117)/'Degrémont Entrée'!G117*100)</f>
        <v>#DIV/0!</v>
      </c>
      <c r="BC117" s="329">
        <f>IF('Degrémont Entrée'!S117="",,('Degrémont Entrée'!S117-M117)/'Degrémont Entrée'!S117*100)</f>
        <v>0</v>
      </c>
      <c r="BD117" s="361" t="str">
        <f ca="1">IFERROR(__xludf.DUMMYFUNCTION("""COMPUTED_VALUE"""),"#DIV/0!")</f>
        <v>#DIV/0!</v>
      </c>
      <c r="BE117" s="362"/>
      <c r="BF117" s="363"/>
      <c r="BG117" s="363"/>
      <c r="BH117" s="338">
        <f t="shared" si="17"/>
        <v>0</v>
      </c>
      <c r="BI117" s="364"/>
      <c r="BJ117" s="365"/>
      <c r="BK117" s="366">
        <f>'Degrémont Entrée'!BH117</f>
        <v>0</v>
      </c>
      <c r="BL117" s="367">
        <f>'Degrémont Entrée'!BI117</f>
        <v>0</v>
      </c>
    </row>
    <row r="118" spans="1:64" ht="14.25" outlineLevel="1">
      <c r="A118" s="337">
        <f t="shared" si="18"/>
        <v>43570</v>
      </c>
      <c r="B118" s="338">
        <f>'Degrémont Entrée'!B118</f>
        <v>842</v>
      </c>
      <c r="C118" s="339">
        <v>9.14</v>
      </c>
      <c r="D118" s="340">
        <v>90.1</v>
      </c>
      <c r="E118" s="341">
        <v>91.6</v>
      </c>
      <c r="F118" s="342">
        <v>96</v>
      </c>
      <c r="G118" s="329">
        <f t="shared" si="0"/>
        <v>15.625</v>
      </c>
      <c r="H118" s="338"/>
      <c r="I118" s="343">
        <v>410</v>
      </c>
      <c r="J118" s="344">
        <f t="shared" si="2"/>
        <v>345.22</v>
      </c>
      <c r="K118" s="343">
        <v>1</v>
      </c>
      <c r="L118" s="345">
        <v>0.91</v>
      </c>
      <c r="M118" s="346">
        <f t="shared" si="3"/>
        <v>0.91</v>
      </c>
      <c r="N118" s="338">
        <f t="shared" si="4"/>
        <v>0.76622000000000001</v>
      </c>
      <c r="O118" s="368"/>
      <c r="P118" s="347">
        <f t="shared" si="19"/>
        <v>0</v>
      </c>
      <c r="Q118" s="348"/>
      <c r="R118" s="369"/>
      <c r="S118" s="349">
        <f t="shared" si="20"/>
        <v>0</v>
      </c>
      <c r="T118" s="348"/>
      <c r="U118" s="369"/>
      <c r="V118" s="349">
        <f t="shared" si="5"/>
        <v>0</v>
      </c>
      <c r="W118" s="348"/>
      <c r="X118" s="318" t="str">
        <f t="shared" si="6"/>
        <v/>
      </c>
      <c r="Y118" s="370" t="e">
        <f t="shared" si="7"/>
        <v>#VALUE!</v>
      </c>
      <c r="Z118" s="343" t="s">
        <v>85</v>
      </c>
      <c r="AA118" s="345">
        <v>0.01</v>
      </c>
      <c r="AB118" s="352">
        <f t="shared" si="8"/>
        <v>4.2100000000000002E-3</v>
      </c>
      <c r="AC118" s="353"/>
      <c r="AD118" s="354"/>
      <c r="AE118" s="378" t="str">
        <f t="shared" si="21"/>
        <v/>
      </c>
      <c r="AF118" s="329"/>
      <c r="AG118" s="358"/>
      <c r="AH118" s="356" t="str">
        <f t="shared" si="22"/>
        <v/>
      </c>
      <c r="AI118" s="329"/>
      <c r="AJ118" s="329"/>
      <c r="AK118" s="356">
        <f t="shared" si="11"/>
        <v>0</v>
      </c>
      <c r="AL118" s="357"/>
      <c r="AM118" s="358"/>
      <c r="AN118" s="356">
        <f t="shared" si="12"/>
        <v>0</v>
      </c>
      <c r="AO118" s="329"/>
      <c r="AP118" s="358"/>
      <c r="AQ118" s="359">
        <f t="shared" si="13"/>
        <v>0</v>
      </c>
      <c r="AR118" s="360"/>
      <c r="AS118" s="358"/>
      <c r="AT118" s="356">
        <f t="shared" si="14"/>
        <v>0</v>
      </c>
      <c r="AU118" s="329"/>
      <c r="AV118" s="358"/>
      <c r="AW118" s="359">
        <f t="shared" si="15"/>
        <v>0</v>
      </c>
      <c r="AX118" s="329"/>
      <c r="AY118" s="358"/>
      <c r="AZ118" s="359">
        <f t="shared" si="16"/>
        <v>0</v>
      </c>
      <c r="BA118" s="329">
        <f>IF('Degrémont Entrée'!K118="",,('Degrémont Entrée'!K118-I118)/'Degrémont Entrée'!K118*100)</f>
        <v>96.274082151944754</v>
      </c>
      <c r="BB118" s="329">
        <f>IF('Degrémont Entrée'!G118="",,('Degrémont Entrée'!G118-G118)/'Degrémont Entrée'!G118*100)</f>
        <v>99.876371873404807</v>
      </c>
      <c r="BC118" s="329">
        <f>IF('Degrémont Entrée'!S118="",,('Degrémont Entrée'!S118-M118)/'Degrémont Entrée'!S118*100)</f>
        <v>99.826996197718643</v>
      </c>
      <c r="BD118" s="361" t="str">
        <f ca="1">IFERROR(__xludf.DUMMYFUNCTION("""COMPUTED_VALUE"""),"#DIV/0!")</f>
        <v>#DIV/0!</v>
      </c>
      <c r="BE118" s="362"/>
      <c r="BF118" s="363"/>
      <c r="BG118" s="363"/>
      <c r="BH118" s="338">
        <f t="shared" si="17"/>
        <v>0</v>
      </c>
      <c r="BI118" s="364"/>
      <c r="BJ118" s="365"/>
      <c r="BK118" s="371">
        <f>'Degrémont Entrée'!BH118</f>
        <v>0</v>
      </c>
      <c r="BL118" s="372">
        <f>'Degrémont Entrée'!BI118</f>
        <v>0</v>
      </c>
    </row>
    <row r="119" spans="1:64" ht="15.75" customHeight="1" outlineLevel="1">
      <c r="A119" s="337">
        <f t="shared" si="18"/>
        <v>43571</v>
      </c>
      <c r="B119" s="338">
        <f>'Degrémont Entrée'!B119</f>
        <v>831</v>
      </c>
      <c r="C119" s="339">
        <v>8.58</v>
      </c>
      <c r="D119" s="340">
        <v>89.1</v>
      </c>
      <c r="E119" s="341">
        <v>91.5</v>
      </c>
      <c r="F119" s="342">
        <v>93</v>
      </c>
      <c r="G119" s="329">
        <f t="shared" si="0"/>
        <v>25.806451612903285</v>
      </c>
      <c r="H119" s="338"/>
      <c r="I119" s="343">
        <v>224</v>
      </c>
      <c r="J119" s="344">
        <f t="shared" si="2"/>
        <v>186.14400000000001</v>
      </c>
      <c r="K119" s="343">
        <v>1</v>
      </c>
      <c r="L119" s="345">
        <v>1.24</v>
      </c>
      <c r="M119" s="346">
        <f t="shared" si="3"/>
        <v>1.24</v>
      </c>
      <c r="N119" s="338">
        <f t="shared" si="4"/>
        <v>1.03044</v>
      </c>
      <c r="O119" s="341">
        <v>8</v>
      </c>
      <c r="P119" s="347">
        <f t="shared" si="19"/>
        <v>6.6479999999999997</v>
      </c>
      <c r="Q119" s="348"/>
      <c r="R119" s="369"/>
      <c r="S119" s="349">
        <f t="shared" si="20"/>
        <v>0</v>
      </c>
      <c r="T119" s="348"/>
      <c r="U119" s="369"/>
      <c r="V119" s="349">
        <f t="shared" si="5"/>
        <v>0</v>
      </c>
      <c r="W119" s="348"/>
      <c r="X119" s="318">
        <f t="shared" si="6"/>
        <v>8</v>
      </c>
      <c r="Y119" s="370">
        <f t="shared" si="7"/>
        <v>6.6479999999999997</v>
      </c>
      <c r="Z119" s="343" t="s">
        <v>85</v>
      </c>
      <c r="AA119" s="345">
        <v>0.01</v>
      </c>
      <c r="AB119" s="352">
        <f t="shared" si="8"/>
        <v>4.1549999999999998E-3</v>
      </c>
      <c r="AC119" s="353"/>
      <c r="AD119" s="354"/>
      <c r="AE119" s="378" t="str">
        <f t="shared" si="21"/>
        <v/>
      </c>
      <c r="AF119" s="329"/>
      <c r="AG119" s="355">
        <v>1.8</v>
      </c>
      <c r="AH119" s="356">
        <f t="shared" si="22"/>
        <v>9.2646000000000015</v>
      </c>
      <c r="AI119" s="329"/>
      <c r="AJ119" s="345">
        <v>2.4</v>
      </c>
      <c r="AK119" s="356">
        <f t="shared" si="11"/>
        <v>1.9944</v>
      </c>
      <c r="AL119" s="357"/>
      <c r="AM119" s="355">
        <v>0.08</v>
      </c>
      <c r="AN119" s="356">
        <f t="shared" si="12"/>
        <v>6.6479999999999997E-2</v>
      </c>
      <c r="AO119" s="329"/>
      <c r="AP119" s="355">
        <v>0.61</v>
      </c>
      <c r="AQ119" s="359">
        <f t="shared" si="13"/>
        <v>0.50690999999999997</v>
      </c>
      <c r="AR119" s="360"/>
      <c r="AS119" s="355">
        <v>3.33</v>
      </c>
      <c r="AT119" s="356">
        <f t="shared" si="14"/>
        <v>2.7672300000000001</v>
      </c>
      <c r="AU119" s="345" t="s">
        <v>85</v>
      </c>
      <c r="AV119" s="355">
        <v>0.15</v>
      </c>
      <c r="AW119" s="359">
        <f t="shared" si="15"/>
        <v>6.2324999999999998E-2</v>
      </c>
      <c r="AX119" s="345" t="s">
        <v>85</v>
      </c>
      <c r="AY119" s="355">
        <v>0.13</v>
      </c>
      <c r="AZ119" s="359">
        <f t="shared" si="16"/>
        <v>5.4015000000000001E-2</v>
      </c>
      <c r="BA119" s="329">
        <f>IF('Degrémont Entrée'!K119="",,('Degrémont Entrée'!K119-I119)/'Degrémont Entrée'!K119*100)</f>
        <v>98.058589010227067</v>
      </c>
      <c r="BB119" s="329">
        <f>IF('Degrémont Entrée'!G119="",,('Degrémont Entrée'!G119-G119)/'Degrémont Entrée'!G119*100)</f>
        <v>99.793662228625806</v>
      </c>
      <c r="BC119" s="329">
        <f>IF('Degrémont Entrée'!S119="",,('Degrémont Entrée'!S119-M119)/'Degrémont Entrée'!S119*100)</f>
        <v>99.934564643799476</v>
      </c>
      <c r="BD119" s="361" t="str">
        <f ca="1">IFERROR(__xludf.DUMMYFUNCTION("""COMPUTED_VALUE"""),"#DIV/0!")</f>
        <v>#DIV/0!</v>
      </c>
      <c r="BE119" s="386">
        <v>12.9505</v>
      </c>
      <c r="BF119" s="387">
        <v>15.4313</v>
      </c>
      <c r="BG119" s="387">
        <v>14.3399</v>
      </c>
      <c r="BH119" s="338">
        <f t="shared" si="17"/>
        <v>56.006127055788461</v>
      </c>
      <c r="BI119" s="364"/>
      <c r="BJ119" s="365"/>
      <c r="BK119" s="366">
        <f>'Degrémont Entrée'!BH119</f>
        <v>0</v>
      </c>
      <c r="BL119" s="367" t="str">
        <f>'Degrémont Entrée'!BI119</f>
        <v>Transfert B04 vers B01 2H</v>
      </c>
    </row>
    <row r="120" spans="1:64" ht="14.25" outlineLevel="1">
      <c r="A120" s="337">
        <f t="shared" si="18"/>
        <v>43572</v>
      </c>
      <c r="B120" s="338">
        <f>'Degrémont Entrée'!B120</f>
        <v>950</v>
      </c>
      <c r="C120" s="339">
        <v>8.67</v>
      </c>
      <c r="D120" s="340">
        <v>89.9</v>
      </c>
      <c r="E120" s="341">
        <v>93.5</v>
      </c>
      <c r="F120" s="342">
        <v>100</v>
      </c>
      <c r="G120" s="329">
        <f t="shared" si="0"/>
        <v>35.999999999999943</v>
      </c>
      <c r="H120" s="338"/>
      <c r="I120" s="343">
        <v>1743</v>
      </c>
      <c r="J120" s="344">
        <f t="shared" si="2"/>
        <v>1655.85</v>
      </c>
      <c r="K120" s="343">
        <v>1</v>
      </c>
      <c r="L120" s="345">
        <v>1.1100000000000001</v>
      </c>
      <c r="M120" s="346">
        <f t="shared" si="3"/>
        <v>1.1100000000000001</v>
      </c>
      <c r="N120" s="338">
        <f t="shared" si="4"/>
        <v>1.0545</v>
      </c>
      <c r="O120" s="368"/>
      <c r="P120" s="347">
        <f t="shared" si="19"/>
        <v>0</v>
      </c>
      <c r="Q120" s="348"/>
      <c r="R120" s="369"/>
      <c r="S120" s="349">
        <f t="shared" si="20"/>
        <v>0</v>
      </c>
      <c r="T120" s="348"/>
      <c r="U120" s="369"/>
      <c r="V120" s="349">
        <f t="shared" si="5"/>
        <v>0</v>
      </c>
      <c r="W120" s="348"/>
      <c r="X120" s="318" t="str">
        <f t="shared" si="6"/>
        <v/>
      </c>
      <c r="Y120" s="370" t="e">
        <f t="shared" si="7"/>
        <v>#VALUE!</v>
      </c>
      <c r="Z120" s="343" t="s">
        <v>85</v>
      </c>
      <c r="AA120" s="345">
        <v>0.01</v>
      </c>
      <c r="AB120" s="352">
        <f t="shared" si="8"/>
        <v>4.7499999999999999E-3</v>
      </c>
      <c r="AC120" s="353"/>
      <c r="AD120" s="354"/>
      <c r="AE120" s="378" t="str">
        <f t="shared" si="21"/>
        <v/>
      </c>
      <c r="AF120" s="329"/>
      <c r="AG120" s="358"/>
      <c r="AH120" s="356" t="str">
        <f t="shared" si="22"/>
        <v/>
      </c>
      <c r="AI120" s="329"/>
      <c r="AJ120" s="329"/>
      <c r="AK120" s="356">
        <f t="shared" si="11"/>
        <v>0</v>
      </c>
      <c r="AL120" s="357"/>
      <c r="AM120" s="358"/>
      <c r="AN120" s="356">
        <f t="shared" si="12"/>
        <v>0</v>
      </c>
      <c r="AO120" s="329"/>
      <c r="AP120" s="358"/>
      <c r="AQ120" s="359">
        <f t="shared" si="13"/>
        <v>0</v>
      </c>
      <c r="AR120" s="360"/>
      <c r="AS120" s="358"/>
      <c r="AT120" s="356">
        <f t="shared" si="14"/>
        <v>0</v>
      </c>
      <c r="AU120" s="329"/>
      <c r="AV120" s="358"/>
      <c r="AW120" s="359">
        <f t="shared" si="15"/>
        <v>0</v>
      </c>
      <c r="AX120" s="329"/>
      <c r="AY120" s="358"/>
      <c r="AZ120" s="359">
        <f t="shared" si="16"/>
        <v>0</v>
      </c>
      <c r="BA120" s="329">
        <f>IF('Degrémont Entrée'!K120="",,('Degrémont Entrée'!K120-I120)/'Degrémont Entrée'!K120*100)</f>
        <v>90.945454545454538</v>
      </c>
      <c r="BB120" s="329">
        <f>IF('Degrémont Entrée'!G120="",,('Degrémont Entrée'!G120-G120)/'Degrémont Entrée'!G120*100)</f>
        <v>99.718218623481775</v>
      </c>
      <c r="BC120" s="329">
        <f>IF('Degrémont Entrée'!S120="",,('Degrémont Entrée'!S120-M120)/'Degrémont Entrée'!S120*100)</f>
        <v>99.827906976744188</v>
      </c>
      <c r="BD120" s="361" t="str">
        <f ca="1">IFERROR(__xludf.DUMMYFUNCTION("""COMPUTED_VALUE"""),"#DIV/0!")</f>
        <v>#DIV/0!</v>
      </c>
      <c r="BE120" s="362"/>
      <c r="BF120" s="363"/>
      <c r="BG120" s="363"/>
      <c r="BH120" s="338">
        <f t="shared" si="17"/>
        <v>0</v>
      </c>
      <c r="BI120" s="364"/>
      <c r="BJ120" s="365"/>
      <c r="BK120" s="371">
        <f>'Degrémont Entrée'!BH120</f>
        <v>0</v>
      </c>
      <c r="BL120" s="372" t="str">
        <f>'Degrémont Entrée'!BI120</f>
        <v>Transfert B04 vers B01 2H</v>
      </c>
    </row>
    <row r="121" spans="1:64" ht="15.75" customHeight="1" outlineLevel="1">
      <c r="A121" s="337">
        <f t="shared" si="18"/>
        <v>43573</v>
      </c>
      <c r="B121" s="338">
        <f>'Degrémont Entrée'!B121</f>
        <v>1967</v>
      </c>
      <c r="C121" s="339">
        <v>8.1999999999999993</v>
      </c>
      <c r="D121" s="340">
        <v>90.5</v>
      </c>
      <c r="E121" s="341">
        <v>94.1</v>
      </c>
      <c r="F121" s="342">
        <v>100</v>
      </c>
      <c r="G121" s="329">
        <f t="shared" si="0"/>
        <v>35.999999999999943</v>
      </c>
      <c r="H121" s="338"/>
      <c r="I121" s="343">
        <v>1332</v>
      </c>
      <c r="J121" s="344">
        <f t="shared" si="2"/>
        <v>2620.0439999999999</v>
      </c>
      <c r="K121" s="343">
        <v>1</v>
      </c>
      <c r="L121" s="345">
        <v>0.76</v>
      </c>
      <c r="M121" s="346">
        <f t="shared" si="3"/>
        <v>0.76</v>
      </c>
      <c r="N121" s="338">
        <f t="shared" si="4"/>
        <v>1.49492</v>
      </c>
      <c r="O121" s="368"/>
      <c r="P121" s="347">
        <f t="shared" si="19"/>
        <v>0</v>
      </c>
      <c r="Q121" s="348"/>
      <c r="R121" s="369"/>
      <c r="S121" s="349">
        <f t="shared" si="20"/>
        <v>0</v>
      </c>
      <c r="T121" s="348"/>
      <c r="U121" s="369"/>
      <c r="V121" s="349">
        <f t="shared" si="5"/>
        <v>0</v>
      </c>
      <c r="W121" s="348"/>
      <c r="X121" s="318" t="str">
        <f t="shared" si="6"/>
        <v/>
      </c>
      <c r="Y121" s="370" t="e">
        <f t="shared" si="7"/>
        <v>#VALUE!</v>
      </c>
      <c r="Z121" s="343" t="s">
        <v>85</v>
      </c>
      <c r="AA121" s="345">
        <v>0.01</v>
      </c>
      <c r="AB121" s="352">
        <f t="shared" si="8"/>
        <v>9.835E-3</v>
      </c>
      <c r="AC121" s="353"/>
      <c r="AD121" s="354"/>
      <c r="AE121" s="378" t="str">
        <f t="shared" si="21"/>
        <v/>
      </c>
      <c r="AF121" s="329"/>
      <c r="AG121" s="358"/>
      <c r="AH121" s="356" t="str">
        <f t="shared" si="22"/>
        <v/>
      </c>
      <c r="AI121" s="329"/>
      <c r="AJ121" s="329"/>
      <c r="AK121" s="356">
        <f t="shared" si="11"/>
        <v>0</v>
      </c>
      <c r="AL121" s="357"/>
      <c r="AM121" s="358"/>
      <c r="AN121" s="356">
        <f t="shared" si="12"/>
        <v>0</v>
      </c>
      <c r="AO121" s="329"/>
      <c r="AP121" s="358"/>
      <c r="AQ121" s="359">
        <f t="shared" si="13"/>
        <v>0</v>
      </c>
      <c r="AR121" s="360"/>
      <c r="AS121" s="358"/>
      <c r="AT121" s="356">
        <f t="shared" si="14"/>
        <v>0</v>
      </c>
      <c r="AU121" s="329"/>
      <c r="AV121" s="358"/>
      <c r="AW121" s="359">
        <f t="shared" si="15"/>
        <v>0</v>
      </c>
      <c r="AX121" s="329"/>
      <c r="AY121" s="358"/>
      <c r="AZ121" s="359">
        <f t="shared" si="16"/>
        <v>0</v>
      </c>
      <c r="BA121" s="329">
        <f>IF('Degrémont Entrée'!K121="",,('Degrémont Entrée'!K121-I121)/'Degrémont Entrée'!K121*100)</f>
        <v>87.050359712230218</v>
      </c>
      <c r="BB121" s="329">
        <f>IF('Degrémont Entrée'!G121="",,('Degrémont Entrée'!G121-G121)/'Degrémont Entrée'!G121*100)</f>
        <v>99.64345403899722</v>
      </c>
      <c r="BC121" s="329">
        <f>IF('Degrémont Entrée'!S121="",,('Degrémont Entrée'!S121-M121)/'Degrémont Entrée'!S121*100)</f>
        <v>99.868512110726641</v>
      </c>
      <c r="BD121" s="361" t="str">
        <f ca="1">IFERROR(__xludf.DUMMYFUNCTION("""COMPUTED_VALUE"""),"#DIV/0!")</f>
        <v>#DIV/0!</v>
      </c>
      <c r="BE121" s="362"/>
      <c r="BF121" s="363"/>
      <c r="BG121" s="363"/>
      <c r="BH121" s="338">
        <f t="shared" si="17"/>
        <v>0</v>
      </c>
      <c r="BI121" s="364"/>
      <c r="BJ121" s="365"/>
      <c r="BK121" s="366">
        <f>'Degrémont Entrée'!BH121</f>
        <v>0</v>
      </c>
      <c r="BL121" s="367" t="str">
        <f>'Degrémont Entrée'!BI121</f>
        <v>17 big bags 2 rectifs 2 phosphatations</v>
      </c>
    </row>
    <row r="122" spans="1:64" ht="14.25" outlineLevel="1">
      <c r="A122" s="337">
        <f t="shared" si="18"/>
        <v>43574</v>
      </c>
      <c r="B122" s="338">
        <f>'Degrémont Entrée'!B122</f>
        <v>0</v>
      </c>
      <c r="C122" s="338"/>
      <c r="D122" s="388"/>
      <c r="E122" s="368"/>
      <c r="F122" s="342">
        <v>100</v>
      </c>
      <c r="G122" s="329">
        <f t="shared" si="0"/>
        <v>0</v>
      </c>
      <c r="H122" s="338"/>
      <c r="I122" s="346"/>
      <c r="J122" s="344">
        <f t="shared" si="2"/>
        <v>0</v>
      </c>
      <c r="K122" s="343">
        <v>1</v>
      </c>
      <c r="L122" s="329"/>
      <c r="M122" s="346" t="str">
        <f t="shared" si="3"/>
        <v/>
      </c>
      <c r="N122" s="338" t="e">
        <f t="shared" si="4"/>
        <v>#VALUE!</v>
      </c>
      <c r="O122" s="368"/>
      <c r="P122" s="347">
        <f t="shared" si="19"/>
        <v>0</v>
      </c>
      <c r="Q122" s="348"/>
      <c r="R122" s="369"/>
      <c r="S122" s="349">
        <f t="shared" si="20"/>
        <v>0</v>
      </c>
      <c r="T122" s="348"/>
      <c r="U122" s="369"/>
      <c r="V122" s="349">
        <f t="shared" si="5"/>
        <v>0</v>
      </c>
      <c r="W122" s="348"/>
      <c r="X122" s="318" t="str">
        <f t="shared" si="6"/>
        <v/>
      </c>
      <c r="Y122" s="370" t="e">
        <f t="shared" si="7"/>
        <v>#VALUE!</v>
      </c>
      <c r="Z122" s="346"/>
      <c r="AA122" s="329"/>
      <c r="AB122" s="352">
        <f t="shared" si="8"/>
        <v>0</v>
      </c>
      <c r="AC122" s="353"/>
      <c r="AD122" s="354"/>
      <c r="AE122" s="378" t="str">
        <f t="shared" si="21"/>
        <v/>
      </c>
      <c r="AF122" s="329"/>
      <c r="AG122" s="358"/>
      <c r="AH122" s="356" t="str">
        <f t="shared" si="22"/>
        <v/>
      </c>
      <c r="AI122" s="329"/>
      <c r="AJ122" s="329"/>
      <c r="AK122" s="356">
        <f t="shared" si="11"/>
        <v>0</v>
      </c>
      <c r="AL122" s="357"/>
      <c r="AM122" s="358"/>
      <c r="AN122" s="356">
        <f t="shared" si="12"/>
        <v>0</v>
      </c>
      <c r="AO122" s="329"/>
      <c r="AP122" s="358"/>
      <c r="AQ122" s="359">
        <f t="shared" si="13"/>
        <v>0</v>
      </c>
      <c r="AR122" s="360"/>
      <c r="AS122" s="358"/>
      <c r="AT122" s="356">
        <f t="shared" si="14"/>
        <v>0</v>
      </c>
      <c r="AU122" s="329"/>
      <c r="AV122" s="358"/>
      <c r="AW122" s="359">
        <f t="shared" si="15"/>
        <v>0</v>
      </c>
      <c r="AX122" s="329"/>
      <c r="AY122" s="358"/>
      <c r="AZ122" s="359">
        <f t="shared" si="16"/>
        <v>0</v>
      </c>
      <c r="BA122" s="329" t="e">
        <f>IF('Degrémont Entrée'!K122="",,('Degrémont Entrée'!K122-I122)/'Degrémont Entrée'!K122*100)</f>
        <v>#DIV/0!</v>
      </c>
      <c r="BB122" s="329" t="e">
        <f>IF('Degrémont Entrée'!G122="",,('Degrémont Entrée'!G122-G122)/'Degrémont Entrée'!G122*100)</f>
        <v>#DIV/0!</v>
      </c>
      <c r="BC122" s="329">
        <f>IF('Degrémont Entrée'!S122="",,('Degrémont Entrée'!S122-M122)/'Degrémont Entrée'!S122*100)</f>
        <v>0</v>
      </c>
      <c r="BD122" s="361" t="str">
        <f ca="1">IFERROR(__xludf.DUMMYFUNCTION("""COMPUTED_VALUE"""),"#DIV/0!")</f>
        <v>#DIV/0!</v>
      </c>
      <c r="BE122" s="362"/>
      <c r="BF122" s="363"/>
      <c r="BG122" s="363"/>
      <c r="BH122" s="338">
        <f t="shared" si="17"/>
        <v>0</v>
      </c>
      <c r="BI122" s="364"/>
      <c r="BJ122" s="365"/>
      <c r="BK122" s="371">
        <f>'Degrémont Entrée'!BH122</f>
        <v>0</v>
      </c>
      <c r="BL122" s="372">
        <f>'Degrémont Entrée'!BI122</f>
        <v>0</v>
      </c>
    </row>
    <row r="123" spans="1:64" ht="15.75" customHeight="1" outlineLevel="1">
      <c r="A123" s="337">
        <f t="shared" si="18"/>
        <v>43575</v>
      </c>
      <c r="B123" s="338">
        <f>'Degrémont Entrée'!B123</f>
        <v>0</v>
      </c>
      <c r="C123" s="338"/>
      <c r="D123" s="388"/>
      <c r="E123" s="368"/>
      <c r="F123" s="342">
        <v>100</v>
      </c>
      <c r="G123" s="329">
        <f t="shared" si="0"/>
        <v>0</v>
      </c>
      <c r="H123" s="338"/>
      <c r="I123" s="346"/>
      <c r="J123" s="344">
        <f t="shared" si="2"/>
        <v>0</v>
      </c>
      <c r="K123" s="343">
        <v>1</v>
      </c>
      <c r="L123" s="329"/>
      <c r="M123" s="346" t="str">
        <f t="shared" si="3"/>
        <v/>
      </c>
      <c r="N123" s="338" t="e">
        <f t="shared" si="4"/>
        <v>#VALUE!</v>
      </c>
      <c r="O123" s="368"/>
      <c r="P123" s="347">
        <f t="shared" si="19"/>
        <v>0</v>
      </c>
      <c r="Q123" s="348"/>
      <c r="R123" s="369"/>
      <c r="S123" s="349">
        <f t="shared" si="20"/>
        <v>0</v>
      </c>
      <c r="T123" s="348"/>
      <c r="U123" s="369"/>
      <c r="V123" s="349">
        <f t="shared" si="5"/>
        <v>0</v>
      </c>
      <c r="W123" s="348"/>
      <c r="X123" s="318" t="str">
        <f t="shared" si="6"/>
        <v/>
      </c>
      <c r="Y123" s="370" t="e">
        <f t="shared" si="7"/>
        <v>#VALUE!</v>
      </c>
      <c r="Z123" s="346"/>
      <c r="AA123" s="329"/>
      <c r="AB123" s="352">
        <f t="shared" si="8"/>
        <v>0</v>
      </c>
      <c r="AC123" s="353"/>
      <c r="AD123" s="354"/>
      <c r="AE123" s="378" t="str">
        <f t="shared" si="21"/>
        <v/>
      </c>
      <c r="AF123" s="329"/>
      <c r="AG123" s="358"/>
      <c r="AH123" s="356" t="str">
        <f t="shared" si="22"/>
        <v/>
      </c>
      <c r="AI123" s="329"/>
      <c r="AJ123" s="329"/>
      <c r="AK123" s="356">
        <f t="shared" si="11"/>
        <v>0</v>
      </c>
      <c r="AL123" s="357"/>
      <c r="AM123" s="358"/>
      <c r="AN123" s="356">
        <f t="shared" si="12"/>
        <v>0</v>
      </c>
      <c r="AO123" s="329"/>
      <c r="AP123" s="358"/>
      <c r="AQ123" s="359">
        <f t="shared" si="13"/>
        <v>0</v>
      </c>
      <c r="AR123" s="360"/>
      <c r="AS123" s="358"/>
      <c r="AT123" s="356">
        <f t="shared" si="14"/>
        <v>0</v>
      </c>
      <c r="AU123" s="329"/>
      <c r="AV123" s="358"/>
      <c r="AW123" s="359">
        <f t="shared" si="15"/>
        <v>0</v>
      </c>
      <c r="AX123" s="329"/>
      <c r="AY123" s="358"/>
      <c r="AZ123" s="359">
        <f t="shared" si="16"/>
        <v>0</v>
      </c>
      <c r="BA123" s="329" t="e">
        <f>IF('Degrémont Entrée'!K123="",,('Degrémont Entrée'!K123-I123)/'Degrémont Entrée'!K123*100)</f>
        <v>#DIV/0!</v>
      </c>
      <c r="BB123" s="329" t="e">
        <f>IF('Degrémont Entrée'!G123="",,('Degrémont Entrée'!G123-G123)/'Degrémont Entrée'!G123*100)</f>
        <v>#DIV/0!</v>
      </c>
      <c r="BC123" s="329">
        <f>IF('Degrémont Entrée'!S123="",,('Degrémont Entrée'!S123-M123)/'Degrémont Entrée'!S123*100)</f>
        <v>0</v>
      </c>
      <c r="BD123" s="361" t="str">
        <f ca="1">IFERROR(__xludf.DUMMYFUNCTION("""COMPUTED_VALUE"""),"#DIV/0!")</f>
        <v>#DIV/0!</v>
      </c>
      <c r="BE123" s="362"/>
      <c r="BF123" s="363"/>
      <c r="BG123" s="363"/>
      <c r="BH123" s="338">
        <f t="shared" si="17"/>
        <v>0</v>
      </c>
      <c r="BI123" s="364"/>
      <c r="BJ123" s="365"/>
      <c r="BK123" s="366">
        <f>'Degrémont Entrée'!BH123</f>
        <v>0</v>
      </c>
      <c r="BL123" s="367">
        <f>'Degrémont Entrée'!BI123</f>
        <v>0</v>
      </c>
    </row>
    <row r="124" spans="1:64" ht="14.25" outlineLevel="1">
      <c r="A124" s="337">
        <f t="shared" si="18"/>
        <v>43576</v>
      </c>
      <c r="B124" s="338">
        <f>'Degrémont Entrée'!B124</f>
        <v>0</v>
      </c>
      <c r="C124" s="338"/>
      <c r="D124" s="388"/>
      <c r="E124" s="368"/>
      <c r="F124" s="342">
        <v>100</v>
      </c>
      <c r="G124" s="329">
        <f t="shared" si="0"/>
        <v>0</v>
      </c>
      <c r="H124" s="338"/>
      <c r="I124" s="346"/>
      <c r="J124" s="344">
        <f t="shared" si="2"/>
        <v>0</v>
      </c>
      <c r="K124" s="343">
        <v>1</v>
      </c>
      <c r="L124" s="329"/>
      <c r="M124" s="346" t="str">
        <f t="shared" si="3"/>
        <v/>
      </c>
      <c r="N124" s="338" t="e">
        <f t="shared" si="4"/>
        <v>#VALUE!</v>
      </c>
      <c r="O124" s="368"/>
      <c r="P124" s="347">
        <f t="shared" si="19"/>
        <v>0</v>
      </c>
      <c r="Q124" s="348"/>
      <c r="R124" s="369"/>
      <c r="S124" s="349">
        <f t="shared" si="20"/>
        <v>0</v>
      </c>
      <c r="T124" s="348"/>
      <c r="U124" s="369"/>
      <c r="V124" s="349">
        <f t="shared" si="5"/>
        <v>0</v>
      </c>
      <c r="W124" s="348"/>
      <c r="X124" s="318" t="str">
        <f t="shared" si="6"/>
        <v/>
      </c>
      <c r="Y124" s="370" t="e">
        <f t="shared" si="7"/>
        <v>#VALUE!</v>
      </c>
      <c r="Z124" s="346"/>
      <c r="AA124" s="329"/>
      <c r="AB124" s="352">
        <f t="shared" si="8"/>
        <v>0</v>
      </c>
      <c r="AC124" s="353"/>
      <c r="AD124" s="354"/>
      <c r="AE124" s="378" t="str">
        <f t="shared" si="21"/>
        <v/>
      </c>
      <c r="AF124" s="329"/>
      <c r="AG124" s="358"/>
      <c r="AH124" s="356" t="str">
        <f t="shared" si="22"/>
        <v/>
      </c>
      <c r="AI124" s="329"/>
      <c r="AJ124" s="329"/>
      <c r="AK124" s="356">
        <f t="shared" si="11"/>
        <v>0</v>
      </c>
      <c r="AL124" s="357"/>
      <c r="AM124" s="358"/>
      <c r="AN124" s="356">
        <f t="shared" si="12"/>
        <v>0</v>
      </c>
      <c r="AO124" s="329"/>
      <c r="AP124" s="358"/>
      <c r="AQ124" s="359">
        <f t="shared" si="13"/>
        <v>0</v>
      </c>
      <c r="AR124" s="360"/>
      <c r="AS124" s="358"/>
      <c r="AT124" s="356">
        <f t="shared" si="14"/>
        <v>0</v>
      </c>
      <c r="AU124" s="329"/>
      <c r="AV124" s="358"/>
      <c r="AW124" s="359">
        <f t="shared" si="15"/>
        <v>0</v>
      </c>
      <c r="AX124" s="329"/>
      <c r="AY124" s="358"/>
      <c r="AZ124" s="359">
        <f t="shared" si="16"/>
        <v>0</v>
      </c>
      <c r="BA124" s="329" t="e">
        <f>IF('Degrémont Entrée'!K124="",,('Degrémont Entrée'!K124-I124)/'Degrémont Entrée'!K124*100)</f>
        <v>#DIV/0!</v>
      </c>
      <c r="BB124" s="329" t="e">
        <f>IF('Degrémont Entrée'!G124="",,('Degrémont Entrée'!G124-G124)/'Degrémont Entrée'!G124*100)</f>
        <v>#DIV/0!</v>
      </c>
      <c r="BC124" s="329">
        <f>IF('Degrémont Entrée'!S124="",,('Degrémont Entrée'!S124-M124)/'Degrémont Entrée'!S124*100)</f>
        <v>0</v>
      </c>
      <c r="BD124" s="361" t="str">
        <f ca="1">IFERROR(__xludf.DUMMYFUNCTION("""COMPUTED_VALUE"""),"#DIV/0!")</f>
        <v>#DIV/0!</v>
      </c>
      <c r="BE124" s="362"/>
      <c r="BF124" s="363"/>
      <c r="BG124" s="363"/>
      <c r="BH124" s="338">
        <f t="shared" si="17"/>
        <v>0</v>
      </c>
      <c r="BI124" s="364"/>
      <c r="BJ124" s="365"/>
      <c r="BK124" s="371">
        <f>'Degrémont Entrée'!BH124</f>
        <v>0</v>
      </c>
      <c r="BL124" s="372">
        <f>'Degrémont Entrée'!BI124</f>
        <v>0</v>
      </c>
    </row>
    <row r="125" spans="1:64" ht="15.75" customHeight="1" outlineLevel="1">
      <c r="A125" s="337">
        <f t="shared" si="18"/>
        <v>43577</v>
      </c>
      <c r="B125" s="338">
        <f>'Degrémont Entrée'!B125</f>
        <v>0</v>
      </c>
      <c r="C125" s="338"/>
      <c r="D125" s="388"/>
      <c r="E125" s="368"/>
      <c r="F125" s="342">
        <v>100</v>
      </c>
      <c r="G125" s="329">
        <f t="shared" si="0"/>
        <v>0</v>
      </c>
      <c r="H125" s="338"/>
      <c r="I125" s="346"/>
      <c r="J125" s="344">
        <f t="shared" si="2"/>
        <v>0</v>
      </c>
      <c r="K125" s="343">
        <v>1</v>
      </c>
      <c r="L125" s="329"/>
      <c r="M125" s="346" t="str">
        <f t="shared" si="3"/>
        <v/>
      </c>
      <c r="N125" s="338" t="e">
        <f t="shared" si="4"/>
        <v>#VALUE!</v>
      </c>
      <c r="O125" s="368"/>
      <c r="P125" s="347">
        <f t="shared" si="19"/>
        <v>0</v>
      </c>
      <c r="Q125" s="348"/>
      <c r="R125" s="369"/>
      <c r="S125" s="349">
        <f t="shared" si="20"/>
        <v>0</v>
      </c>
      <c r="T125" s="348"/>
      <c r="U125" s="369"/>
      <c r="V125" s="349">
        <f t="shared" si="5"/>
        <v>0</v>
      </c>
      <c r="W125" s="348"/>
      <c r="X125" s="318" t="str">
        <f t="shared" si="6"/>
        <v/>
      </c>
      <c r="Y125" s="370" t="e">
        <f t="shared" si="7"/>
        <v>#VALUE!</v>
      </c>
      <c r="Z125" s="346"/>
      <c r="AA125" s="329"/>
      <c r="AB125" s="352">
        <f t="shared" si="8"/>
        <v>0</v>
      </c>
      <c r="AC125" s="353"/>
      <c r="AD125" s="354"/>
      <c r="AE125" s="378" t="str">
        <f t="shared" si="21"/>
        <v/>
      </c>
      <c r="AF125" s="329"/>
      <c r="AG125" s="358"/>
      <c r="AH125" s="356" t="str">
        <f t="shared" si="22"/>
        <v/>
      </c>
      <c r="AI125" s="329"/>
      <c r="AJ125" s="329"/>
      <c r="AK125" s="356">
        <f t="shared" si="11"/>
        <v>0</v>
      </c>
      <c r="AL125" s="357"/>
      <c r="AM125" s="358"/>
      <c r="AN125" s="356">
        <f t="shared" si="12"/>
        <v>0</v>
      </c>
      <c r="AO125" s="329"/>
      <c r="AP125" s="358"/>
      <c r="AQ125" s="359">
        <f t="shared" si="13"/>
        <v>0</v>
      </c>
      <c r="AR125" s="360"/>
      <c r="AS125" s="358"/>
      <c r="AT125" s="356">
        <f t="shared" si="14"/>
        <v>0</v>
      </c>
      <c r="AU125" s="329"/>
      <c r="AV125" s="358"/>
      <c r="AW125" s="359">
        <f t="shared" si="15"/>
        <v>0</v>
      </c>
      <c r="AX125" s="329"/>
      <c r="AY125" s="358"/>
      <c r="AZ125" s="359">
        <f t="shared" si="16"/>
        <v>0</v>
      </c>
      <c r="BA125" s="329" t="e">
        <f>IF('Degrémont Entrée'!K125="",,('Degrémont Entrée'!K125-I125)/'Degrémont Entrée'!K125*100)</f>
        <v>#DIV/0!</v>
      </c>
      <c r="BB125" s="329" t="e">
        <f>IF('Degrémont Entrée'!G125="",,('Degrémont Entrée'!G125-G125)/'Degrémont Entrée'!G125*100)</f>
        <v>#DIV/0!</v>
      </c>
      <c r="BC125" s="329">
        <f>IF('Degrémont Entrée'!S125="",,('Degrémont Entrée'!S125-M125)/'Degrémont Entrée'!S125*100)</f>
        <v>0</v>
      </c>
      <c r="BD125" s="361" t="str">
        <f ca="1">IFERROR(__xludf.DUMMYFUNCTION("""COMPUTED_VALUE"""),"#DIV/0!")</f>
        <v>#DIV/0!</v>
      </c>
      <c r="BE125" s="362"/>
      <c r="BF125" s="363"/>
      <c r="BG125" s="363"/>
      <c r="BH125" s="338">
        <f t="shared" si="17"/>
        <v>0</v>
      </c>
      <c r="BI125" s="364"/>
      <c r="BJ125" s="365"/>
      <c r="BK125" s="366">
        <f>'Degrémont Entrée'!BH125</f>
        <v>0</v>
      </c>
      <c r="BL125" s="367">
        <f>'Degrémont Entrée'!BI125</f>
        <v>0</v>
      </c>
    </row>
    <row r="126" spans="1:64" ht="14.25" outlineLevel="1">
      <c r="A126" s="337">
        <f t="shared" si="18"/>
        <v>43578</v>
      </c>
      <c r="B126" s="338">
        <f>'Degrémont Entrée'!B126</f>
        <v>614</v>
      </c>
      <c r="C126" s="339">
        <v>8.6</v>
      </c>
      <c r="D126" s="340">
        <v>90.9</v>
      </c>
      <c r="E126" s="341">
        <v>93.3</v>
      </c>
      <c r="F126" s="342">
        <v>97</v>
      </c>
      <c r="G126" s="329">
        <f t="shared" si="0"/>
        <v>24.742268041237025</v>
      </c>
      <c r="H126" s="338"/>
      <c r="I126" s="343">
        <v>1610</v>
      </c>
      <c r="J126" s="344">
        <f t="shared" si="2"/>
        <v>988.54</v>
      </c>
      <c r="K126" s="343">
        <v>1</v>
      </c>
      <c r="L126" s="345">
        <v>0.8</v>
      </c>
      <c r="M126" s="346">
        <f t="shared" si="3"/>
        <v>0.8</v>
      </c>
      <c r="N126" s="338">
        <f t="shared" si="4"/>
        <v>0.49120000000000003</v>
      </c>
      <c r="O126" s="341">
        <v>30.8</v>
      </c>
      <c r="P126" s="347">
        <f t="shared" si="19"/>
        <v>18.911200000000001</v>
      </c>
      <c r="Q126" s="348"/>
      <c r="R126" s="369"/>
      <c r="S126" s="349">
        <f t="shared" si="20"/>
        <v>0</v>
      </c>
      <c r="T126" s="348"/>
      <c r="U126" s="369"/>
      <c r="V126" s="349">
        <f t="shared" si="5"/>
        <v>0</v>
      </c>
      <c r="W126" s="348"/>
      <c r="X126" s="318">
        <f t="shared" si="6"/>
        <v>30.8</v>
      </c>
      <c r="Y126" s="370">
        <f t="shared" si="7"/>
        <v>18.911200000000001</v>
      </c>
      <c r="Z126" s="343" t="s">
        <v>85</v>
      </c>
      <c r="AA126" s="345">
        <v>0.01</v>
      </c>
      <c r="AB126" s="352">
        <f t="shared" si="8"/>
        <v>3.0700000000000002E-3</v>
      </c>
      <c r="AC126" s="353"/>
      <c r="AD126" s="354"/>
      <c r="AE126" s="378" t="str">
        <f t="shared" si="21"/>
        <v/>
      </c>
      <c r="AF126" s="329"/>
      <c r="AG126" s="355">
        <v>0.98</v>
      </c>
      <c r="AH126" s="356">
        <f t="shared" si="22"/>
        <v>3.4603800000000002</v>
      </c>
      <c r="AI126" s="329"/>
      <c r="AJ126" s="345">
        <v>1.1499999999999999</v>
      </c>
      <c r="AK126" s="356">
        <f t="shared" si="11"/>
        <v>0.70609999999999995</v>
      </c>
      <c r="AL126" s="357"/>
      <c r="AM126" s="355">
        <v>7.0000000000000007E-2</v>
      </c>
      <c r="AN126" s="356">
        <f t="shared" si="12"/>
        <v>4.2980000000000004E-2</v>
      </c>
      <c r="AO126" s="329"/>
      <c r="AP126" s="355">
        <v>0.55000000000000004</v>
      </c>
      <c r="AQ126" s="359">
        <f t="shared" si="13"/>
        <v>0.33770000000000006</v>
      </c>
      <c r="AR126" s="360"/>
      <c r="AS126" s="355">
        <v>0.68</v>
      </c>
      <c r="AT126" s="356">
        <f t="shared" si="14"/>
        <v>0.41752000000000006</v>
      </c>
      <c r="AU126" s="345" t="s">
        <v>85</v>
      </c>
      <c r="AV126" s="355">
        <v>0.15</v>
      </c>
      <c r="AW126" s="359">
        <f t="shared" si="15"/>
        <v>4.6049999999999994E-2</v>
      </c>
      <c r="AX126" s="345" t="s">
        <v>85</v>
      </c>
      <c r="AY126" s="355">
        <v>0.13</v>
      </c>
      <c r="AZ126" s="359">
        <f t="shared" si="16"/>
        <v>3.9910000000000001E-2</v>
      </c>
      <c r="BA126" s="329">
        <f>IF('Degrémont Entrée'!K126="",,('Degrémont Entrée'!K126-I126)/'Degrémont Entrée'!K126*100)</f>
        <v>92.43421052631578</v>
      </c>
      <c r="BB126" s="329">
        <f>IF('Degrémont Entrée'!G126="",,('Degrémont Entrée'!G126-G126)/'Degrémont Entrée'!G126*100)</f>
        <v>99.807218754000587</v>
      </c>
      <c r="BC126" s="329">
        <f>IF('Degrémont Entrée'!S126="",,('Degrémont Entrée'!S126-M126)/'Degrémont Entrée'!S126*100)</f>
        <v>99.831223628691973</v>
      </c>
      <c r="BD126" s="361" t="str">
        <f ca="1">IFERROR(__xludf.DUMMYFUNCTION("""COMPUTED_VALUE"""),"#DIV/0!")</f>
        <v>#DIV/0!</v>
      </c>
      <c r="BE126" s="362"/>
      <c r="BF126" s="363"/>
      <c r="BG126" s="363"/>
      <c r="BH126" s="338">
        <f t="shared" si="17"/>
        <v>0</v>
      </c>
      <c r="BI126" s="364"/>
      <c r="BJ126" s="365"/>
      <c r="BK126" s="371">
        <f>'Degrémont Entrée'!BH126</f>
        <v>0</v>
      </c>
      <c r="BL126" s="372">
        <f>'Degrémont Entrée'!BI126</f>
        <v>0</v>
      </c>
    </row>
    <row r="127" spans="1:64" ht="15.75" customHeight="1" outlineLevel="1">
      <c r="A127" s="337">
        <f t="shared" si="18"/>
        <v>43579</v>
      </c>
      <c r="B127" s="338">
        <f>'Degrémont Entrée'!B127</f>
        <v>864</v>
      </c>
      <c r="C127" s="339">
        <v>8.4</v>
      </c>
      <c r="D127" s="340">
        <v>89.5</v>
      </c>
      <c r="E127" s="341">
        <v>92.3</v>
      </c>
      <c r="F127" s="342">
        <v>100</v>
      </c>
      <c r="G127" s="329">
        <f t="shared" si="0"/>
        <v>27.999999999999972</v>
      </c>
      <c r="H127" s="338"/>
      <c r="I127" s="343">
        <v>1222</v>
      </c>
      <c r="J127" s="344">
        <f t="shared" si="2"/>
        <v>1055.808</v>
      </c>
      <c r="K127" s="343">
        <v>1</v>
      </c>
      <c r="L127" s="345">
        <v>0.68</v>
      </c>
      <c r="M127" s="346">
        <f t="shared" si="3"/>
        <v>0.68</v>
      </c>
      <c r="N127" s="338">
        <f t="shared" si="4"/>
        <v>0.58752000000000004</v>
      </c>
      <c r="O127" s="368"/>
      <c r="P127" s="347">
        <f t="shared" si="19"/>
        <v>0</v>
      </c>
      <c r="Q127" s="348"/>
      <c r="R127" s="369"/>
      <c r="S127" s="349">
        <f t="shared" si="20"/>
        <v>0</v>
      </c>
      <c r="T127" s="348"/>
      <c r="U127" s="369"/>
      <c r="V127" s="349">
        <f t="shared" si="5"/>
        <v>0</v>
      </c>
      <c r="W127" s="348"/>
      <c r="X127" s="318" t="str">
        <f t="shared" si="6"/>
        <v/>
      </c>
      <c r="Y127" s="370" t="e">
        <f t="shared" si="7"/>
        <v>#VALUE!</v>
      </c>
      <c r="Z127" s="343" t="s">
        <v>85</v>
      </c>
      <c r="AA127" s="345">
        <v>0.01</v>
      </c>
      <c r="AB127" s="352">
        <f t="shared" si="8"/>
        <v>4.3200000000000001E-3</v>
      </c>
      <c r="AC127" s="353"/>
      <c r="AD127" s="354"/>
      <c r="AE127" s="378" t="str">
        <f t="shared" si="21"/>
        <v/>
      </c>
      <c r="AF127" s="329"/>
      <c r="AG127" s="358"/>
      <c r="AH127" s="356" t="str">
        <f t="shared" si="22"/>
        <v/>
      </c>
      <c r="AI127" s="329"/>
      <c r="AJ127" s="329"/>
      <c r="AK127" s="356">
        <f t="shared" si="11"/>
        <v>0</v>
      </c>
      <c r="AL127" s="357"/>
      <c r="AM127" s="358"/>
      <c r="AN127" s="356">
        <f t="shared" si="12"/>
        <v>0</v>
      </c>
      <c r="AO127" s="329"/>
      <c r="AP127" s="358"/>
      <c r="AQ127" s="359">
        <f t="shared" si="13"/>
        <v>0</v>
      </c>
      <c r="AR127" s="360"/>
      <c r="AS127" s="358"/>
      <c r="AT127" s="356">
        <f t="shared" si="14"/>
        <v>0</v>
      </c>
      <c r="AU127" s="329"/>
      <c r="AV127" s="358"/>
      <c r="AW127" s="359">
        <f t="shared" si="15"/>
        <v>0</v>
      </c>
      <c r="AX127" s="329"/>
      <c r="AY127" s="358"/>
      <c r="AZ127" s="359">
        <f t="shared" si="16"/>
        <v>0</v>
      </c>
      <c r="BA127" s="329">
        <f>IF('Degrémont Entrée'!K127="",,('Degrémont Entrée'!K127-I127)/'Degrémont Entrée'!K127*100)</f>
        <v>88.860528714676391</v>
      </c>
      <c r="BB127" s="329">
        <f>IF('Degrémont Entrée'!G127="",,('Degrémont Entrée'!G127-G127)/'Degrémont Entrée'!G127*100)</f>
        <v>99.583952451708768</v>
      </c>
      <c r="BC127" s="329">
        <f>IF('Degrémont Entrée'!S127="",,('Degrémont Entrée'!S127-M127)/'Degrémont Entrée'!S127*100)</f>
        <v>99.787499999999994</v>
      </c>
      <c r="BD127" s="361" t="str">
        <f ca="1">IFERROR(__xludf.DUMMYFUNCTION("""COMPUTED_VALUE"""),"#DIV/0!")</f>
        <v>#DIV/0!</v>
      </c>
      <c r="BE127" s="362"/>
      <c r="BF127" s="363"/>
      <c r="BG127" s="363"/>
      <c r="BH127" s="338">
        <f t="shared" si="17"/>
        <v>0</v>
      </c>
      <c r="BI127" s="364"/>
      <c r="BJ127" s="365"/>
      <c r="BK127" s="366">
        <f>'Degrémont Entrée'!BH127</f>
        <v>0</v>
      </c>
      <c r="BL127" s="367">
        <f>'Degrémont Entrée'!BI127</f>
        <v>0</v>
      </c>
    </row>
    <row r="128" spans="1:64" ht="14.25" outlineLevel="1">
      <c r="A128" s="337">
        <f t="shared" si="18"/>
        <v>43580</v>
      </c>
      <c r="B128" s="338">
        <f>'Degrémont Entrée'!B128</f>
        <v>788</v>
      </c>
      <c r="C128" s="339">
        <v>8.4</v>
      </c>
      <c r="D128" s="340">
        <v>89.1</v>
      </c>
      <c r="E128" s="341">
        <v>90.6</v>
      </c>
      <c r="F128" s="342">
        <v>97</v>
      </c>
      <c r="G128" s="329">
        <f t="shared" si="0"/>
        <v>15.463917525773196</v>
      </c>
      <c r="H128" s="338"/>
      <c r="I128" s="343">
        <v>581</v>
      </c>
      <c r="J128" s="344">
        <f t="shared" si="2"/>
        <v>457.82799999999997</v>
      </c>
      <c r="K128" s="343">
        <v>1</v>
      </c>
      <c r="L128" s="345">
        <v>0.49</v>
      </c>
      <c r="M128" s="346">
        <f t="shared" si="3"/>
        <v>0.49</v>
      </c>
      <c r="N128" s="338">
        <f t="shared" si="4"/>
        <v>0.38612000000000002</v>
      </c>
      <c r="O128" s="368"/>
      <c r="P128" s="347">
        <f t="shared" si="19"/>
        <v>0</v>
      </c>
      <c r="Q128" s="348"/>
      <c r="R128" s="369"/>
      <c r="S128" s="349">
        <f t="shared" si="20"/>
        <v>0</v>
      </c>
      <c r="T128" s="348"/>
      <c r="U128" s="369"/>
      <c r="V128" s="349">
        <f t="shared" si="5"/>
        <v>0</v>
      </c>
      <c r="W128" s="348"/>
      <c r="X128" s="318" t="str">
        <f t="shared" si="6"/>
        <v/>
      </c>
      <c r="Y128" s="370" t="e">
        <f t="shared" si="7"/>
        <v>#VALUE!</v>
      </c>
      <c r="Z128" s="343" t="s">
        <v>85</v>
      </c>
      <c r="AA128" s="345">
        <v>0.01</v>
      </c>
      <c r="AB128" s="352">
        <f t="shared" si="8"/>
        <v>3.9399999999999999E-3</v>
      </c>
      <c r="AC128" s="353"/>
      <c r="AD128" s="354"/>
      <c r="AE128" s="378" t="str">
        <f t="shared" si="21"/>
        <v/>
      </c>
      <c r="AF128" s="329"/>
      <c r="AG128" s="358"/>
      <c r="AH128" s="356" t="str">
        <f t="shared" si="22"/>
        <v/>
      </c>
      <c r="AI128" s="329"/>
      <c r="AJ128" s="329"/>
      <c r="AK128" s="356">
        <f t="shared" si="11"/>
        <v>0</v>
      </c>
      <c r="AL128" s="357"/>
      <c r="AM128" s="358"/>
      <c r="AN128" s="356">
        <f t="shared" si="12"/>
        <v>0</v>
      </c>
      <c r="AO128" s="329"/>
      <c r="AP128" s="358"/>
      <c r="AQ128" s="359">
        <f t="shared" si="13"/>
        <v>0</v>
      </c>
      <c r="AR128" s="360"/>
      <c r="AS128" s="358"/>
      <c r="AT128" s="356">
        <f t="shared" si="14"/>
        <v>0</v>
      </c>
      <c r="AU128" s="329"/>
      <c r="AV128" s="358"/>
      <c r="AW128" s="359">
        <f t="shared" si="15"/>
        <v>0</v>
      </c>
      <c r="AX128" s="329"/>
      <c r="AY128" s="358"/>
      <c r="AZ128" s="359">
        <f t="shared" si="16"/>
        <v>0</v>
      </c>
      <c r="BA128" s="329">
        <f>IF('Degrémont Entrée'!K128="",,('Degrémont Entrée'!K128-I128)/'Degrémont Entrée'!K128*100)</f>
        <v>96.909574468085097</v>
      </c>
      <c r="BB128" s="329">
        <f>IF('Degrémont Entrée'!G128="",,('Degrémont Entrée'!G128-G128)/'Degrémont Entrée'!G128*100)</f>
        <v>99.884597630404684</v>
      </c>
      <c r="BC128" s="329">
        <f>IF('Degrémont Entrée'!S128="",,('Degrémont Entrée'!S128-M128)/'Degrémont Entrée'!S128*100)</f>
        <v>99.896624472573833</v>
      </c>
      <c r="BD128" s="361" t="str">
        <f ca="1">IFERROR(__xludf.DUMMYFUNCTION("""COMPUTED_VALUE"""),"#DIV/0!")</f>
        <v>#DIV/0!</v>
      </c>
      <c r="BE128" s="362"/>
      <c r="BF128" s="363"/>
      <c r="BG128" s="363"/>
      <c r="BH128" s="338">
        <f t="shared" si="17"/>
        <v>0</v>
      </c>
      <c r="BI128" s="364"/>
      <c r="BJ128" s="365"/>
      <c r="BK128" s="371">
        <f>'Degrémont Entrée'!BH128</f>
        <v>0</v>
      </c>
      <c r="BL128" s="372">
        <f>'Degrémont Entrée'!BI128</f>
        <v>0</v>
      </c>
    </row>
    <row r="129" spans="1:64" ht="15.75" customHeight="1" outlineLevel="1">
      <c r="A129" s="337">
        <f t="shared" si="18"/>
        <v>43581</v>
      </c>
      <c r="B129" s="338">
        <f>'Degrémont Entrée'!B129</f>
        <v>1089</v>
      </c>
      <c r="C129" s="339">
        <v>8.4</v>
      </c>
      <c r="D129" s="340">
        <v>90.2</v>
      </c>
      <c r="E129" s="341">
        <v>92.5</v>
      </c>
      <c r="F129" s="342">
        <v>100</v>
      </c>
      <c r="G129" s="329">
        <f t="shared" si="0"/>
        <v>22.999999999999972</v>
      </c>
      <c r="H129" s="338"/>
      <c r="I129" s="343">
        <v>749</v>
      </c>
      <c r="J129" s="344">
        <f t="shared" si="2"/>
        <v>815.66099999999994</v>
      </c>
      <c r="K129" s="343">
        <v>1</v>
      </c>
      <c r="L129" s="345">
        <v>0.7</v>
      </c>
      <c r="M129" s="346">
        <f t="shared" si="3"/>
        <v>0.7</v>
      </c>
      <c r="N129" s="338">
        <f t="shared" si="4"/>
        <v>0.76229999999999998</v>
      </c>
      <c r="O129" s="368"/>
      <c r="P129" s="347">
        <f t="shared" si="19"/>
        <v>0</v>
      </c>
      <c r="Q129" s="348"/>
      <c r="R129" s="369"/>
      <c r="S129" s="349">
        <f t="shared" si="20"/>
        <v>0</v>
      </c>
      <c r="T129" s="348"/>
      <c r="U129" s="369"/>
      <c r="V129" s="349">
        <f t="shared" si="5"/>
        <v>0</v>
      </c>
      <c r="W129" s="348"/>
      <c r="X129" s="318" t="str">
        <f t="shared" si="6"/>
        <v/>
      </c>
      <c r="Y129" s="370" t="e">
        <f t="shared" si="7"/>
        <v>#VALUE!</v>
      </c>
      <c r="Z129" s="343" t="s">
        <v>85</v>
      </c>
      <c r="AA129" s="345">
        <v>0.01</v>
      </c>
      <c r="AB129" s="352">
        <f t="shared" si="8"/>
        <v>5.4450000000000002E-3</v>
      </c>
      <c r="AC129" s="353"/>
      <c r="AD129" s="354"/>
      <c r="AE129" s="378" t="str">
        <f t="shared" si="21"/>
        <v/>
      </c>
      <c r="AF129" s="329"/>
      <c r="AG129" s="358"/>
      <c r="AH129" s="356" t="str">
        <f t="shared" si="22"/>
        <v/>
      </c>
      <c r="AI129" s="329"/>
      <c r="AJ129" s="329"/>
      <c r="AK129" s="356">
        <f t="shared" si="11"/>
        <v>0</v>
      </c>
      <c r="AL129" s="357"/>
      <c r="AM129" s="358"/>
      <c r="AN129" s="356">
        <f t="shared" si="12"/>
        <v>0</v>
      </c>
      <c r="AO129" s="329"/>
      <c r="AP129" s="358"/>
      <c r="AQ129" s="359">
        <f t="shared" si="13"/>
        <v>0</v>
      </c>
      <c r="AR129" s="360"/>
      <c r="AS129" s="358"/>
      <c r="AT129" s="356">
        <f t="shared" si="14"/>
        <v>0</v>
      </c>
      <c r="AU129" s="329"/>
      <c r="AV129" s="358"/>
      <c r="AW129" s="359">
        <f t="shared" si="15"/>
        <v>0</v>
      </c>
      <c r="AX129" s="329"/>
      <c r="AY129" s="358"/>
      <c r="AZ129" s="359">
        <f t="shared" si="16"/>
        <v>0</v>
      </c>
      <c r="BA129" s="329">
        <f>IF('Degrémont Entrée'!K129="",,('Degrémont Entrée'!K129-I129)/'Degrémont Entrée'!K129*100)</f>
        <v>95.861878453038671</v>
      </c>
      <c r="BB129" s="329">
        <f>IF('Degrémont Entrée'!G129="",,('Degrémont Entrée'!G129-G129)/'Degrémont Entrée'!G129*100)</f>
        <v>99.830450808052177</v>
      </c>
      <c r="BC129" s="329">
        <f>IF('Degrémont Entrée'!S129="",,('Degrémont Entrée'!S129-M129)/'Degrémont Entrée'!S129*100)</f>
        <v>99.840182648401836</v>
      </c>
      <c r="BD129" s="361" t="str">
        <f ca="1">IFERROR(__xludf.DUMMYFUNCTION("""COMPUTED_VALUE"""),"#DIV/0!")</f>
        <v>#DIV/0!</v>
      </c>
      <c r="BE129" s="362"/>
      <c r="BF129" s="363"/>
      <c r="BG129" s="363"/>
      <c r="BH129" s="338">
        <f t="shared" si="17"/>
        <v>0</v>
      </c>
      <c r="BI129" s="364"/>
      <c r="BJ129" s="365"/>
      <c r="BK129" s="366">
        <f>'Degrémont Entrée'!BH129</f>
        <v>0</v>
      </c>
      <c r="BL129" s="367">
        <f>'Degrémont Entrée'!BI129</f>
        <v>0</v>
      </c>
    </row>
    <row r="130" spans="1:64" ht="14.25" outlineLevel="1">
      <c r="A130" s="337">
        <f t="shared" si="18"/>
        <v>43582</v>
      </c>
      <c r="B130" s="338">
        <f>'Degrémont Entrée'!B130</f>
        <v>931</v>
      </c>
      <c r="C130" s="339">
        <v>8.6999999999999993</v>
      </c>
      <c r="D130" s="340">
        <v>90.6</v>
      </c>
      <c r="E130" s="341">
        <v>92.9</v>
      </c>
      <c r="F130" s="342">
        <v>100</v>
      </c>
      <c r="G130" s="329">
        <f t="shared" si="0"/>
        <v>23.000000000000114</v>
      </c>
      <c r="H130" s="338"/>
      <c r="I130" s="343">
        <v>521</v>
      </c>
      <c r="J130" s="344">
        <f t="shared" si="2"/>
        <v>485.05099999999999</v>
      </c>
      <c r="K130" s="343">
        <v>1</v>
      </c>
      <c r="L130" s="345">
        <v>0.81</v>
      </c>
      <c r="M130" s="346">
        <f t="shared" si="3"/>
        <v>0.81</v>
      </c>
      <c r="N130" s="338">
        <f t="shared" si="4"/>
        <v>0.75411000000000006</v>
      </c>
      <c r="O130" s="368"/>
      <c r="P130" s="347">
        <f t="shared" si="19"/>
        <v>0</v>
      </c>
      <c r="Q130" s="348"/>
      <c r="R130" s="369"/>
      <c r="S130" s="349">
        <f t="shared" si="20"/>
        <v>0</v>
      </c>
      <c r="T130" s="348"/>
      <c r="U130" s="369"/>
      <c r="V130" s="349">
        <f t="shared" si="5"/>
        <v>0</v>
      </c>
      <c r="W130" s="348"/>
      <c r="X130" s="318" t="str">
        <f t="shared" si="6"/>
        <v/>
      </c>
      <c r="Y130" s="370" t="e">
        <f t="shared" si="7"/>
        <v>#VALUE!</v>
      </c>
      <c r="Z130" s="343" t="s">
        <v>85</v>
      </c>
      <c r="AA130" s="345">
        <v>0.01</v>
      </c>
      <c r="AB130" s="352">
        <f t="shared" si="8"/>
        <v>4.6550000000000003E-3</v>
      </c>
      <c r="AC130" s="353"/>
      <c r="AD130" s="354"/>
      <c r="AE130" s="378" t="str">
        <f t="shared" si="21"/>
        <v/>
      </c>
      <c r="AF130" s="329"/>
      <c r="AG130" s="358"/>
      <c r="AH130" s="356" t="str">
        <f t="shared" si="22"/>
        <v/>
      </c>
      <c r="AI130" s="329"/>
      <c r="AJ130" s="329"/>
      <c r="AK130" s="356">
        <f t="shared" si="11"/>
        <v>0</v>
      </c>
      <c r="AL130" s="357"/>
      <c r="AM130" s="358"/>
      <c r="AN130" s="356">
        <f t="shared" si="12"/>
        <v>0</v>
      </c>
      <c r="AO130" s="329"/>
      <c r="AP130" s="358"/>
      <c r="AQ130" s="359">
        <f t="shared" si="13"/>
        <v>0</v>
      </c>
      <c r="AR130" s="360"/>
      <c r="AS130" s="358"/>
      <c r="AT130" s="356">
        <f t="shared" si="14"/>
        <v>0</v>
      </c>
      <c r="AU130" s="329"/>
      <c r="AV130" s="358"/>
      <c r="AW130" s="359">
        <f t="shared" si="15"/>
        <v>0</v>
      </c>
      <c r="AX130" s="329"/>
      <c r="AY130" s="358"/>
      <c r="AZ130" s="359">
        <f t="shared" si="16"/>
        <v>0</v>
      </c>
      <c r="BA130" s="329">
        <f>IF('Degrémont Entrée'!K130="",,('Degrémont Entrée'!K130-I130)/'Degrémont Entrée'!K130*100)</f>
        <v>95.729508196721312</v>
      </c>
      <c r="BB130" s="329">
        <f>IF('Degrémont Entrée'!G130="",,('Degrémont Entrée'!G130-G130)/'Degrémont Entrée'!G130*100)</f>
        <v>99.736081597960052</v>
      </c>
      <c r="BC130" s="329">
        <f>IF('Degrémont Entrée'!S130="",,('Degrémont Entrée'!S130-M130)/'Degrémont Entrée'!S130*100)</f>
        <v>99.778688524590166</v>
      </c>
      <c r="BD130" s="361" t="str">
        <f ca="1">IFERROR(__xludf.DUMMYFUNCTION("""COMPUTED_VALUE"""),"#DIV/0!")</f>
        <v>#DIV/0!</v>
      </c>
      <c r="BE130" s="362"/>
      <c r="BF130" s="363"/>
      <c r="BG130" s="363"/>
      <c r="BH130" s="338">
        <f t="shared" si="17"/>
        <v>0</v>
      </c>
      <c r="BI130" s="364"/>
      <c r="BJ130" s="365"/>
      <c r="BK130" s="371">
        <f>'Degrémont Entrée'!BH130</f>
        <v>0</v>
      </c>
      <c r="BL130" s="372">
        <f>'Degrémont Entrée'!BI130</f>
        <v>0</v>
      </c>
    </row>
    <row r="131" spans="1:64" ht="15.75" customHeight="1" outlineLevel="1">
      <c r="A131" s="337">
        <f t="shared" si="18"/>
        <v>43583</v>
      </c>
      <c r="B131" s="338">
        <f>'Degrémont Entrée'!B131</f>
        <v>0</v>
      </c>
      <c r="C131" s="338"/>
      <c r="D131" s="388"/>
      <c r="E131" s="368"/>
      <c r="F131" s="342">
        <v>100</v>
      </c>
      <c r="G131" s="329">
        <f t="shared" si="0"/>
        <v>0</v>
      </c>
      <c r="H131" s="338"/>
      <c r="I131" s="346"/>
      <c r="J131" s="344">
        <f t="shared" si="2"/>
        <v>0</v>
      </c>
      <c r="K131" s="343">
        <v>1</v>
      </c>
      <c r="L131" s="329"/>
      <c r="M131" s="346" t="str">
        <f t="shared" si="3"/>
        <v/>
      </c>
      <c r="N131" s="338" t="e">
        <f t="shared" si="4"/>
        <v>#VALUE!</v>
      </c>
      <c r="O131" s="368"/>
      <c r="P131" s="347">
        <f t="shared" si="19"/>
        <v>0</v>
      </c>
      <c r="Q131" s="348"/>
      <c r="R131" s="369"/>
      <c r="S131" s="349">
        <f t="shared" si="20"/>
        <v>0</v>
      </c>
      <c r="T131" s="348"/>
      <c r="U131" s="369"/>
      <c r="V131" s="349">
        <f t="shared" si="5"/>
        <v>0</v>
      </c>
      <c r="W131" s="348"/>
      <c r="X131" s="318" t="str">
        <f t="shared" si="6"/>
        <v/>
      </c>
      <c r="Y131" s="370" t="e">
        <f t="shared" si="7"/>
        <v>#VALUE!</v>
      </c>
      <c r="Z131" s="346"/>
      <c r="AA131" s="329"/>
      <c r="AB131" s="352">
        <f t="shared" si="8"/>
        <v>0</v>
      </c>
      <c r="AC131" s="353"/>
      <c r="AD131" s="354"/>
      <c r="AE131" s="378" t="str">
        <f t="shared" si="21"/>
        <v/>
      </c>
      <c r="AF131" s="329"/>
      <c r="AG131" s="358"/>
      <c r="AH131" s="356" t="str">
        <f t="shared" si="22"/>
        <v/>
      </c>
      <c r="AI131" s="329"/>
      <c r="AJ131" s="329"/>
      <c r="AK131" s="356">
        <f t="shared" si="11"/>
        <v>0</v>
      </c>
      <c r="AL131" s="357"/>
      <c r="AM131" s="358"/>
      <c r="AN131" s="356">
        <f t="shared" si="12"/>
        <v>0</v>
      </c>
      <c r="AO131" s="329"/>
      <c r="AP131" s="358"/>
      <c r="AQ131" s="359">
        <f t="shared" si="13"/>
        <v>0</v>
      </c>
      <c r="AR131" s="360"/>
      <c r="AS131" s="358"/>
      <c r="AT131" s="356">
        <f t="shared" si="14"/>
        <v>0</v>
      </c>
      <c r="AU131" s="329"/>
      <c r="AV131" s="358"/>
      <c r="AW131" s="359">
        <f t="shared" si="15"/>
        <v>0</v>
      </c>
      <c r="AX131" s="329"/>
      <c r="AY131" s="358"/>
      <c r="AZ131" s="359">
        <f t="shared" si="16"/>
        <v>0</v>
      </c>
      <c r="BA131" s="329" t="e">
        <f>IF('Degrémont Entrée'!K131="",,('Degrémont Entrée'!K131-I131)/'Degrémont Entrée'!K131*100)</f>
        <v>#DIV/0!</v>
      </c>
      <c r="BB131" s="329" t="e">
        <f>IF('Degrémont Entrée'!G131="",,('Degrémont Entrée'!G131-G131)/'Degrémont Entrée'!G131*100)</f>
        <v>#DIV/0!</v>
      </c>
      <c r="BC131" s="329">
        <f>IF('Degrémont Entrée'!S131="",,('Degrémont Entrée'!S131-M131)/'Degrémont Entrée'!S131*100)</f>
        <v>0</v>
      </c>
      <c r="BD131" s="361" t="str">
        <f ca="1">IFERROR(__xludf.DUMMYFUNCTION("""COMPUTED_VALUE"""),"#DIV/0!")</f>
        <v>#DIV/0!</v>
      </c>
      <c r="BE131" s="362"/>
      <c r="BF131" s="363"/>
      <c r="BG131" s="363"/>
      <c r="BH131" s="338">
        <f t="shared" si="17"/>
        <v>0</v>
      </c>
      <c r="BI131" s="364"/>
      <c r="BJ131" s="365"/>
      <c r="BK131" s="366">
        <f>'Degrémont Entrée'!BH131</f>
        <v>0</v>
      </c>
      <c r="BL131" s="367">
        <f>'Degrémont Entrée'!BI131</f>
        <v>0</v>
      </c>
    </row>
    <row r="132" spans="1:64" ht="24" outlineLevel="1">
      <c r="A132" s="337">
        <f t="shared" si="18"/>
        <v>43584</v>
      </c>
      <c r="B132" s="338">
        <f>'Degrémont Entrée'!B132</f>
        <v>677</v>
      </c>
      <c r="C132" s="339">
        <v>8.8000000000000007</v>
      </c>
      <c r="D132" s="340">
        <v>89.4</v>
      </c>
      <c r="E132" s="341">
        <v>92.2</v>
      </c>
      <c r="F132" s="342">
        <v>100</v>
      </c>
      <c r="G132" s="329">
        <f t="shared" si="0"/>
        <v>27.999999999999972</v>
      </c>
      <c r="H132" s="338"/>
      <c r="I132" s="343">
        <v>902</v>
      </c>
      <c r="J132" s="344">
        <f t="shared" si="2"/>
        <v>610.654</v>
      </c>
      <c r="K132" s="343">
        <v>1</v>
      </c>
      <c r="L132" s="345">
        <v>0.82</v>
      </c>
      <c r="M132" s="346">
        <f t="shared" si="3"/>
        <v>0.82</v>
      </c>
      <c r="N132" s="338">
        <f t="shared" si="4"/>
        <v>0.55513999999999997</v>
      </c>
      <c r="O132" s="368"/>
      <c r="P132" s="347">
        <f t="shared" si="19"/>
        <v>0</v>
      </c>
      <c r="Q132" s="348"/>
      <c r="R132" s="369"/>
      <c r="S132" s="349">
        <f t="shared" si="20"/>
        <v>0</v>
      </c>
      <c r="T132" s="348"/>
      <c r="U132" s="369"/>
      <c r="V132" s="349">
        <f t="shared" si="5"/>
        <v>0</v>
      </c>
      <c r="W132" s="348"/>
      <c r="X132" s="318" t="str">
        <f t="shared" si="6"/>
        <v/>
      </c>
      <c r="Y132" s="370" t="e">
        <f t="shared" si="7"/>
        <v>#VALUE!</v>
      </c>
      <c r="Z132" s="343" t="s">
        <v>85</v>
      </c>
      <c r="AA132" s="345">
        <v>0.01</v>
      </c>
      <c r="AB132" s="352">
        <f t="shared" si="8"/>
        <v>3.3850000000000004E-3</v>
      </c>
      <c r="AC132" s="353"/>
      <c r="AD132" s="354"/>
      <c r="AE132" s="378" t="str">
        <f t="shared" si="21"/>
        <v/>
      </c>
      <c r="AF132" s="329"/>
      <c r="AG132" s="358"/>
      <c r="AH132" s="356" t="str">
        <f t="shared" si="22"/>
        <v/>
      </c>
      <c r="AI132" s="329"/>
      <c r="AJ132" s="329"/>
      <c r="AK132" s="356">
        <f t="shared" si="11"/>
        <v>0</v>
      </c>
      <c r="AL132" s="357"/>
      <c r="AM132" s="358"/>
      <c r="AN132" s="356">
        <f t="shared" si="12"/>
        <v>0</v>
      </c>
      <c r="AO132" s="329"/>
      <c r="AP132" s="358"/>
      <c r="AQ132" s="359">
        <f t="shared" si="13"/>
        <v>0</v>
      </c>
      <c r="AR132" s="360"/>
      <c r="AS132" s="358"/>
      <c r="AT132" s="356">
        <f t="shared" si="14"/>
        <v>0</v>
      </c>
      <c r="AU132" s="329"/>
      <c r="AV132" s="358"/>
      <c r="AW132" s="359">
        <f t="shared" si="15"/>
        <v>0</v>
      </c>
      <c r="AX132" s="329"/>
      <c r="AY132" s="358"/>
      <c r="AZ132" s="359">
        <f t="shared" si="16"/>
        <v>0</v>
      </c>
      <c r="BA132" s="329">
        <f>IF('Degrémont Entrée'!K132="",,('Degrémont Entrée'!K132-I132)/'Degrémont Entrée'!K132*100)</f>
        <v>97.266666666666666</v>
      </c>
      <c r="BB132" s="329">
        <f>IF('Degrémont Entrée'!G132="",,('Degrémont Entrée'!G132-G132)/'Degrémont Entrée'!G132*100)</f>
        <v>99.902602854743918</v>
      </c>
      <c r="BC132" s="329">
        <f>IF('Degrémont Entrée'!S132="",,('Degrémont Entrée'!S132-M132)/'Degrémont Entrée'!S132*100)</f>
        <v>99.927753303964764</v>
      </c>
      <c r="BD132" s="361" t="str">
        <f ca="1">IFERROR(__xludf.DUMMYFUNCTION("""COMPUTED_VALUE"""),"#DIV/0!")</f>
        <v>#DIV/0!</v>
      </c>
      <c r="BE132" s="386">
        <v>21.8535</v>
      </c>
      <c r="BF132" s="387">
        <v>36.048099999999998</v>
      </c>
      <c r="BG132" s="387">
        <v>29.643000000000001</v>
      </c>
      <c r="BH132" s="338">
        <f t="shared" si="17"/>
        <v>54.876502331872693</v>
      </c>
      <c r="BI132" s="364"/>
      <c r="BJ132" s="365"/>
      <c r="BK132" s="371">
        <f>'Degrémont Entrée'!BH132</f>
        <v>0</v>
      </c>
      <c r="BL132" s="372" t="str">
        <f>'Degrémont Entrée'!BI132</f>
        <v>Décanteur gris début poste matin- trouble en soirée</v>
      </c>
    </row>
    <row r="133" spans="1:64" ht="15.75" customHeight="1" outlineLevel="1">
      <c r="A133" s="337">
        <f t="shared" si="18"/>
        <v>43585</v>
      </c>
      <c r="B133" s="338">
        <f>'Degrémont Entrée'!B133</f>
        <v>1287</v>
      </c>
      <c r="C133" s="339">
        <v>8.6</v>
      </c>
      <c r="D133" s="340">
        <v>89.9</v>
      </c>
      <c r="E133" s="341">
        <v>92.2</v>
      </c>
      <c r="F133" s="342">
        <v>100</v>
      </c>
      <c r="G133" s="329">
        <f t="shared" si="0"/>
        <v>22.999999999999972</v>
      </c>
      <c r="H133" s="338"/>
      <c r="I133" s="343">
        <v>606</v>
      </c>
      <c r="J133" s="344">
        <f t="shared" si="2"/>
        <v>779.92200000000003</v>
      </c>
      <c r="K133" s="343">
        <v>1</v>
      </c>
      <c r="L133" s="345">
        <v>0.67</v>
      </c>
      <c r="M133" s="346">
        <f t="shared" si="3"/>
        <v>0.67</v>
      </c>
      <c r="N133" s="338">
        <f t="shared" si="4"/>
        <v>0.86229000000000011</v>
      </c>
      <c r="O133" s="341">
        <v>16.399999999999999</v>
      </c>
      <c r="P133" s="347">
        <f t="shared" si="19"/>
        <v>21.1068</v>
      </c>
      <c r="Q133" s="348"/>
      <c r="R133" s="369"/>
      <c r="S133" s="349">
        <f t="shared" si="20"/>
        <v>0</v>
      </c>
      <c r="T133" s="348"/>
      <c r="U133" s="369"/>
      <c r="V133" s="349">
        <f t="shared" si="5"/>
        <v>0</v>
      </c>
      <c r="W133" s="348"/>
      <c r="X133" s="318">
        <f t="shared" si="6"/>
        <v>16.399999999999999</v>
      </c>
      <c r="Y133" s="370">
        <f t="shared" si="7"/>
        <v>21.1068</v>
      </c>
      <c r="Z133" s="343" t="s">
        <v>85</v>
      </c>
      <c r="AA133" s="345">
        <v>0.01</v>
      </c>
      <c r="AB133" s="352">
        <f t="shared" si="8"/>
        <v>6.4350000000000006E-3</v>
      </c>
      <c r="AC133" s="353"/>
      <c r="AD133" s="354"/>
      <c r="AE133" s="378" t="str">
        <f t="shared" si="21"/>
        <v/>
      </c>
      <c r="AF133" s="329"/>
      <c r="AG133" s="355">
        <v>2.1</v>
      </c>
      <c r="AH133" s="356">
        <f t="shared" si="22"/>
        <v>11.835600000000001</v>
      </c>
      <c r="AI133" s="329"/>
      <c r="AJ133" s="345">
        <v>0.75</v>
      </c>
      <c r="AK133" s="356">
        <f t="shared" si="11"/>
        <v>0.96525000000000005</v>
      </c>
      <c r="AL133" s="357"/>
      <c r="AM133" s="355">
        <v>0.08</v>
      </c>
      <c r="AN133" s="356">
        <f t="shared" si="12"/>
        <v>0.10296000000000001</v>
      </c>
      <c r="AO133" s="329"/>
      <c r="AP133" s="355">
        <v>0.28000000000000003</v>
      </c>
      <c r="AQ133" s="359">
        <f t="shared" si="13"/>
        <v>0.36036000000000001</v>
      </c>
      <c r="AR133" s="360"/>
      <c r="AS133" s="355">
        <v>0.76</v>
      </c>
      <c r="AT133" s="356">
        <f t="shared" si="14"/>
        <v>0.97811999999999999</v>
      </c>
      <c r="AU133" s="345" t="s">
        <v>85</v>
      </c>
      <c r="AV133" s="355">
        <v>0.15</v>
      </c>
      <c r="AW133" s="359">
        <f t="shared" si="15"/>
        <v>9.6524999999999986E-2</v>
      </c>
      <c r="AX133" s="345" t="s">
        <v>85</v>
      </c>
      <c r="AY133" s="355">
        <v>0.13</v>
      </c>
      <c r="AZ133" s="359">
        <f t="shared" si="16"/>
        <v>8.3655000000000007E-2</v>
      </c>
      <c r="BA133" s="329">
        <f>IF('Degrémont Entrée'!K133="",,('Degrémont Entrée'!K133-I133)/'Degrémont Entrée'!K133*100)</f>
        <v>89.991742361684558</v>
      </c>
      <c r="BB133" s="329">
        <f>IF('Degrémont Entrée'!G133="",,('Degrémont Entrée'!G133-G133)/'Degrémont Entrée'!G133*100)</f>
        <v>99.588512241054616</v>
      </c>
      <c r="BC133" s="329">
        <f>IF('Degrémont Entrée'!S133="",,('Degrémont Entrée'!S133-M133)/'Degrémont Entrée'!S133*100)</f>
        <v>99.762831858407068</v>
      </c>
      <c r="BD133" s="361" t="str">
        <f ca="1">IFERROR(__xludf.DUMMYFUNCTION("""COMPUTED_VALUE"""),"#DIV/0!")</f>
        <v>#DIV/0!</v>
      </c>
      <c r="BE133" s="362"/>
      <c r="BF133" s="363"/>
      <c r="BG133" s="363"/>
      <c r="BH133" s="338">
        <f t="shared" si="17"/>
        <v>0</v>
      </c>
      <c r="BI133" s="364"/>
      <c r="BJ133" s="365"/>
      <c r="BK133" s="366">
        <f>'Degrémont Entrée'!BH133</f>
        <v>0</v>
      </c>
      <c r="BL133" s="367">
        <f>'Degrémont Entrée'!BI133</f>
        <v>0</v>
      </c>
    </row>
    <row r="134" spans="1:64" ht="14.25" outlineLevel="1">
      <c r="A134" s="337">
        <f t="shared" si="18"/>
        <v>43586</v>
      </c>
      <c r="B134" s="338">
        <f>'Degrémont Entrée'!B134</f>
        <v>0</v>
      </c>
      <c r="C134" s="339">
        <v>8.6</v>
      </c>
      <c r="D134" s="340">
        <v>90.7</v>
      </c>
      <c r="E134" s="341">
        <v>92.8</v>
      </c>
      <c r="F134" s="342">
        <v>100</v>
      </c>
      <c r="G134" s="329">
        <f t="shared" si="0"/>
        <v>20.999999999999947</v>
      </c>
      <c r="H134" s="338"/>
      <c r="I134" s="343">
        <v>549</v>
      </c>
      <c r="J134" s="344">
        <f t="shared" si="2"/>
        <v>0</v>
      </c>
      <c r="K134" s="343">
        <v>1</v>
      </c>
      <c r="L134" s="345">
        <v>0.95</v>
      </c>
      <c r="M134" s="346">
        <f t="shared" si="3"/>
        <v>0.95</v>
      </c>
      <c r="N134" s="338">
        <f t="shared" si="4"/>
        <v>0</v>
      </c>
      <c r="O134" s="368"/>
      <c r="P134" s="347">
        <f t="shared" si="19"/>
        <v>0</v>
      </c>
      <c r="Q134" s="348"/>
      <c r="R134" s="369"/>
      <c r="S134" s="349">
        <f t="shared" si="20"/>
        <v>0</v>
      </c>
      <c r="T134" s="348"/>
      <c r="U134" s="369"/>
      <c r="V134" s="349">
        <f t="shared" si="5"/>
        <v>0</v>
      </c>
      <c r="W134" s="348"/>
      <c r="X134" s="318" t="str">
        <f t="shared" si="6"/>
        <v/>
      </c>
      <c r="Y134" s="370" t="e">
        <f t="shared" si="7"/>
        <v>#VALUE!</v>
      </c>
      <c r="Z134" s="346"/>
      <c r="AA134" s="329"/>
      <c r="AB134" s="352">
        <f t="shared" si="8"/>
        <v>0</v>
      </c>
      <c r="AC134" s="353"/>
      <c r="AD134" s="354"/>
      <c r="AE134" s="378" t="str">
        <f t="shared" si="21"/>
        <v/>
      </c>
      <c r="AF134" s="329"/>
      <c r="AG134" s="358"/>
      <c r="AH134" s="356" t="str">
        <f t="shared" si="22"/>
        <v/>
      </c>
      <c r="AI134" s="329"/>
      <c r="AJ134" s="329"/>
      <c r="AK134" s="356">
        <f t="shared" si="11"/>
        <v>0</v>
      </c>
      <c r="AL134" s="357"/>
      <c r="AM134" s="358"/>
      <c r="AN134" s="356">
        <f t="shared" si="12"/>
        <v>0</v>
      </c>
      <c r="AO134" s="329"/>
      <c r="AP134" s="358"/>
      <c r="AQ134" s="359">
        <f t="shared" si="13"/>
        <v>0</v>
      </c>
      <c r="AR134" s="360"/>
      <c r="AS134" s="358"/>
      <c r="AT134" s="356">
        <f t="shared" si="14"/>
        <v>0</v>
      </c>
      <c r="AU134" s="329"/>
      <c r="AV134" s="358"/>
      <c r="AW134" s="359">
        <f t="shared" si="15"/>
        <v>0</v>
      </c>
      <c r="AX134" s="329"/>
      <c r="AY134" s="358"/>
      <c r="AZ134" s="359">
        <f t="shared" si="16"/>
        <v>0</v>
      </c>
      <c r="BA134" s="329">
        <f>IF('Degrémont Entrée'!K134="",,('Degrémont Entrée'!K134-I134)/'Degrémont Entrée'!K134*100)</f>
        <v>97.385714285714286</v>
      </c>
      <c r="BB134" s="329">
        <f>IF('Degrémont Entrée'!G134="",,('Degrémont Entrée'!G134-G134)/'Degrémont Entrée'!G134*100)</f>
        <v>99.859060402684563</v>
      </c>
      <c r="BC134" s="329">
        <f>IF('Degrémont Entrée'!S134="",,('Degrémont Entrée'!S134-M134)/'Degrémont Entrée'!S134*100)</f>
        <v>99.856495468277942</v>
      </c>
      <c r="BD134" s="361" t="str">
        <f ca="1">IFERROR(__xludf.DUMMYFUNCTION("""COMPUTED_VALUE"""),"#DIV/0!")</f>
        <v>#DIV/0!</v>
      </c>
      <c r="BE134" s="362"/>
      <c r="BF134" s="363"/>
      <c r="BG134" s="363"/>
      <c r="BH134" s="338">
        <f t="shared" si="17"/>
        <v>0</v>
      </c>
      <c r="BI134" s="364" t="s">
        <v>203</v>
      </c>
      <c r="BJ134" s="365"/>
      <c r="BK134" s="371">
        <f>'Degrémont Entrée'!BH134</f>
        <v>0</v>
      </c>
      <c r="BL134" s="372">
        <f>'Degrémont Entrée'!BI134</f>
        <v>0</v>
      </c>
    </row>
    <row r="135" spans="1:64" ht="15.75" customHeight="1" outlineLevel="1">
      <c r="A135" s="337">
        <f t="shared" si="18"/>
        <v>43587</v>
      </c>
      <c r="B135" s="338">
        <f>'Degrémont Entrée'!B135</f>
        <v>704</v>
      </c>
      <c r="C135" s="339">
        <v>8.9</v>
      </c>
      <c r="D135" s="340">
        <v>90.3</v>
      </c>
      <c r="E135" s="341">
        <v>91.7</v>
      </c>
      <c r="F135" s="342">
        <v>100</v>
      </c>
      <c r="G135" s="329">
        <f t="shared" si="0"/>
        <v>14.000000000000057</v>
      </c>
      <c r="H135" s="338"/>
      <c r="I135" s="343">
        <v>431</v>
      </c>
      <c r="J135" s="344">
        <f t="shared" si="2"/>
        <v>303.42399999999998</v>
      </c>
      <c r="K135" s="343">
        <v>1</v>
      </c>
      <c r="L135" s="345">
        <v>0.7</v>
      </c>
      <c r="M135" s="346">
        <f t="shared" si="3"/>
        <v>0.7</v>
      </c>
      <c r="N135" s="338">
        <f t="shared" si="4"/>
        <v>0.49279999999999996</v>
      </c>
      <c r="O135" s="368"/>
      <c r="P135" s="347">
        <f t="shared" si="19"/>
        <v>0</v>
      </c>
      <c r="Q135" s="348"/>
      <c r="R135" s="369"/>
      <c r="S135" s="349">
        <f t="shared" si="20"/>
        <v>0</v>
      </c>
      <c r="T135" s="348"/>
      <c r="U135" s="369"/>
      <c r="V135" s="349">
        <f t="shared" si="5"/>
        <v>0</v>
      </c>
      <c r="W135" s="348"/>
      <c r="X135" s="318" t="str">
        <f t="shared" si="6"/>
        <v/>
      </c>
      <c r="Y135" s="370" t="e">
        <f t="shared" si="7"/>
        <v>#VALUE!</v>
      </c>
      <c r="Z135" s="343" t="s">
        <v>85</v>
      </c>
      <c r="AA135" s="345">
        <v>0.01</v>
      </c>
      <c r="AB135" s="352">
        <f t="shared" si="8"/>
        <v>3.5200000000000001E-3</v>
      </c>
      <c r="AC135" s="353"/>
      <c r="AD135" s="354"/>
      <c r="AE135" s="378" t="str">
        <f t="shared" si="21"/>
        <v/>
      </c>
      <c r="AF135" s="329"/>
      <c r="AG135" s="358"/>
      <c r="AH135" s="356" t="str">
        <f t="shared" si="22"/>
        <v/>
      </c>
      <c r="AI135" s="329"/>
      <c r="AJ135" s="329"/>
      <c r="AK135" s="356">
        <f t="shared" si="11"/>
        <v>0</v>
      </c>
      <c r="AL135" s="357"/>
      <c r="AM135" s="358"/>
      <c r="AN135" s="356">
        <f t="shared" si="12"/>
        <v>0</v>
      </c>
      <c r="AO135" s="329"/>
      <c r="AP135" s="358"/>
      <c r="AQ135" s="359">
        <f t="shared" si="13"/>
        <v>0</v>
      </c>
      <c r="AR135" s="360"/>
      <c r="AS135" s="358"/>
      <c r="AT135" s="356">
        <f t="shared" si="14"/>
        <v>0</v>
      </c>
      <c r="AU135" s="329"/>
      <c r="AV135" s="358"/>
      <c r="AW135" s="359">
        <f t="shared" si="15"/>
        <v>0</v>
      </c>
      <c r="AX135" s="329"/>
      <c r="AY135" s="358"/>
      <c r="AZ135" s="359">
        <f t="shared" si="16"/>
        <v>0</v>
      </c>
      <c r="BA135" s="329">
        <f>IF('Degrémont Entrée'!K135="",,('Degrémont Entrée'!K135-I135)/'Degrémont Entrée'!K135*100)</f>
        <v>96.708918753817969</v>
      </c>
      <c r="BB135" s="329">
        <f>IF('Degrémont Entrée'!G135="",,('Degrémont Entrée'!G135-G135)/'Degrémont Entrée'!G135*100)</f>
        <v>99.888581314878891</v>
      </c>
      <c r="BC135" s="329">
        <f>IF('Degrémont Entrée'!S135="",,('Degrémont Entrée'!S135-M135)/'Degrémont Entrée'!S135*100)</f>
        <v>99.87826086956521</v>
      </c>
      <c r="BD135" s="361" t="str">
        <f ca="1">IFERROR(__xludf.DUMMYFUNCTION("""COMPUTED_VALUE"""),"#DIV/0!")</f>
        <v>#DIV/0!</v>
      </c>
      <c r="BE135" s="362"/>
      <c r="BF135" s="363"/>
      <c r="BG135" s="363"/>
      <c r="BH135" s="338">
        <f t="shared" si="17"/>
        <v>0</v>
      </c>
      <c r="BI135" s="364"/>
      <c r="BJ135" s="365"/>
      <c r="BK135" s="366">
        <f>'Degrémont Entrée'!BH135</f>
        <v>0</v>
      </c>
      <c r="BL135" s="367">
        <f>'Degrémont Entrée'!BI135</f>
        <v>0</v>
      </c>
    </row>
    <row r="136" spans="1:64" ht="24" outlineLevel="1">
      <c r="A136" s="337">
        <f t="shared" si="18"/>
        <v>43588</v>
      </c>
      <c r="B136" s="338">
        <f>'Degrémont Entrée'!B136</f>
        <v>620</v>
      </c>
      <c r="C136" s="339">
        <v>8.3000000000000007</v>
      </c>
      <c r="D136" s="340">
        <v>90.5</v>
      </c>
      <c r="E136" s="341">
        <v>110.4</v>
      </c>
      <c r="F136" s="342">
        <v>100</v>
      </c>
      <c r="G136" s="329">
        <f t="shared" si="0"/>
        <v>199.00000000000009</v>
      </c>
      <c r="H136" s="338"/>
      <c r="I136" s="343">
        <v>1964</v>
      </c>
      <c r="J136" s="344">
        <f t="shared" si="2"/>
        <v>1217.68</v>
      </c>
      <c r="K136" s="343">
        <v>1</v>
      </c>
      <c r="L136" s="345">
        <v>3.66</v>
      </c>
      <c r="M136" s="346">
        <f t="shared" si="3"/>
        <v>3.66</v>
      </c>
      <c r="N136" s="338">
        <f t="shared" si="4"/>
        <v>2.2692000000000001</v>
      </c>
      <c r="O136" s="368"/>
      <c r="P136" s="347">
        <f t="shared" si="19"/>
        <v>0</v>
      </c>
      <c r="Q136" s="348"/>
      <c r="R136" s="369"/>
      <c r="S136" s="349">
        <f t="shared" si="20"/>
        <v>0</v>
      </c>
      <c r="T136" s="348"/>
      <c r="U136" s="369"/>
      <c r="V136" s="349">
        <f t="shared" si="5"/>
        <v>0</v>
      </c>
      <c r="W136" s="348"/>
      <c r="X136" s="318" t="str">
        <f t="shared" si="6"/>
        <v/>
      </c>
      <c r="Y136" s="370" t="e">
        <f t="shared" si="7"/>
        <v>#VALUE!</v>
      </c>
      <c r="Z136" s="343" t="s">
        <v>85</v>
      </c>
      <c r="AA136" s="345">
        <v>0.01</v>
      </c>
      <c r="AB136" s="352">
        <f t="shared" si="8"/>
        <v>3.0999999999999999E-3</v>
      </c>
      <c r="AC136" s="353"/>
      <c r="AD136" s="354"/>
      <c r="AE136" s="378" t="str">
        <f t="shared" si="21"/>
        <v/>
      </c>
      <c r="AF136" s="329"/>
      <c r="AG136" s="358"/>
      <c r="AH136" s="356" t="str">
        <f t="shared" si="22"/>
        <v/>
      </c>
      <c r="AI136" s="329"/>
      <c r="AJ136" s="345">
        <v>13</v>
      </c>
      <c r="AK136" s="356">
        <f t="shared" si="11"/>
        <v>8.06</v>
      </c>
      <c r="AL136" s="357"/>
      <c r="AM136" s="358"/>
      <c r="AN136" s="356">
        <f t="shared" si="12"/>
        <v>0</v>
      </c>
      <c r="AO136" s="329"/>
      <c r="AP136" s="358"/>
      <c r="AQ136" s="359">
        <f t="shared" si="13"/>
        <v>0</v>
      </c>
      <c r="AR136" s="360"/>
      <c r="AS136" s="355">
        <v>21</v>
      </c>
      <c r="AT136" s="356">
        <f t="shared" si="14"/>
        <v>13.02</v>
      </c>
      <c r="AU136" s="329"/>
      <c r="AV136" s="358"/>
      <c r="AW136" s="359">
        <f t="shared" si="15"/>
        <v>0</v>
      </c>
      <c r="AX136" s="329"/>
      <c r="AY136" s="358"/>
      <c r="AZ136" s="359">
        <f t="shared" si="16"/>
        <v>0</v>
      </c>
      <c r="BA136" s="329">
        <f>IF('Degrémont Entrée'!K136="",,('Degrémont Entrée'!K136-I136)/'Degrémont Entrée'!K136*100)</f>
        <v>74.566174566174567</v>
      </c>
      <c r="BB136" s="329">
        <f>IF('Degrémont Entrée'!G136="",,('Degrémont Entrée'!G136-G136)/'Degrémont Entrée'!G136*100)</f>
        <v>96.676409185803763</v>
      </c>
      <c r="BC136" s="329">
        <f>IF('Degrémont Entrée'!S136="",,('Degrémont Entrée'!S136-M136)/'Degrémont Entrée'!S136*100)</f>
        <v>98.624060150375925</v>
      </c>
      <c r="BD136" s="361" t="str">
        <f ca="1">IFERROR(__xludf.DUMMYFUNCTION("""COMPUTED_VALUE"""),"#DIV/0!")</f>
        <v>#DIV/0!</v>
      </c>
      <c r="BE136" s="362"/>
      <c r="BF136" s="363"/>
      <c r="BG136" s="363"/>
      <c r="BH136" s="338">
        <f t="shared" si="17"/>
        <v>0</v>
      </c>
      <c r="BI136" s="364" t="s">
        <v>204</v>
      </c>
      <c r="BJ136" s="365"/>
      <c r="BK136" s="371">
        <f>'Degrémont Entrée'!BH136</f>
        <v>0</v>
      </c>
      <c r="BL136" s="372" t="str">
        <f>'Degrémont Entrée'!BI136</f>
        <v>10H30 Boues importantes dans le décanteur. Pompe P04 ne s'est pas arrêté</v>
      </c>
    </row>
    <row r="137" spans="1:64" ht="15.75" customHeight="1" outlineLevel="1">
      <c r="A137" s="337">
        <f t="shared" si="18"/>
        <v>43589</v>
      </c>
      <c r="B137" s="338">
        <f>'Degrémont Entrée'!B137</f>
        <v>1200</v>
      </c>
      <c r="C137" s="339">
        <v>7.7</v>
      </c>
      <c r="D137" s="340">
        <v>90.5</v>
      </c>
      <c r="E137" s="341">
        <v>98.4</v>
      </c>
      <c r="F137" s="342">
        <v>100</v>
      </c>
      <c r="G137" s="329">
        <f t="shared" si="0"/>
        <v>79.000000000000057</v>
      </c>
      <c r="H137" s="338"/>
      <c r="I137" s="343">
        <v>1208</v>
      </c>
      <c r="J137" s="344">
        <f t="shared" si="2"/>
        <v>1449.6</v>
      </c>
      <c r="K137" s="343">
        <v>1</v>
      </c>
      <c r="L137" s="345">
        <v>2.15</v>
      </c>
      <c r="M137" s="346">
        <f t="shared" si="3"/>
        <v>2.15</v>
      </c>
      <c r="N137" s="338">
        <f t="shared" si="4"/>
        <v>2.58</v>
      </c>
      <c r="O137" s="368"/>
      <c r="P137" s="347">
        <f t="shared" si="19"/>
        <v>0</v>
      </c>
      <c r="Q137" s="348"/>
      <c r="R137" s="369"/>
      <c r="S137" s="349">
        <f t="shared" si="20"/>
        <v>0</v>
      </c>
      <c r="T137" s="348"/>
      <c r="U137" s="369"/>
      <c r="V137" s="349">
        <f t="shared" si="5"/>
        <v>0</v>
      </c>
      <c r="W137" s="348"/>
      <c r="X137" s="318" t="str">
        <f t="shared" si="6"/>
        <v/>
      </c>
      <c r="Y137" s="370" t="e">
        <f t="shared" si="7"/>
        <v>#VALUE!</v>
      </c>
      <c r="Z137" s="343" t="s">
        <v>85</v>
      </c>
      <c r="AA137" s="345">
        <v>0.01</v>
      </c>
      <c r="AB137" s="352">
        <f t="shared" si="8"/>
        <v>6.0000000000000001E-3</v>
      </c>
      <c r="AC137" s="353"/>
      <c r="AD137" s="354"/>
      <c r="AE137" s="378" t="str">
        <f t="shared" si="21"/>
        <v/>
      </c>
      <c r="AF137" s="329"/>
      <c r="AG137" s="358"/>
      <c r="AH137" s="356" t="str">
        <f t="shared" si="22"/>
        <v/>
      </c>
      <c r="AI137" s="329"/>
      <c r="AJ137" s="345">
        <v>1.3</v>
      </c>
      <c r="AK137" s="356">
        <f t="shared" si="11"/>
        <v>1.56</v>
      </c>
      <c r="AL137" s="357"/>
      <c r="AM137" s="358"/>
      <c r="AN137" s="356">
        <f t="shared" si="12"/>
        <v>0</v>
      </c>
      <c r="AO137" s="329"/>
      <c r="AP137" s="358"/>
      <c r="AQ137" s="359">
        <f t="shared" si="13"/>
        <v>0</v>
      </c>
      <c r="AR137" s="360"/>
      <c r="AS137" s="355">
        <v>2.2999999999999998</v>
      </c>
      <c r="AT137" s="356">
        <f t="shared" si="14"/>
        <v>2.76</v>
      </c>
      <c r="AU137" s="329"/>
      <c r="AV137" s="358"/>
      <c r="AW137" s="359">
        <f t="shared" si="15"/>
        <v>0</v>
      </c>
      <c r="AX137" s="329"/>
      <c r="AY137" s="358"/>
      <c r="AZ137" s="359">
        <f t="shared" si="16"/>
        <v>0</v>
      </c>
      <c r="BA137" s="329">
        <f>IF('Degrémont Entrée'!K137="",,('Degrémont Entrée'!K137-I137)/'Degrémont Entrée'!K137*100)</f>
        <v>93.441910966340942</v>
      </c>
      <c r="BB137" s="329">
        <f>IF('Degrémont Entrée'!G137="",,('Degrémont Entrée'!G137-G137)/'Degrémont Entrée'!G137*100)</f>
        <v>99.431264998285911</v>
      </c>
      <c r="BC137" s="329">
        <f>IF('Degrémont Entrée'!S137="",,('Degrémont Entrée'!S137-M137)/'Degrémont Entrée'!S137*100)</f>
        <v>99.583333333333329</v>
      </c>
      <c r="BD137" s="361" t="str">
        <f ca="1">IFERROR(__xludf.DUMMYFUNCTION("""COMPUTED_VALUE"""),"#DIV/0!")</f>
        <v>#DIV/0!</v>
      </c>
      <c r="BE137" s="362"/>
      <c r="BF137" s="363"/>
      <c r="BG137" s="363"/>
      <c r="BH137" s="338">
        <f t="shared" si="17"/>
        <v>0</v>
      </c>
      <c r="BI137" s="364" t="s">
        <v>205</v>
      </c>
      <c r="BJ137" s="365"/>
      <c r="BK137" s="366">
        <f>'Degrémont Entrée'!BH137</f>
        <v>0</v>
      </c>
      <c r="BL137" s="367">
        <f>'Degrémont Entrée'!BI137</f>
        <v>0</v>
      </c>
    </row>
    <row r="138" spans="1:64" ht="14.25" outlineLevel="1">
      <c r="A138" s="337">
        <f t="shared" si="18"/>
        <v>43590</v>
      </c>
      <c r="B138" s="338">
        <f>'Degrémont Entrée'!B138</f>
        <v>0</v>
      </c>
      <c r="C138" s="338"/>
      <c r="D138" s="388"/>
      <c r="E138" s="368"/>
      <c r="F138" s="342">
        <v>100</v>
      </c>
      <c r="G138" s="329">
        <f t="shared" si="0"/>
        <v>0</v>
      </c>
      <c r="H138" s="338"/>
      <c r="I138" s="346"/>
      <c r="J138" s="344">
        <f t="shared" si="2"/>
        <v>0</v>
      </c>
      <c r="K138" s="343">
        <v>1</v>
      </c>
      <c r="L138" s="329"/>
      <c r="M138" s="346" t="str">
        <f t="shared" si="3"/>
        <v/>
      </c>
      <c r="N138" s="338" t="e">
        <f t="shared" si="4"/>
        <v>#VALUE!</v>
      </c>
      <c r="O138" s="368"/>
      <c r="P138" s="347">
        <f t="shared" si="19"/>
        <v>0</v>
      </c>
      <c r="Q138" s="348"/>
      <c r="R138" s="369"/>
      <c r="S138" s="349">
        <f t="shared" si="20"/>
        <v>0</v>
      </c>
      <c r="T138" s="348"/>
      <c r="U138" s="369"/>
      <c r="V138" s="349">
        <f t="shared" si="5"/>
        <v>0</v>
      </c>
      <c r="W138" s="348"/>
      <c r="X138" s="318" t="str">
        <f t="shared" si="6"/>
        <v/>
      </c>
      <c r="Y138" s="370" t="e">
        <f t="shared" si="7"/>
        <v>#VALUE!</v>
      </c>
      <c r="Z138" s="346"/>
      <c r="AA138" s="329"/>
      <c r="AB138" s="352">
        <f t="shared" si="8"/>
        <v>0</v>
      </c>
      <c r="AC138" s="353"/>
      <c r="AD138" s="354"/>
      <c r="AE138" s="378" t="str">
        <f t="shared" si="21"/>
        <v/>
      </c>
      <c r="AF138" s="329"/>
      <c r="AG138" s="358"/>
      <c r="AH138" s="356" t="str">
        <f t="shared" si="22"/>
        <v/>
      </c>
      <c r="AI138" s="329"/>
      <c r="AJ138" s="329"/>
      <c r="AK138" s="356">
        <f t="shared" si="11"/>
        <v>0</v>
      </c>
      <c r="AL138" s="357"/>
      <c r="AM138" s="358"/>
      <c r="AN138" s="356">
        <f t="shared" si="12"/>
        <v>0</v>
      </c>
      <c r="AO138" s="329"/>
      <c r="AP138" s="358"/>
      <c r="AQ138" s="359">
        <f t="shared" si="13"/>
        <v>0</v>
      </c>
      <c r="AR138" s="360"/>
      <c r="AS138" s="358"/>
      <c r="AT138" s="356">
        <f t="shared" si="14"/>
        <v>0</v>
      </c>
      <c r="AU138" s="329"/>
      <c r="AV138" s="358"/>
      <c r="AW138" s="359">
        <f t="shared" si="15"/>
        <v>0</v>
      </c>
      <c r="AX138" s="329"/>
      <c r="AY138" s="358"/>
      <c r="AZ138" s="359">
        <f t="shared" si="16"/>
        <v>0</v>
      </c>
      <c r="BA138" s="329" t="e">
        <f>IF('Degrémont Entrée'!K138="",,('Degrémont Entrée'!K138-I138)/'Degrémont Entrée'!K138*100)</f>
        <v>#DIV/0!</v>
      </c>
      <c r="BB138" s="329" t="e">
        <f>IF('Degrémont Entrée'!G138="",,('Degrémont Entrée'!G138-G138)/'Degrémont Entrée'!G138*100)</f>
        <v>#DIV/0!</v>
      </c>
      <c r="BC138" s="329">
        <f>IF('Degrémont Entrée'!S138="",,('Degrémont Entrée'!S138-M138)/'Degrémont Entrée'!S138*100)</f>
        <v>0</v>
      </c>
      <c r="BD138" s="361" t="str">
        <f ca="1">IFERROR(__xludf.DUMMYFUNCTION("""COMPUTED_VALUE"""),"#DIV/0!")</f>
        <v>#DIV/0!</v>
      </c>
      <c r="BE138" s="362"/>
      <c r="BF138" s="363"/>
      <c r="BG138" s="363"/>
      <c r="BH138" s="338">
        <f t="shared" si="17"/>
        <v>0</v>
      </c>
      <c r="BI138" s="364"/>
      <c r="BJ138" s="365"/>
      <c r="BK138" s="371">
        <f>'Degrémont Entrée'!BH138</f>
        <v>0</v>
      </c>
      <c r="BL138" s="372">
        <f>'Degrémont Entrée'!BI138</f>
        <v>0</v>
      </c>
    </row>
    <row r="139" spans="1:64" ht="15.75" customHeight="1" outlineLevel="1">
      <c r="A139" s="337">
        <f t="shared" si="18"/>
        <v>43591</v>
      </c>
      <c r="B139" s="338">
        <f>'Degrémont Entrée'!B139</f>
        <v>782</v>
      </c>
      <c r="C139" s="339">
        <v>9</v>
      </c>
      <c r="D139" s="340">
        <v>88.4</v>
      </c>
      <c r="E139" s="341">
        <v>88.7</v>
      </c>
      <c r="F139" s="342">
        <v>100</v>
      </c>
      <c r="G139" s="329">
        <f t="shared" si="0"/>
        <v>2.9999999999999716</v>
      </c>
      <c r="H139" s="338"/>
      <c r="I139" s="343">
        <v>474</v>
      </c>
      <c r="J139" s="344">
        <f t="shared" si="2"/>
        <v>370.66800000000001</v>
      </c>
      <c r="K139" s="343">
        <v>2</v>
      </c>
      <c r="L139" s="345">
        <v>0.26</v>
      </c>
      <c r="M139" s="346">
        <f t="shared" si="3"/>
        <v>0.52</v>
      </c>
      <c r="N139" s="338">
        <f t="shared" si="4"/>
        <v>0.40664</v>
      </c>
      <c r="O139" s="368"/>
      <c r="P139" s="347">
        <f t="shared" si="19"/>
        <v>0</v>
      </c>
      <c r="Q139" s="348"/>
      <c r="R139" s="369"/>
      <c r="S139" s="349">
        <f t="shared" si="20"/>
        <v>0</v>
      </c>
      <c r="T139" s="348"/>
      <c r="U139" s="369"/>
      <c r="V139" s="349">
        <f t="shared" si="5"/>
        <v>0</v>
      </c>
      <c r="W139" s="348"/>
      <c r="X139" s="318" t="str">
        <f t="shared" si="6"/>
        <v/>
      </c>
      <c r="Y139" s="370" t="e">
        <f t="shared" si="7"/>
        <v>#VALUE!</v>
      </c>
      <c r="Z139" s="343" t="s">
        <v>85</v>
      </c>
      <c r="AA139" s="345">
        <v>0.01</v>
      </c>
      <c r="AB139" s="352">
        <f t="shared" si="8"/>
        <v>3.9100000000000003E-3</v>
      </c>
      <c r="AC139" s="353"/>
      <c r="AD139" s="354"/>
      <c r="AE139" s="378" t="str">
        <f t="shared" si="21"/>
        <v/>
      </c>
      <c r="AF139" s="329"/>
      <c r="AG139" s="358"/>
      <c r="AH139" s="356" t="str">
        <f t="shared" si="22"/>
        <v/>
      </c>
      <c r="AI139" s="329"/>
      <c r="AJ139" s="329"/>
      <c r="AK139" s="356">
        <f t="shared" si="11"/>
        <v>0</v>
      </c>
      <c r="AL139" s="357"/>
      <c r="AM139" s="358"/>
      <c r="AN139" s="356">
        <f t="shared" si="12"/>
        <v>0</v>
      </c>
      <c r="AO139" s="329"/>
      <c r="AP139" s="358"/>
      <c r="AQ139" s="359">
        <f t="shared" si="13"/>
        <v>0</v>
      </c>
      <c r="AR139" s="360"/>
      <c r="AS139" s="355">
        <v>0.35</v>
      </c>
      <c r="AT139" s="356">
        <f t="shared" si="14"/>
        <v>0.2737</v>
      </c>
      <c r="AU139" s="329"/>
      <c r="AV139" s="358"/>
      <c r="AW139" s="359">
        <f t="shared" si="15"/>
        <v>0</v>
      </c>
      <c r="AX139" s="329"/>
      <c r="AY139" s="358"/>
      <c r="AZ139" s="359">
        <f t="shared" si="16"/>
        <v>0</v>
      </c>
      <c r="BA139" s="329">
        <f>IF('Degrémont Entrée'!K139="",,('Degrémont Entrée'!K139-I139)/'Degrémont Entrée'!K139*100)</f>
        <v>95.337399173716307</v>
      </c>
      <c r="BB139" s="329">
        <f>IF('Degrémont Entrée'!G139="",,('Degrémont Entrée'!G139-G139)/'Degrémont Entrée'!G139*100)</f>
        <v>99.970491803278691</v>
      </c>
      <c r="BC139" s="329">
        <f>IF('Degrémont Entrée'!S139="",,('Degrémont Entrée'!S139-M139)/'Degrémont Entrée'!S139*100)</f>
        <v>99.871287128712865</v>
      </c>
      <c r="BD139" s="361" t="str">
        <f ca="1">IFERROR(__xludf.DUMMYFUNCTION("""COMPUTED_VALUE"""),"#DIV/0!")</f>
        <v>#DIV/0!</v>
      </c>
      <c r="BE139" s="362"/>
      <c r="BF139" s="363"/>
      <c r="BG139" s="363"/>
      <c r="BH139" s="338">
        <f t="shared" si="17"/>
        <v>0</v>
      </c>
      <c r="BI139" s="364" t="s">
        <v>206</v>
      </c>
      <c r="BJ139" s="365"/>
      <c r="BK139" s="366">
        <f>'Degrémont Entrée'!BH139</f>
        <v>0</v>
      </c>
      <c r="BL139" s="367">
        <f>'Degrémont Entrée'!BI139</f>
        <v>0</v>
      </c>
    </row>
    <row r="140" spans="1:64" ht="14.25" outlineLevel="1">
      <c r="A140" s="337">
        <f t="shared" si="18"/>
        <v>43592</v>
      </c>
      <c r="B140" s="338">
        <f>'Degrémont Entrée'!B140</f>
        <v>1003</v>
      </c>
      <c r="C140" s="339">
        <v>8.8000000000000007</v>
      </c>
      <c r="D140" s="340">
        <v>88.2</v>
      </c>
      <c r="E140" s="341">
        <v>92.3</v>
      </c>
      <c r="F140" s="342">
        <v>200</v>
      </c>
      <c r="G140" s="329">
        <f t="shared" si="0"/>
        <v>20.499999999999972</v>
      </c>
      <c r="H140" s="338"/>
      <c r="I140" s="343">
        <v>657</v>
      </c>
      <c r="J140" s="344">
        <f t="shared" si="2"/>
        <v>658.971</v>
      </c>
      <c r="K140" s="343">
        <v>1</v>
      </c>
      <c r="L140" s="345">
        <v>0.52</v>
      </c>
      <c r="M140" s="346">
        <f t="shared" si="3"/>
        <v>0.52</v>
      </c>
      <c r="N140" s="338">
        <f t="shared" si="4"/>
        <v>0.52156000000000002</v>
      </c>
      <c r="O140" s="341">
        <v>5.4</v>
      </c>
      <c r="P140" s="347">
        <f t="shared" si="19"/>
        <v>5.4162000000000008</v>
      </c>
      <c r="Q140" s="348"/>
      <c r="R140" s="369"/>
      <c r="S140" s="349">
        <f t="shared" si="20"/>
        <v>0</v>
      </c>
      <c r="T140" s="348"/>
      <c r="U140" s="369"/>
      <c r="V140" s="349">
        <f t="shared" si="5"/>
        <v>0</v>
      </c>
      <c r="W140" s="348"/>
      <c r="X140" s="318">
        <f t="shared" si="6"/>
        <v>5.4</v>
      </c>
      <c r="Y140" s="370">
        <f t="shared" si="7"/>
        <v>5.4162000000000008</v>
      </c>
      <c r="Z140" s="343" t="s">
        <v>85</v>
      </c>
      <c r="AA140" s="345">
        <v>0.01</v>
      </c>
      <c r="AB140" s="352">
        <f t="shared" si="8"/>
        <v>5.0149999999999995E-3</v>
      </c>
      <c r="AC140" s="353"/>
      <c r="AD140" s="354"/>
      <c r="AE140" s="378" t="str">
        <f t="shared" si="21"/>
        <v/>
      </c>
      <c r="AF140" s="329"/>
      <c r="AG140" s="355">
        <v>1.5</v>
      </c>
      <c r="AH140" s="356">
        <f t="shared" si="22"/>
        <v>6.4634999999999998</v>
      </c>
      <c r="AI140" s="329"/>
      <c r="AJ140" s="345">
        <v>1.31</v>
      </c>
      <c r="AK140" s="356">
        <f t="shared" si="11"/>
        <v>1.31393</v>
      </c>
      <c r="AL140" s="357"/>
      <c r="AM140" s="355">
        <v>0.05</v>
      </c>
      <c r="AN140" s="356">
        <f t="shared" si="12"/>
        <v>5.0150000000000007E-2</v>
      </c>
      <c r="AO140" s="329"/>
      <c r="AP140" s="355">
        <v>0.34</v>
      </c>
      <c r="AQ140" s="359">
        <f t="shared" si="13"/>
        <v>0.34102000000000005</v>
      </c>
      <c r="AR140" s="360"/>
      <c r="AS140" s="355">
        <v>1.91</v>
      </c>
      <c r="AT140" s="356">
        <f t="shared" si="14"/>
        <v>1.9157299999999999</v>
      </c>
      <c r="AU140" s="345" t="s">
        <v>85</v>
      </c>
      <c r="AV140" s="355">
        <v>0.15</v>
      </c>
      <c r="AW140" s="359">
        <f t="shared" si="15"/>
        <v>7.5225E-2</v>
      </c>
      <c r="AX140" s="345" t="s">
        <v>85</v>
      </c>
      <c r="AY140" s="355">
        <v>0.13</v>
      </c>
      <c r="AZ140" s="359">
        <f t="shared" si="16"/>
        <v>6.5195000000000003E-2</v>
      </c>
      <c r="BA140" s="329">
        <f>IF('Degrémont Entrée'!K140="",,('Degrémont Entrée'!K140-I140)/'Degrémont Entrée'!K140*100)</f>
        <v>94.513111742107895</v>
      </c>
      <c r="BB140" s="329">
        <f>IF('Degrémont Entrée'!G140="",,('Degrémont Entrée'!G140-G140)/'Degrémont Entrée'!G140*100)</f>
        <v>99.811679790026247</v>
      </c>
      <c r="BC140" s="329">
        <f>IF('Degrémont Entrée'!S140="",,('Degrémont Entrée'!S140-M140)/'Degrémont Entrée'!S140*100)</f>
        <v>99.914049586776869</v>
      </c>
      <c r="BD140" s="361" t="str">
        <f ca="1">IFERROR(__xludf.DUMMYFUNCTION("""COMPUTED_VALUE"""),"#DIV/0!")</f>
        <v>#DIV/0!</v>
      </c>
      <c r="BE140" s="362"/>
      <c r="BF140" s="363"/>
      <c r="BG140" s="363"/>
      <c r="BH140" s="338">
        <f t="shared" si="17"/>
        <v>0</v>
      </c>
      <c r="BI140" s="364"/>
      <c r="BJ140" s="365"/>
      <c r="BK140" s="371">
        <f>'Degrémont Entrée'!BH140</f>
        <v>0</v>
      </c>
      <c r="BL140" s="372">
        <f>'Degrémont Entrée'!BI140</f>
        <v>0</v>
      </c>
    </row>
    <row r="141" spans="1:64" ht="15.75" customHeight="1" outlineLevel="1">
      <c r="A141" s="337">
        <f t="shared" si="18"/>
        <v>43593</v>
      </c>
      <c r="B141" s="338">
        <f>'Degrémont Entrée'!B141</f>
        <v>847</v>
      </c>
      <c r="C141" s="339">
        <v>8.5</v>
      </c>
      <c r="D141" s="340">
        <v>88.4</v>
      </c>
      <c r="E141" s="341">
        <v>93</v>
      </c>
      <c r="F141" s="342">
        <v>200</v>
      </c>
      <c r="G141" s="329">
        <f t="shared" si="0"/>
        <v>22.999999999999972</v>
      </c>
      <c r="H141" s="338"/>
      <c r="I141" s="343">
        <v>493</v>
      </c>
      <c r="J141" s="344">
        <f t="shared" si="2"/>
        <v>417.57100000000003</v>
      </c>
      <c r="K141" s="343">
        <v>1</v>
      </c>
      <c r="L141" s="345">
        <v>0.74</v>
      </c>
      <c r="M141" s="346">
        <f t="shared" si="3"/>
        <v>0.74</v>
      </c>
      <c r="N141" s="338">
        <f t="shared" si="4"/>
        <v>0.62678</v>
      </c>
      <c r="O141" s="368"/>
      <c r="P141" s="347">
        <f t="shared" si="19"/>
        <v>0</v>
      </c>
      <c r="Q141" s="348"/>
      <c r="R141" s="369"/>
      <c r="S141" s="349">
        <f t="shared" si="20"/>
        <v>0</v>
      </c>
      <c r="T141" s="348"/>
      <c r="U141" s="369"/>
      <c r="V141" s="349">
        <f t="shared" si="5"/>
        <v>0</v>
      </c>
      <c r="W141" s="348"/>
      <c r="X141" s="318" t="str">
        <f t="shared" si="6"/>
        <v/>
      </c>
      <c r="Y141" s="370" t="e">
        <f t="shared" si="7"/>
        <v>#VALUE!</v>
      </c>
      <c r="Z141" s="343" t="s">
        <v>85</v>
      </c>
      <c r="AA141" s="345">
        <v>0.01</v>
      </c>
      <c r="AB141" s="352">
        <f t="shared" si="8"/>
        <v>4.235E-3</v>
      </c>
      <c r="AC141" s="353"/>
      <c r="AD141" s="354"/>
      <c r="AE141" s="378" t="str">
        <f t="shared" si="21"/>
        <v/>
      </c>
      <c r="AF141" s="329"/>
      <c r="AG141" s="358"/>
      <c r="AH141" s="356" t="str">
        <f t="shared" si="22"/>
        <v/>
      </c>
      <c r="AI141" s="329"/>
      <c r="AJ141" s="329"/>
      <c r="AK141" s="356">
        <f t="shared" si="11"/>
        <v>0</v>
      </c>
      <c r="AL141" s="357"/>
      <c r="AM141" s="358"/>
      <c r="AN141" s="356">
        <f t="shared" si="12"/>
        <v>0</v>
      </c>
      <c r="AO141" s="329"/>
      <c r="AP141" s="358"/>
      <c r="AQ141" s="359">
        <f t="shared" si="13"/>
        <v>0</v>
      </c>
      <c r="AR141" s="360"/>
      <c r="AS141" s="358"/>
      <c r="AT141" s="356">
        <f t="shared" si="14"/>
        <v>0</v>
      </c>
      <c r="AU141" s="329"/>
      <c r="AV141" s="358"/>
      <c r="AW141" s="359">
        <f t="shared" si="15"/>
        <v>0</v>
      </c>
      <c r="AX141" s="329"/>
      <c r="AY141" s="358"/>
      <c r="AZ141" s="359">
        <f t="shared" si="16"/>
        <v>0</v>
      </c>
      <c r="BA141" s="329">
        <f>IF('Degrémont Entrée'!K141="",,('Degrémont Entrée'!K141-I141)/'Degrémont Entrée'!K141*100)</f>
        <v>96.401459854014604</v>
      </c>
      <c r="BB141" s="329">
        <f>IF('Degrémont Entrée'!G141="",,('Degrémont Entrée'!G141-G141)/'Degrémont Entrée'!G141*100)</f>
        <v>99.837508028259464</v>
      </c>
      <c r="BC141" s="329">
        <f>IF('Degrémont Entrée'!S141="",,('Degrémont Entrée'!S141-M141)/'Degrémont Entrée'!S141*100)</f>
        <v>99.86545454545454</v>
      </c>
      <c r="BD141" s="361" t="str">
        <f ca="1">IFERROR(__xludf.DUMMYFUNCTION("""COMPUTED_VALUE"""),"#DIV/0!")</f>
        <v>#DIV/0!</v>
      </c>
      <c r="BE141" s="362"/>
      <c r="BF141" s="363"/>
      <c r="BG141" s="363"/>
      <c r="BH141" s="338">
        <f t="shared" si="17"/>
        <v>0</v>
      </c>
      <c r="BI141" s="364"/>
      <c r="BJ141" s="365"/>
      <c r="BK141" s="366">
        <f>'Degrémont Entrée'!BH141</f>
        <v>0</v>
      </c>
      <c r="BL141" s="367">
        <f>'Degrémont Entrée'!BI141</f>
        <v>0</v>
      </c>
    </row>
    <row r="142" spans="1:64" ht="14.25" outlineLevel="1">
      <c r="A142" s="337">
        <f t="shared" si="18"/>
        <v>43594</v>
      </c>
      <c r="B142" s="338">
        <f>'Degrémont Entrée'!B142</f>
        <v>897</v>
      </c>
      <c r="C142" s="339">
        <v>9.1</v>
      </c>
      <c r="D142" s="340">
        <v>89.6</v>
      </c>
      <c r="E142" s="341">
        <v>91.2</v>
      </c>
      <c r="F142" s="342">
        <v>100</v>
      </c>
      <c r="G142" s="329">
        <f t="shared" si="0"/>
        <v>16.000000000000085</v>
      </c>
      <c r="H142" s="338"/>
      <c r="I142" s="343">
        <v>465</v>
      </c>
      <c r="J142" s="344">
        <f t="shared" si="2"/>
        <v>417.10500000000002</v>
      </c>
      <c r="K142" s="343">
        <v>1</v>
      </c>
      <c r="L142" s="345">
        <v>0.71</v>
      </c>
      <c r="M142" s="346">
        <f t="shared" si="3"/>
        <v>0.71</v>
      </c>
      <c r="N142" s="338">
        <f t="shared" si="4"/>
        <v>0.63687000000000005</v>
      </c>
      <c r="O142" s="368"/>
      <c r="P142" s="347">
        <f t="shared" si="19"/>
        <v>0</v>
      </c>
      <c r="Q142" s="348"/>
      <c r="R142" s="369"/>
      <c r="S142" s="349">
        <f t="shared" si="20"/>
        <v>0</v>
      </c>
      <c r="T142" s="348"/>
      <c r="U142" s="369"/>
      <c r="V142" s="349">
        <f t="shared" si="5"/>
        <v>0</v>
      </c>
      <c r="W142" s="348"/>
      <c r="X142" s="318" t="str">
        <f t="shared" si="6"/>
        <v/>
      </c>
      <c r="Y142" s="370" t="e">
        <f t="shared" si="7"/>
        <v>#VALUE!</v>
      </c>
      <c r="Z142" s="343" t="s">
        <v>85</v>
      </c>
      <c r="AA142" s="345">
        <v>0.01</v>
      </c>
      <c r="AB142" s="352">
        <f t="shared" si="8"/>
        <v>4.4850000000000003E-3</v>
      </c>
      <c r="AC142" s="353"/>
      <c r="AD142" s="354"/>
      <c r="AE142" s="378" t="str">
        <f t="shared" si="21"/>
        <v/>
      </c>
      <c r="AF142" s="329"/>
      <c r="AG142" s="358"/>
      <c r="AH142" s="356" t="str">
        <f t="shared" si="22"/>
        <v/>
      </c>
      <c r="AI142" s="329"/>
      <c r="AJ142" s="329"/>
      <c r="AK142" s="356">
        <f t="shared" si="11"/>
        <v>0</v>
      </c>
      <c r="AL142" s="357"/>
      <c r="AM142" s="358"/>
      <c r="AN142" s="356">
        <f t="shared" si="12"/>
        <v>0</v>
      </c>
      <c r="AO142" s="329"/>
      <c r="AP142" s="358"/>
      <c r="AQ142" s="359">
        <f t="shared" si="13"/>
        <v>0</v>
      </c>
      <c r="AR142" s="360"/>
      <c r="AS142" s="358"/>
      <c r="AT142" s="356">
        <f t="shared" si="14"/>
        <v>0</v>
      </c>
      <c r="AU142" s="329"/>
      <c r="AV142" s="358"/>
      <c r="AW142" s="359">
        <f t="shared" si="15"/>
        <v>0</v>
      </c>
      <c r="AX142" s="329"/>
      <c r="AY142" s="358"/>
      <c r="AZ142" s="359">
        <f t="shared" si="16"/>
        <v>0</v>
      </c>
      <c r="BA142" s="329">
        <f>IF('Degrémont Entrée'!K142="",,('Degrémont Entrée'!K142-I142)/'Degrémont Entrée'!K142*100)</f>
        <v>96.547884187082403</v>
      </c>
      <c r="BB142" s="329">
        <f>IF('Degrémont Entrée'!G142="",,('Degrémont Entrée'!G142-G142)/'Degrémont Entrée'!G142*100)</f>
        <v>99.879344262295078</v>
      </c>
      <c r="BC142" s="329">
        <f>IF('Degrémont Entrée'!S142="",,('Degrémont Entrée'!S142-M142)/'Degrémont Entrée'!S142*100)</f>
        <v>99.869724770642193</v>
      </c>
      <c r="BD142" s="361" t="str">
        <f ca="1">IFERROR(__xludf.DUMMYFUNCTION("""COMPUTED_VALUE"""),"#DIV/0!")</f>
        <v>#DIV/0!</v>
      </c>
      <c r="BE142" s="362"/>
      <c r="BF142" s="363"/>
      <c r="BG142" s="363"/>
      <c r="BH142" s="338">
        <f t="shared" si="17"/>
        <v>0</v>
      </c>
      <c r="BI142" s="364"/>
      <c r="BJ142" s="365"/>
      <c r="BK142" s="371">
        <f>'Degrémont Entrée'!BH142</f>
        <v>0</v>
      </c>
      <c r="BL142" s="372">
        <f>'Degrémont Entrée'!BI142</f>
        <v>0</v>
      </c>
    </row>
    <row r="143" spans="1:64" ht="15.75" customHeight="1" outlineLevel="1">
      <c r="A143" s="337">
        <f t="shared" si="18"/>
        <v>43595</v>
      </c>
      <c r="B143" s="338">
        <f>'Degrémont Entrée'!B143</f>
        <v>1038</v>
      </c>
      <c r="C143" s="339">
        <v>8.5</v>
      </c>
      <c r="D143" s="340">
        <v>89.7</v>
      </c>
      <c r="E143" s="341">
        <v>94.5</v>
      </c>
      <c r="F143" s="342">
        <v>200</v>
      </c>
      <c r="G143" s="329">
        <f t="shared" si="0"/>
        <v>23.999999999999986</v>
      </c>
      <c r="H143" s="338"/>
      <c r="I143" s="343">
        <v>517</v>
      </c>
      <c r="J143" s="344">
        <f t="shared" si="2"/>
        <v>536.64599999999996</v>
      </c>
      <c r="K143" s="343">
        <v>1</v>
      </c>
      <c r="L143" s="345">
        <v>0.74</v>
      </c>
      <c r="M143" s="346">
        <f t="shared" si="3"/>
        <v>0.74</v>
      </c>
      <c r="N143" s="338">
        <f t="shared" si="4"/>
        <v>0.76812000000000002</v>
      </c>
      <c r="O143" s="368"/>
      <c r="P143" s="347">
        <f t="shared" si="19"/>
        <v>0</v>
      </c>
      <c r="Q143" s="348"/>
      <c r="R143" s="369"/>
      <c r="S143" s="349">
        <f t="shared" si="20"/>
        <v>0</v>
      </c>
      <c r="T143" s="348"/>
      <c r="U143" s="369"/>
      <c r="V143" s="349">
        <f t="shared" si="5"/>
        <v>0</v>
      </c>
      <c r="W143" s="348"/>
      <c r="X143" s="318" t="str">
        <f t="shared" si="6"/>
        <v/>
      </c>
      <c r="Y143" s="370" t="e">
        <f t="shared" si="7"/>
        <v>#VALUE!</v>
      </c>
      <c r="Z143" s="343" t="s">
        <v>85</v>
      </c>
      <c r="AA143" s="345">
        <v>0.01</v>
      </c>
      <c r="AB143" s="352">
        <f t="shared" si="8"/>
        <v>5.1900000000000002E-3</v>
      </c>
      <c r="AC143" s="353"/>
      <c r="AD143" s="354"/>
      <c r="AE143" s="378" t="str">
        <f t="shared" si="21"/>
        <v/>
      </c>
      <c r="AF143" s="329"/>
      <c r="AG143" s="358"/>
      <c r="AH143" s="356" t="str">
        <f t="shared" si="22"/>
        <v/>
      </c>
      <c r="AI143" s="329"/>
      <c r="AJ143" s="329"/>
      <c r="AK143" s="356">
        <f t="shared" si="11"/>
        <v>0</v>
      </c>
      <c r="AL143" s="357"/>
      <c r="AM143" s="358"/>
      <c r="AN143" s="356">
        <f t="shared" si="12"/>
        <v>0</v>
      </c>
      <c r="AO143" s="329"/>
      <c r="AP143" s="358"/>
      <c r="AQ143" s="359">
        <f t="shared" si="13"/>
        <v>0</v>
      </c>
      <c r="AR143" s="360"/>
      <c r="AS143" s="358"/>
      <c r="AT143" s="356">
        <f t="shared" si="14"/>
        <v>0</v>
      </c>
      <c r="AU143" s="329"/>
      <c r="AV143" s="358"/>
      <c r="AW143" s="359">
        <f t="shared" si="15"/>
        <v>0</v>
      </c>
      <c r="AX143" s="329"/>
      <c r="AY143" s="358"/>
      <c r="AZ143" s="359">
        <f t="shared" si="16"/>
        <v>0</v>
      </c>
      <c r="BA143" s="329">
        <f>IF('Degrémont Entrée'!K143="",,('Degrémont Entrée'!K143-I143)/'Degrémont Entrée'!K143*100)</f>
        <v>96.399219947067834</v>
      </c>
      <c r="BB143" s="329">
        <f>IF('Degrémont Entrée'!G143="",,('Degrémont Entrée'!G143-G143)/'Degrémont Entrée'!G143*100)</f>
        <v>99.837929093978616</v>
      </c>
      <c r="BC143" s="329">
        <f>IF('Degrémont Entrée'!S143="",,('Degrémont Entrée'!S143-M143)/'Degrémont Entrée'!S143*100)</f>
        <v>99.877685950413223</v>
      </c>
      <c r="BD143" s="361" t="str">
        <f ca="1">IFERROR(__xludf.DUMMYFUNCTION("""COMPUTED_VALUE"""),"#DIV/0!")</f>
        <v>#DIV/0!</v>
      </c>
      <c r="BE143" s="362"/>
      <c r="BF143" s="363"/>
      <c r="BG143" s="363"/>
      <c r="BH143" s="338">
        <f t="shared" si="17"/>
        <v>0</v>
      </c>
      <c r="BI143" s="364"/>
      <c r="BJ143" s="365"/>
      <c r="BK143" s="366">
        <f>'Degrémont Entrée'!BH143</f>
        <v>0</v>
      </c>
      <c r="BL143" s="367" t="str">
        <f>'Degrémont Entrée'!BI143</f>
        <v>Problème P31: Ne s'arrête pas</v>
      </c>
    </row>
    <row r="144" spans="1:64" ht="14.25" outlineLevel="1">
      <c r="A144" s="337">
        <f t="shared" si="18"/>
        <v>43596</v>
      </c>
      <c r="B144" s="338">
        <f>'Degrémont Entrée'!B144</f>
        <v>323</v>
      </c>
      <c r="C144" s="339">
        <v>8</v>
      </c>
      <c r="D144" s="340">
        <v>89.3</v>
      </c>
      <c r="E144" s="341">
        <v>95.9</v>
      </c>
      <c r="F144" s="342">
        <v>200</v>
      </c>
      <c r="G144" s="329">
        <f t="shared" si="0"/>
        <v>33.000000000000043</v>
      </c>
      <c r="H144" s="338"/>
      <c r="I144" s="343">
        <v>459</v>
      </c>
      <c r="J144" s="344">
        <f t="shared" si="2"/>
        <v>148.25700000000001</v>
      </c>
      <c r="K144" s="343">
        <v>1</v>
      </c>
      <c r="L144" s="345">
        <v>0.93</v>
      </c>
      <c r="M144" s="346">
        <f t="shared" si="3"/>
        <v>0.93</v>
      </c>
      <c r="N144" s="338">
        <f t="shared" si="4"/>
        <v>0.30039000000000005</v>
      </c>
      <c r="O144" s="368"/>
      <c r="P144" s="347">
        <f t="shared" si="19"/>
        <v>0</v>
      </c>
      <c r="Q144" s="348"/>
      <c r="R144" s="369"/>
      <c r="S144" s="349">
        <f t="shared" si="20"/>
        <v>0</v>
      </c>
      <c r="T144" s="348"/>
      <c r="U144" s="369"/>
      <c r="V144" s="349">
        <f t="shared" si="5"/>
        <v>0</v>
      </c>
      <c r="W144" s="348"/>
      <c r="X144" s="318" t="str">
        <f t="shared" si="6"/>
        <v/>
      </c>
      <c r="Y144" s="370" t="e">
        <f t="shared" si="7"/>
        <v>#VALUE!</v>
      </c>
      <c r="Z144" s="343" t="s">
        <v>85</v>
      </c>
      <c r="AA144" s="345">
        <v>0.01</v>
      </c>
      <c r="AB144" s="352">
        <f t="shared" si="8"/>
        <v>1.6149999999999999E-3</v>
      </c>
      <c r="AC144" s="353"/>
      <c r="AD144" s="354"/>
      <c r="AE144" s="378" t="str">
        <f t="shared" si="21"/>
        <v/>
      </c>
      <c r="AF144" s="329"/>
      <c r="AG144" s="358"/>
      <c r="AH144" s="356" t="str">
        <f t="shared" si="22"/>
        <v/>
      </c>
      <c r="AI144" s="329"/>
      <c r="AJ144" s="329"/>
      <c r="AK144" s="356">
        <f t="shared" si="11"/>
        <v>0</v>
      </c>
      <c r="AL144" s="357"/>
      <c r="AM144" s="358"/>
      <c r="AN144" s="356">
        <f t="shared" si="12"/>
        <v>0</v>
      </c>
      <c r="AO144" s="329"/>
      <c r="AP144" s="358"/>
      <c r="AQ144" s="359">
        <f t="shared" si="13"/>
        <v>0</v>
      </c>
      <c r="AR144" s="360"/>
      <c r="AS144" s="358"/>
      <c r="AT144" s="356">
        <f t="shared" si="14"/>
        <v>0</v>
      </c>
      <c r="AU144" s="329"/>
      <c r="AV144" s="358"/>
      <c r="AW144" s="359">
        <f t="shared" si="15"/>
        <v>0</v>
      </c>
      <c r="AX144" s="329"/>
      <c r="AY144" s="358"/>
      <c r="AZ144" s="359">
        <f t="shared" si="16"/>
        <v>0</v>
      </c>
      <c r="BA144" s="329">
        <f>IF('Degrémont Entrée'!K144="",,('Degrémont Entrée'!K144-I144)/'Degrémont Entrée'!K144*100)</f>
        <v>96.406763738844532</v>
      </c>
      <c r="BB144" s="329">
        <f>IF('Degrémont Entrée'!G144="",,('Degrémont Entrée'!G144-G144)/'Degrémont Entrée'!G144*100)</f>
        <v>99.731203007518801</v>
      </c>
      <c r="BC144" s="329">
        <f>IF('Degrémont Entrée'!S144="",,('Degrémont Entrée'!S144-M144)/'Degrémont Entrée'!S144*100)</f>
        <v>99.861194029850751</v>
      </c>
      <c r="BD144" s="361" t="str">
        <f ca="1">IFERROR(__xludf.DUMMYFUNCTION("""COMPUTED_VALUE"""),"#DIV/0!")</f>
        <v>#DIV/0!</v>
      </c>
      <c r="BE144" s="362"/>
      <c r="BF144" s="363"/>
      <c r="BG144" s="363"/>
      <c r="BH144" s="338">
        <f t="shared" si="17"/>
        <v>0</v>
      </c>
      <c r="BI144" s="364"/>
      <c r="BJ144" s="365"/>
      <c r="BK144" s="371">
        <f>'Degrémont Entrée'!BH144</f>
        <v>0</v>
      </c>
      <c r="BL144" s="372" t="str">
        <f>'Degrémont Entrée'!BI144</f>
        <v>Nettoyage bac de chaulage</v>
      </c>
    </row>
    <row r="145" spans="1:64" ht="15.75" customHeight="1" outlineLevel="1">
      <c r="A145" s="337">
        <f t="shared" si="18"/>
        <v>43597</v>
      </c>
      <c r="B145" s="338">
        <f>'Degrémont Entrée'!B145</f>
        <v>0</v>
      </c>
      <c r="C145" s="338"/>
      <c r="D145" s="388"/>
      <c r="E145" s="368"/>
      <c r="F145" s="342">
        <v>100</v>
      </c>
      <c r="G145" s="329">
        <f t="shared" si="0"/>
        <v>0</v>
      </c>
      <c r="H145" s="338"/>
      <c r="I145" s="346"/>
      <c r="J145" s="344">
        <f t="shared" si="2"/>
        <v>0</v>
      </c>
      <c r="K145" s="343">
        <v>1</v>
      </c>
      <c r="L145" s="329"/>
      <c r="M145" s="346" t="str">
        <f t="shared" si="3"/>
        <v/>
      </c>
      <c r="N145" s="338" t="e">
        <f t="shared" si="4"/>
        <v>#VALUE!</v>
      </c>
      <c r="O145" s="368"/>
      <c r="P145" s="347">
        <f t="shared" si="19"/>
        <v>0</v>
      </c>
      <c r="Q145" s="348"/>
      <c r="R145" s="369"/>
      <c r="S145" s="349">
        <f t="shared" si="20"/>
        <v>0</v>
      </c>
      <c r="T145" s="348"/>
      <c r="U145" s="369"/>
      <c r="V145" s="349">
        <f t="shared" si="5"/>
        <v>0</v>
      </c>
      <c r="W145" s="348"/>
      <c r="X145" s="318" t="str">
        <f t="shared" si="6"/>
        <v/>
      </c>
      <c r="Y145" s="370" t="e">
        <f t="shared" si="7"/>
        <v>#VALUE!</v>
      </c>
      <c r="Z145" s="346"/>
      <c r="AA145" s="329"/>
      <c r="AB145" s="352">
        <f t="shared" si="8"/>
        <v>0</v>
      </c>
      <c r="AC145" s="353"/>
      <c r="AD145" s="354"/>
      <c r="AE145" s="378" t="str">
        <f t="shared" si="21"/>
        <v/>
      </c>
      <c r="AF145" s="329"/>
      <c r="AG145" s="358"/>
      <c r="AH145" s="356" t="str">
        <f t="shared" si="22"/>
        <v/>
      </c>
      <c r="AI145" s="329"/>
      <c r="AJ145" s="329"/>
      <c r="AK145" s="356">
        <f t="shared" si="11"/>
        <v>0</v>
      </c>
      <c r="AL145" s="357"/>
      <c r="AM145" s="358"/>
      <c r="AN145" s="356">
        <f t="shared" si="12"/>
        <v>0</v>
      </c>
      <c r="AO145" s="329"/>
      <c r="AP145" s="358"/>
      <c r="AQ145" s="359">
        <f t="shared" si="13"/>
        <v>0</v>
      </c>
      <c r="AR145" s="360"/>
      <c r="AS145" s="358"/>
      <c r="AT145" s="356">
        <f t="shared" si="14"/>
        <v>0</v>
      </c>
      <c r="AU145" s="329"/>
      <c r="AV145" s="358"/>
      <c r="AW145" s="359">
        <f t="shared" si="15"/>
        <v>0</v>
      </c>
      <c r="AX145" s="329"/>
      <c r="AY145" s="358"/>
      <c r="AZ145" s="359">
        <f t="shared" si="16"/>
        <v>0</v>
      </c>
      <c r="BA145" s="329" t="e">
        <f>IF('Degrémont Entrée'!K145="",,('Degrémont Entrée'!K145-I145)/'Degrémont Entrée'!K145*100)</f>
        <v>#DIV/0!</v>
      </c>
      <c r="BB145" s="329" t="e">
        <f>IF('Degrémont Entrée'!G145="",,('Degrémont Entrée'!G145-G145)/'Degrémont Entrée'!G145*100)</f>
        <v>#DIV/0!</v>
      </c>
      <c r="BC145" s="329">
        <f>IF('Degrémont Entrée'!S145="",,('Degrémont Entrée'!S145-M145)/'Degrémont Entrée'!S145*100)</f>
        <v>0</v>
      </c>
      <c r="BD145" s="361" t="str">
        <f ca="1">IFERROR(__xludf.DUMMYFUNCTION("""COMPUTED_VALUE"""),"#DIV/0!")</f>
        <v>#DIV/0!</v>
      </c>
      <c r="BE145" s="362"/>
      <c r="BF145" s="363"/>
      <c r="BG145" s="363"/>
      <c r="BH145" s="338">
        <f t="shared" si="17"/>
        <v>0</v>
      </c>
      <c r="BI145" s="364"/>
      <c r="BJ145" s="365"/>
      <c r="BK145" s="366">
        <f>'Degrémont Entrée'!BH145</f>
        <v>0</v>
      </c>
      <c r="BL145" s="367" t="str">
        <f>'Degrémont Entrée'!BI145</f>
        <v>Problème P31: Ne s'arrête pas</v>
      </c>
    </row>
    <row r="146" spans="1:64" ht="14.25" outlineLevel="1">
      <c r="A146" s="337">
        <f t="shared" si="18"/>
        <v>43598</v>
      </c>
      <c r="B146" s="338">
        <f>'Degrémont Entrée'!B146</f>
        <v>1034</v>
      </c>
      <c r="C146" s="339">
        <v>9</v>
      </c>
      <c r="D146" s="340">
        <v>89.2</v>
      </c>
      <c r="E146" s="341">
        <v>92.8</v>
      </c>
      <c r="F146" s="342">
        <v>200</v>
      </c>
      <c r="G146" s="329">
        <f t="shared" si="0"/>
        <v>17.999999999999972</v>
      </c>
      <c r="H146" s="338"/>
      <c r="I146" s="343">
        <v>467</v>
      </c>
      <c r="J146" s="344">
        <f t="shared" si="2"/>
        <v>482.87799999999999</v>
      </c>
      <c r="K146" s="343">
        <v>1</v>
      </c>
      <c r="L146" s="345">
        <v>0.84</v>
      </c>
      <c r="M146" s="346">
        <f t="shared" si="3"/>
        <v>0.84</v>
      </c>
      <c r="N146" s="338">
        <f t="shared" si="4"/>
        <v>0.86856</v>
      </c>
      <c r="O146" s="368"/>
      <c r="P146" s="347">
        <f t="shared" si="19"/>
        <v>0</v>
      </c>
      <c r="Q146" s="348"/>
      <c r="R146" s="369"/>
      <c r="S146" s="349">
        <f t="shared" si="20"/>
        <v>0</v>
      </c>
      <c r="T146" s="348"/>
      <c r="U146" s="369"/>
      <c r="V146" s="349">
        <f t="shared" si="5"/>
        <v>0</v>
      </c>
      <c r="W146" s="348"/>
      <c r="X146" s="318" t="str">
        <f t="shared" si="6"/>
        <v/>
      </c>
      <c r="Y146" s="370" t="e">
        <f t="shared" si="7"/>
        <v>#VALUE!</v>
      </c>
      <c r="Z146" s="343" t="s">
        <v>85</v>
      </c>
      <c r="AA146" s="345">
        <v>0.01</v>
      </c>
      <c r="AB146" s="352">
        <f t="shared" si="8"/>
        <v>5.1700000000000001E-3</v>
      </c>
      <c r="AC146" s="353"/>
      <c r="AD146" s="354"/>
      <c r="AE146" s="378" t="str">
        <f t="shared" si="21"/>
        <v/>
      </c>
      <c r="AF146" s="329"/>
      <c r="AG146" s="358"/>
      <c r="AH146" s="356" t="str">
        <f t="shared" si="22"/>
        <v/>
      </c>
      <c r="AI146" s="329"/>
      <c r="AJ146" s="329"/>
      <c r="AK146" s="356">
        <f t="shared" si="11"/>
        <v>0</v>
      </c>
      <c r="AL146" s="357"/>
      <c r="AM146" s="358"/>
      <c r="AN146" s="356">
        <f t="shared" si="12"/>
        <v>0</v>
      </c>
      <c r="AO146" s="329"/>
      <c r="AP146" s="358"/>
      <c r="AQ146" s="359">
        <f t="shared" si="13"/>
        <v>0</v>
      </c>
      <c r="AR146" s="360"/>
      <c r="AS146" s="358"/>
      <c r="AT146" s="356">
        <f t="shared" si="14"/>
        <v>0</v>
      </c>
      <c r="AU146" s="329"/>
      <c r="AV146" s="358"/>
      <c r="AW146" s="359">
        <f t="shared" si="15"/>
        <v>0</v>
      </c>
      <c r="AX146" s="329"/>
      <c r="AY146" s="358"/>
      <c r="AZ146" s="359">
        <f t="shared" si="16"/>
        <v>0</v>
      </c>
      <c r="BA146" s="329">
        <f>IF('Degrémont Entrée'!K146="",,('Degrémont Entrée'!K146-I146)/'Degrémont Entrée'!K146*100)</f>
        <v>93.748326639892909</v>
      </c>
      <c r="BB146" s="329">
        <f>IF('Degrémont Entrée'!G146="",,('Degrémont Entrée'!G146-G146)/'Degrémont Entrée'!G146*100)</f>
        <v>99.740184757505773</v>
      </c>
      <c r="BC146" s="329">
        <f>IF('Degrémont Entrée'!S146="",,('Degrémont Entrée'!S146-M146)/'Degrémont Entrée'!S146*100)</f>
        <v>99.700000000000017</v>
      </c>
      <c r="BD146" s="361" t="str">
        <f ca="1">IFERROR(__xludf.DUMMYFUNCTION("""COMPUTED_VALUE"""),"#DIV/0!")</f>
        <v>#DIV/0!</v>
      </c>
      <c r="BE146" s="362"/>
      <c r="BF146" s="363"/>
      <c r="BG146" s="363"/>
      <c r="BH146" s="338">
        <f t="shared" si="17"/>
        <v>0</v>
      </c>
      <c r="BI146" s="364"/>
      <c r="BJ146" s="365"/>
      <c r="BK146" s="371">
        <f>'Degrémont Entrée'!BH146</f>
        <v>0</v>
      </c>
      <c r="BL146" s="372">
        <f>'Degrémont Entrée'!BI146</f>
        <v>0</v>
      </c>
    </row>
    <row r="147" spans="1:64" ht="15.75" customHeight="1" outlineLevel="1">
      <c r="A147" s="337">
        <f t="shared" si="18"/>
        <v>43599</v>
      </c>
      <c r="B147" s="338">
        <f>'Degrémont Entrée'!B147</f>
        <v>924</v>
      </c>
      <c r="C147" s="339">
        <v>8.8000000000000007</v>
      </c>
      <c r="D147" s="340">
        <v>89</v>
      </c>
      <c r="E147" s="341">
        <v>92.8</v>
      </c>
      <c r="F147" s="342">
        <v>200</v>
      </c>
      <c r="G147" s="329">
        <f t="shared" si="0"/>
        <v>18.999999999999986</v>
      </c>
      <c r="H147" s="338"/>
      <c r="I147" s="343">
        <v>373</v>
      </c>
      <c r="J147" s="344">
        <f t="shared" si="2"/>
        <v>344.65199999999999</v>
      </c>
      <c r="K147" s="343">
        <v>1</v>
      </c>
      <c r="L147" s="345">
        <v>0.95</v>
      </c>
      <c r="M147" s="346">
        <f t="shared" si="3"/>
        <v>0.95</v>
      </c>
      <c r="N147" s="338">
        <f t="shared" si="4"/>
        <v>0.87779999999999991</v>
      </c>
      <c r="O147" s="341">
        <v>12</v>
      </c>
      <c r="P147" s="347">
        <f t="shared" si="19"/>
        <v>11.087999999999999</v>
      </c>
      <c r="Q147" s="348"/>
      <c r="R147" s="369"/>
      <c r="S147" s="349">
        <f t="shared" si="20"/>
        <v>0</v>
      </c>
      <c r="T147" s="348"/>
      <c r="U147" s="369"/>
      <c r="V147" s="349">
        <f t="shared" si="5"/>
        <v>0</v>
      </c>
      <c r="W147" s="348"/>
      <c r="X147" s="318">
        <f t="shared" si="6"/>
        <v>12</v>
      </c>
      <c r="Y147" s="370">
        <f t="shared" si="7"/>
        <v>11.087999999999999</v>
      </c>
      <c r="Z147" s="343" t="s">
        <v>85</v>
      </c>
      <c r="AA147" s="345">
        <v>0.01</v>
      </c>
      <c r="AB147" s="352">
        <f t="shared" si="8"/>
        <v>4.62E-3</v>
      </c>
      <c r="AC147" s="353"/>
      <c r="AD147" s="354"/>
      <c r="AE147" s="378" t="str">
        <f t="shared" si="21"/>
        <v/>
      </c>
      <c r="AF147" s="329"/>
      <c r="AG147" s="355">
        <v>0.71</v>
      </c>
      <c r="AH147" s="356">
        <f t="shared" si="22"/>
        <v>3.5947299999999998</v>
      </c>
      <c r="AI147" s="329"/>
      <c r="AJ147" s="345">
        <v>0.4</v>
      </c>
      <c r="AK147" s="356">
        <f t="shared" si="11"/>
        <v>0.36960000000000004</v>
      </c>
      <c r="AL147" s="357"/>
      <c r="AM147" s="355">
        <v>0.06</v>
      </c>
      <c r="AN147" s="356">
        <f t="shared" si="12"/>
        <v>5.5439999999999996E-2</v>
      </c>
      <c r="AO147" s="329"/>
      <c r="AP147" s="355">
        <v>0.23</v>
      </c>
      <c r="AQ147" s="359">
        <f t="shared" si="13"/>
        <v>0.21252000000000001</v>
      </c>
      <c r="AR147" s="360"/>
      <c r="AS147" s="355">
        <v>0.65</v>
      </c>
      <c r="AT147" s="356">
        <f t="shared" si="14"/>
        <v>0.60060000000000002</v>
      </c>
      <c r="AU147" s="345" t="s">
        <v>85</v>
      </c>
      <c r="AV147" s="355">
        <v>0.15</v>
      </c>
      <c r="AW147" s="359">
        <f t="shared" si="15"/>
        <v>6.93E-2</v>
      </c>
      <c r="AX147" s="345" t="s">
        <v>85</v>
      </c>
      <c r="AY147" s="355">
        <v>0.13</v>
      </c>
      <c r="AZ147" s="359">
        <f t="shared" si="16"/>
        <v>6.0060000000000002E-2</v>
      </c>
      <c r="BA147" s="329">
        <f>IF('Degrémont Entrée'!K147="",,('Degrémont Entrée'!K147-I147)/'Degrémont Entrée'!K147*100)</f>
        <v>95.74395253308991</v>
      </c>
      <c r="BB147" s="329">
        <f>IF('Degrémont Entrée'!G147="",,('Degrémont Entrée'!G147-G147)/'Degrémont Entrée'!G147*100)</f>
        <v>99.790729692519506</v>
      </c>
      <c r="BC147" s="329">
        <f>IF('Degrémont Entrée'!S147="",,('Degrémont Entrée'!S147-M147)/'Degrémont Entrée'!S147*100)</f>
        <v>99.741496598639458</v>
      </c>
      <c r="BD147" s="361" t="str">
        <f ca="1">IFERROR(__xludf.DUMMYFUNCTION("""COMPUTED_VALUE"""),"#DIV/0!")</f>
        <v>#DIV/0!</v>
      </c>
      <c r="BE147" s="386">
        <v>21.854299999999999</v>
      </c>
      <c r="BF147" s="387">
        <v>38.31</v>
      </c>
      <c r="BG147" s="387">
        <v>31.22</v>
      </c>
      <c r="BH147" s="338">
        <f t="shared" si="17"/>
        <v>56.914625327394148</v>
      </c>
      <c r="BI147" s="364"/>
      <c r="BJ147" s="365"/>
      <c r="BK147" s="366">
        <f>'Degrémont Entrée'!BH147</f>
        <v>0</v>
      </c>
      <c r="BL147" s="367">
        <f>'Degrémont Entrée'!BI147</f>
        <v>0</v>
      </c>
    </row>
    <row r="148" spans="1:64" ht="14.25" outlineLevel="1">
      <c r="A148" s="337">
        <f t="shared" si="18"/>
        <v>43600</v>
      </c>
      <c r="B148" s="338">
        <f>'Degrémont Entrée'!B148</f>
        <v>995</v>
      </c>
      <c r="C148" s="339">
        <v>8.8000000000000007</v>
      </c>
      <c r="D148" s="340">
        <v>87.8</v>
      </c>
      <c r="E148" s="341">
        <v>91.2</v>
      </c>
      <c r="F148" s="342">
        <v>200</v>
      </c>
      <c r="G148" s="329">
        <f t="shared" si="0"/>
        <v>17.000000000000028</v>
      </c>
      <c r="H148" s="338"/>
      <c r="I148" s="343">
        <v>263</v>
      </c>
      <c r="J148" s="344">
        <f t="shared" si="2"/>
        <v>261.685</v>
      </c>
      <c r="K148" s="343">
        <v>1</v>
      </c>
      <c r="L148" s="345">
        <v>1.02</v>
      </c>
      <c r="M148" s="346">
        <f t="shared" si="3"/>
        <v>1.02</v>
      </c>
      <c r="N148" s="338">
        <f t="shared" si="4"/>
        <v>1.0148999999999999</v>
      </c>
      <c r="O148" s="368"/>
      <c r="P148" s="347">
        <f t="shared" si="19"/>
        <v>0</v>
      </c>
      <c r="Q148" s="348"/>
      <c r="R148" s="369"/>
      <c r="S148" s="349">
        <f t="shared" si="20"/>
        <v>0</v>
      </c>
      <c r="T148" s="348"/>
      <c r="U148" s="369"/>
      <c r="V148" s="349">
        <f t="shared" si="5"/>
        <v>0</v>
      </c>
      <c r="W148" s="348"/>
      <c r="X148" s="318" t="str">
        <f t="shared" si="6"/>
        <v/>
      </c>
      <c r="Y148" s="370" t="e">
        <f t="shared" si="7"/>
        <v>#VALUE!</v>
      </c>
      <c r="Z148" s="343" t="s">
        <v>85</v>
      </c>
      <c r="AA148" s="345">
        <v>0.01</v>
      </c>
      <c r="AB148" s="352">
        <f t="shared" si="8"/>
        <v>4.9750000000000003E-3</v>
      </c>
      <c r="AC148" s="353"/>
      <c r="AD148" s="354"/>
      <c r="AE148" s="378" t="str">
        <f t="shared" si="21"/>
        <v/>
      </c>
      <c r="AF148" s="329"/>
      <c r="AG148" s="358"/>
      <c r="AH148" s="356" t="str">
        <f t="shared" si="22"/>
        <v/>
      </c>
      <c r="AI148" s="329"/>
      <c r="AJ148" s="329"/>
      <c r="AK148" s="356">
        <f t="shared" si="11"/>
        <v>0</v>
      </c>
      <c r="AL148" s="357"/>
      <c r="AM148" s="358"/>
      <c r="AN148" s="356">
        <f t="shared" si="12"/>
        <v>0</v>
      </c>
      <c r="AO148" s="329"/>
      <c r="AP148" s="358"/>
      <c r="AQ148" s="359">
        <f t="shared" si="13"/>
        <v>0</v>
      </c>
      <c r="AR148" s="360"/>
      <c r="AS148" s="358"/>
      <c r="AT148" s="356">
        <f t="shared" si="14"/>
        <v>0</v>
      </c>
      <c r="AU148" s="329"/>
      <c r="AV148" s="358"/>
      <c r="AW148" s="359">
        <f t="shared" si="15"/>
        <v>0</v>
      </c>
      <c r="AX148" s="329"/>
      <c r="AY148" s="358"/>
      <c r="AZ148" s="359">
        <f t="shared" si="16"/>
        <v>0</v>
      </c>
      <c r="BA148" s="329">
        <f>IF('Degrémont Entrée'!K148="",,('Degrémont Entrée'!K148-I148)/'Degrémont Entrée'!K148*100)</f>
        <v>97.196759752717981</v>
      </c>
      <c r="BB148" s="329">
        <f>IF('Degrémont Entrée'!G148="",,('Degrémont Entrée'!G148-G148)/'Degrémont Entrée'!G148*100)</f>
        <v>99.837476099426382</v>
      </c>
      <c r="BC148" s="329">
        <f>IF('Degrémont Entrée'!S148="",,('Degrémont Entrée'!S148-M148)/'Degrémont Entrée'!S148*100)</f>
        <v>99.738461538461536</v>
      </c>
      <c r="BD148" s="361" t="str">
        <f ca="1">IFERROR(__xludf.DUMMYFUNCTION("""COMPUTED_VALUE"""),"#DIV/0!")</f>
        <v>#DIV/0!</v>
      </c>
      <c r="BE148" s="362"/>
      <c r="BF148" s="363"/>
      <c r="BG148" s="363"/>
      <c r="BH148" s="338">
        <f t="shared" si="17"/>
        <v>0</v>
      </c>
      <c r="BI148" s="364"/>
      <c r="BJ148" s="365"/>
      <c r="BK148" s="371">
        <f>'Degrémont Entrée'!BH148</f>
        <v>0</v>
      </c>
      <c r="BL148" s="372">
        <f>'Degrémont Entrée'!BI148</f>
        <v>0</v>
      </c>
    </row>
    <row r="149" spans="1:64" ht="15.75" customHeight="1" outlineLevel="1">
      <c r="A149" s="337">
        <f t="shared" si="18"/>
        <v>43601</v>
      </c>
      <c r="B149" s="338">
        <f>'Degrémont Entrée'!B149</f>
        <v>1008</v>
      </c>
      <c r="C149" s="339">
        <v>8.8000000000000007</v>
      </c>
      <c r="D149" s="340">
        <v>91.7</v>
      </c>
      <c r="E149" s="341">
        <v>96.1</v>
      </c>
      <c r="F149" s="342">
        <v>200</v>
      </c>
      <c r="G149" s="329">
        <f t="shared" si="0"/>
        <v>21.999999999999957</v>
      </c>
      <c r="H149" s="338"/>
      <c r="I149" s="343">
        <v>479</v>
      </c>
      <c r="J149" s="344">
        <f t="shared" si="2"/>
        <v>482.83199999999999</v>
      </c>
      <c r="K149" s="343">
        <v>1</v>
      </c>
      <c r="L149" s="345">
        <v>1.27</v>
      </c>
      <c r="M149" s="346">
        <f t="shared" si="3"/>
        <v>1.27</v>
      </c>
      <c r="N149" s="338">
        <f t="shared" si="4"/>
        <v>1.2801600000000002</v>
      </c>
      <c r="O149" s="368"/>
      <c r="P149" s="347">
        <f t="shared" si="19"/>
        <v>0</v>
      </c>
      <c r="Q149" s="348"/>
      <c r="R149" s="369"/>
      <c r="S149" s="349">
        <f t="shared" si="20"/>
        <v>0</v>
      </c>
      <c r="T149" s="348"/>
      <c r="U149" s="369"/>
      <c r="V149" s="349">
        <f t="shared" si="5"/>
        <v>0</v>
      </c>
      <c r="W149" s="348"/>
      <c r="X149" s="318" t="str">
        <f t="shared" si="6"/>
        <v/>
      </c>
      <c r="Y149" s="370" t="e">
        <f t="shared" si="7"/>
        <v>#VALUE!</v>
      </c>
      <c r="Z149" s="343" t="s">
        <v>85</v>
      </c>
      <c r="AA149" s="345">
        <v>0.01</v>
      </c>
      <c r="AB149" s="352">
        <f t="shared" si="8"/>
        <v>5.0400000000000002E-3</v>
      </c>
      <c r="AC149" s="353"/>
      <c r="AD149" s="354"/>
      <c r="AE149" s="378" t="str">
        <f t="shared" si="21"/>
        <v/>
      </c>
      <c r="AF149" s="329"/>
      <c r="AG149" s="358"/>
      <c r="AH149" s="356" t="str">
        <f t="shared" si="22"/>
        <v/>
      </c>
      <c r="AI149" s="329"/>
      <c r="AJ149" s="329"/>
      <c r="AK149" s="356">
        <f t="shared" si="11"/>
        <v>0</v>
      </c>
      <c r="AL149" s="357"/>
      <c r="AM149" s="358"/>
      <c r="AN149" s="356">
        <f t="shared" si="12"/>
        <v>0</v>
      </c>
      <c r="AO149" s="329"/>
      <c r="AP149" s="358"/>
      <c r="AQ149" s="359">
        <f t="shared" si="13"/>
        <v>0</v>
      </c>
      <c r="AR149" s="360"/>
      <c r="AS149" s="358"/>
      <c r="AT149" s="356">
        <f t="shared" si="14"/>
        <v>0</v>
      </c>
      <c r="AU149" s="329"/>
      <c r="AV149" s="358"/>
      <c r="AW149" s="359">
        <f t="shared" si="15"/>
        <v>0</v>
      </c>
      <c r="AX149" s="329"/>
      <c r="AY149" s="358"/>
      <c r="AZ149" s="359">
        <f t="shared" si="16"/>
        <v>0</v>
      </c>
      <c r="BA149" s="329">
        <f>IF('Degrémont Entrée'!K149="",,('Degrémont Entrée'!K149-I149)/'Degrémont Entrée'!K149*100)</f>
        <v>94.142822205918321</v>
      </c>
      <c r="BB149" s="329">
        <f>IF('Degrémont Entrée'!G149="",,('Degrémont Entrée'!G149-G149)/'Degrémont Entrée'!G149*100)</f>
        <v>99.680268306316378</v>
      </c>
      <c r="BC149" s="329">
        <f>IF('Degrémont Entrée'!S149="",,('Degrémont Entrée'!S149-M149)/'Degrémont Entrée'!S149*100)</f>
        <v>99.632947976878611</v>
      </c>
      <c r="BD149" s="361" t="str">
        <f ca="1">IFERROR(__xludf.DUMMYFUNCTION("""COMPUTED_VALUE"""),"#DIV/0!")</f>
        <v>#DIV/0!</v>
      </c>
      <c r="BE149" s="362"/>
      <c r="BF149" s="363"/>
      <c r="BG149" s="363"/>
      <c r="BH149" s="338">
        <f t="shared" si="17"/>
        <v>0</v>
      </c>
      <c r="BI149" s="364"/>
      <c r="BJ149" s="365"/>
      <c r="BK149" s="366">
        <f>'Degrémont Entrée'!BH149</f>
        <v>0</v>
      </c>
      <c r="BL149" s="367" t="str">
        <f>'Degrémont Entrée'!BI149</f>
        <v>21 Big bags</v>
      </c>
    </row>
    <row r="150" spans="1:64" ht="14.25" outlineLevel="1">
      <c r="A150" s="337">
        <f t="shared" si="18"/>
        <v>43602</v>
      </c>
      <c r="B150" s="338">
        <f>'Degrémont Entrée'!B150</f>
        <v>755</v>
      </c>
      <c r="C150" s="339">
        <v>8.6</v>
      </c>
      <c r="D150" s="340">
        <v>88.5</v>
      </c>
      <c r="E150" s="341">
        <v>92.2</v>
      </c>
      <c r="F150" s="342">
        <v>200</v>
      </c>
      <c r="G150" s="329">
        <f t="shared" si="0"/>
        <v>18.500000000000014</v>
      </c>
      <c r="H150" s="338"/>
      <c r="I150" s="343">
        <v>638</v>
      </c>
      <c r="J150" s="344">
        <f t="shared" si="2"/>
        <v>481.69</v>
      </c>
      <c r="K150" s="343">
        <v>1</v>
      </c>
      <c r="L150" s="345">
        <v>0.89</v>
      </c>
      <c r="M150" s="346">
        <f t="shared" si="3"/>
        <v>0.89</v>
      </c>
      <c r="N150" s="338">
        <f t="shared" si="4"/>
        <v>0.67195000000000005</v>
      </c>
      <c r="O150" s="368"/>
      <c r="P150" s="347">
        <f t="shared" si="19"/>
        <v>0</v>
      </c>
      <c r="Q150" s="348"/>
      <c r="R150" s="369"/>
      <c r="S150" s="349">
        <f t="shared" si="20"/>
        <v>0</v>
      </c>
      <c r="T150" s="348"/>
      <c r="U150" s="369"/>
      <c r="V150" s="349">
        <f t="shared" si="5"/>
        <v>0</v>
      </c>
      <c r="W150" s="348"/>
      <c r="X150" s="318" t="str">
        <f t="shared" si="6"/>
        <v/>
      </c>
      <c r="Y150" s="370" t="e">
        <f t="shared" si="7"/>
        <v>#VALUE!</v>
      </c>
      <c r="Z150" s="343" t="s">
        <v>85</v>
      </c>
      <c r="AA150" s="345">
        <v>0.01</v>
      </c>
      <c r="AB150" s="352">
        <f t="shared" si="8"/>
        <v>3.7749999999999997E-3</v>
      </c>
      <c r="AC150" s="353"/>
      <c r="AD150" s="354"/>
      <c r="AE150" s="378" t="str">
        <f t="shared" si="21"/>
        <v/>
      </c>
      <c r="AF150" s="329"/>
      <c r="AG150" s="358"/>
      <c r="AH150" s="356" t="str">
        <f t="shared" si="22"/>
        <v/>
      </c>
      <c r="AI150" s="329"/>
      <c r="AJ150" s="329"/>
      <c r="AK150" s="356">
        <f t="shared" si="11"/>
        <v>0</v>
      </c>
      <c r="AL150" s="357"/>
      <c r="AM150" s="358"/>
      <c r="AN150" s="356">
        <f t="shared" si="12"/>
        <v>0</v>
      </c>
      <c r="AO150" s="329"/>
      <c r="AP150" s="358"/>
      <c r="AQ150" s="359">
        <f t="shared" si="13"/>
        <v>0</v>
      </c>
      <c r="AR150" s="360"/>
      <c r="AS150" s="358"/>
      <c r="AT150" s="356">
        <f t="shared" si="14"/>
        <v>0</v>
      </c>
      <c r="AU150" s="329"/>
      <c r="AV150" s="358"/>
      <c r="AW150" s="359">
        <f t="shared" si="15"/>
        <v>0</v>
      </c>
      <c r="AX150" s="329"/>
      <c r="AY150" s="358"/>
      <c r="AZ150" s="359">
        <f t="shared" si="16"/>
        <v>0</v>
      </c>
      <c r="BA150" s="329">
        <f>IF('Degrémont Entrée'!K150="",,('Degrémont Entrée'!K150-I150)/'Degrémont Entrée'!K150*100)</f>
        <v>88.032264115550547</v>
      </c>
      <c r="BB150" s="329">
        <f>IF('Degrémont Entrée'!G150="",,('Degrémont Entrée'!G150-G150)/'Degrémont Entrée'!G150*100)</f>
        <v>99.592446892210859</v>
      </c>
      <c r="BC150" s="329">
        <f>IF('Degrémont Entrée'!S150="",,('Degrémont Entrée'!S150-M150)/'Degrémont Entrée'!S150*100)</f>
        <v>99.587962962962976</v>
      </c>
      <c r="BD150" s="361" t="str">
        <f ca="1">IFERROR(__xludf.DUMMYFUNCTION("""COMPUTED_VALUE"""),"#DIV/0!")</f>
        <v>#DIV/0!</v>
      </c>
      <c r="BE150" s="362"/>
      <c r="BF150" s="363"/>
      <c r="BG150" s="363"/>
      <c r="BH150" s="338">
        <f t="shared" si="17"/>
        <v>0</v>
      </c>
      <c r="BI150" s="364"/>
      <c r="BJ150" s="365"/>
      <c r="BK150" s="371">
        <f>'Degrémont Entrée'!BH150</f>
        <v>0</v>
      </c>
      <c r="BL150" s="372">
        <f>'Degrémont Entrée'!BI150</f>
        <v>0</v>
      </c>
    </row>
    <row r="151" spans="1:64" ht="15.75" customHeight="1" outlineLevel="1">
      <c r="A151" s="337">
        <f t="shared" si="18"/>
        <v>43603</v>
      </c>
      <c r="B151" s="338">
        <f>'Degrémont Entrée'!B151</f>
        <v>1048</v>
      </c>
      <c r="C151" s="339">
        <v>8.9</v>
      </c>
      <c r="D151" s="340">
        <v>89</v>
      </c>
      <c r="E151" s="341">
        <v>93.1</v>
      </c>
      <c r="F151" s="342">
        <v>200</v>
      </c>
      <c r="G151" s="329">
        <f t="shared" si="0"/>
        <v>20.499999999999972</v>
      </c>
      <c r="H151" s="338"/>
      <c r="I151" s="343">
        <v>841</v>
      </c>
      <c r="J151" s="344">
        <f t="shared" si="2"/>
        <v>881.36800000000005</v>
      </c>
      <c r="K151" s="343">
        <v>1</v>
      </c>
      <c r="L151" s="345">
        <v>1.18</v>
      </c>
      <c r="M151" s="346">
        <f t="shared" si="3"/>
        <v>1.18</v>
      </c>
      <c r="N151" s="338">
        <f t="shared" si="4"/>
        <v>1.23664</v>
      </c>
      <c r="O151" s="368"/>
      <c r="P151" s="347">
        <f t="shared" si="19"/>
        <v>0</v>
      </c>
      <c r="Q151" s="348"/>
      <c r="R151" s="369"/>
      <c r="S151" s="349">
        <f t="shared" si="20"/>
        <v>0</v>
      </c>
      <c r="T151" s="348"/>
      <c r="U151" s="369"/>
      <c r="V151" s="349">
        <f t="shared" si="5"/>
        <v>0</v>
      </c>
      <c r="W151" s="348"/>
      <c r="X151" s="318" t="str">
        <f t="shared" si="6"/>
        <v/>
      </c>
      <c r="Y151" s="370" t="e">
        <f t="shared" si="7"/>
        <v>#VALUE!</v>
      </c>
      <c r="Z151" s="343" t="s">
        <v>85</v>
      </c>
      <c r="AA151" s="345">
        <v>0.01</v>
      </c>
      <c r="AB151" s="352">
        <f t="shared" si="8"/>
        <v>5.2399999999999999E-3</v>
      </c>
      <c r="AC151" s="353"/>
      <c r="AD151" s="354"/>
      <c r="AE151" s="378" t="str">
        <f t="shared" si="21"/>
        <v/>
      </c>
      <c r="AF151" s="329"/>
      <c r="AG151" s="358"/>
      <c r="AH151" s="356" t="str">
        <f t="shared" si="22"/>
        <v/>
      </c>
      <c r="AI151" s="329"/>
      <c r="AJ151" s="329"/>
      <c r="AK151" s="356">
        <f t="shared" si="11"/>
        <v>0</v>
      </c>
      <c r="AL151" s="357"/>
      <c r="AM151" s="358"/>
      <c r="AN151" s="356">
        <f t="shared" si="12"/>
        <v>0</v>
      </c>
      <c r="AO151" s="329"/>
      <c r="AP151" s="358"/>
      <c r="AQ151" s="359">
        <f t="shared" si="13"/>
        <v>0</v>
      </c>
      <c r="AR151" s="360"/>
      <c r="AS151" s="358"/>
      <c r="AT151" s="356">
        <f t="shared" si="14"/>
        <v>0</v>
      </c>
      <c r="AU151" s="329"/>
      <c r="AV151" s="358"/>
      <c r="AW151" s="359">
        <f t="shared" si="15"/>
        <v>0</v>
      </c>
      <c r="AX151" s="329"/>
      <c r="AY151" s="358"/>
      <c r="AZ151" s="359">
        <f t="shared" si="16"/>
        <v>0</v>
      </c>
      <c r="BA151" s="329">
        <f>IF('Degrémont Entrée'!K151="",,('Degrémont Entrée'!K151-I151)/'Degrémont Entrée'!K151*100)</f>
        <v>61.911231884057969</v>
      </c>
      <c r="BB151" s="329">
        <f>IF('Degrémont Entrée'!G151="",,('Degrémont Entrée'!G151-G151)/'Degrémont Entrée'!G151*100)</f>
        <v>97.874581939799327</v>
      </c>
      <c r="BC151" s="329">
        <f>IF('Degrémont Entrée'!S151="",,('Degrémont Entrée'!S151-M151)/'Degrémont Entrée'!S151*100)</f>
        <v>98.065573770491795</v>
      </c>
      <c r="BD151" s="361" t="str">
        <f ca="1">IFERROR(__xludf.DUMMYFUNCTION("""COMPUTED_VALUE"""),"#DIV/0!")</f>
        <v>#DIV/0!</v>
      </c>
      <c r="BE151" s="362"/>
      <c r="BF151" s="363"/>
      <c r="BG151" s="363"/>
      <c r="BH151" s="338">
        <f t="shared" si="17"/>
        <v>0</v>
      </c>
      <c r="BI151" s="364"/>
      <c r="BJ151" s="365"/>
      <c r="BK151" s="366">
        <f>'Degrémont Entrée'!BH151</f>
        <v>0</v>
      </c>
      <c r="BL151" s="367">
        <f>'Degrémont Entrée'!BI151</f>
        <v>0</v>
      </c>
    </row>
    <row r="152" spans="1:64" ht="14.25" outlineLevel="1">
      <c r="A152" s="337">
        <f t="shared" si="18"/>
        <v>43604</v>
      </c>
      <c r="B152" s="338">
        <f>'Degrémont Entrée'!B152</f>
        <v>0</v>
      </c>
      <c r="C152" s="338"/>
      <c r="D152" s="388"/>
      <c r="E152" s="368"/>
      <c r="F152" s="342">
        <v>100</v>
      </c>
      <c r="G152" s="329">
        <f t="shared" si="0"/>
        <v>0</v>
      </c>
      <c r="H152" s="338"/>
      <c r="I152" s="346"/>
      <c r="J152" s="344">
        <f t="shared" si="2"/>
        <v>0</v>
      </c>
      <c r="K152" s="343">
        <v>1</v>
      </c>
      <c r="L152" s="329"/>
      <c r="M152" s="346" t="str">
        <f t="shared" si="3"/>
        <v/>
      </c>
      <c r="N152" s="338" t="e">
        <f t="shared" si="4"/>
        <v>#VALUE!</v>
      </c>
      <c r="O152" s="368"/>
      <c r="P152" s="347">
        <f t="shared" si="19"/>
        <v>0</v>
      </c>
      <c r="Q152" s="348"/>
      <c r="R152" s="369"/>
      <c r="S152" s="349">
        <f t="shared" si="20"/>
        <v>0</v>
      </c>
      <c r="T152" s="348"/>
      <c r="U152" s="369"/>
      <c r="V152" s="349">
        <f t="shared" si="5"/>
        <v>0</v>
      </c>
      <c r="W152" s="348"/>
      <c r="X152" s="318" t="str">
        <f t="shared" si="6"/>
        <v/>
      </c>
      <c r="Y152" s="370" t="e">
        <f t="shared" si="7"/>
        <v>#VALUE!</v>
      </c>
      <c r="Z152" s="346"/>
      <c r="AA152" s="329"/>
      <c r="AB152" s="352">
        <f t="shared" si="8"/>
        <v>0</v>
      </c>
      <c r="AC152" s="353"/>
      <c r="AD152" s="354"/>
      <c r="AE152" s="378" t="str">
        <f t="shared" si="21"/>
        <v/>
      </c>
      <c r="AF152" s="329"/>
      <c r="AG152" s="358"/>
      <c r="AH152" s="356" t="str">
        <f t="shared" si="22"/>
        <v/>
      </c>
      <c r="AI152" s="329"/>
      <c r="AJ152" s="329"/>
      <c r="AK152" s="356">
        <f t="shared" si="11"/>
        <v>0</v>
      </c>
      <c r="AL152" s="357"/>
      <c r="AM152" s="358"/>
      <c r="AN152" s="356">
        <f t="shared" si="12"/>
        <v>0</v>
      </c>
      <c r="AO152" s="329"/>
      <c r="AP152" s="358"/>
      <c r="AQ152" s="359">
        <f t="shared" si="13"/>
        <v>0</v>
      </c>
      <c r="AR152" s="360"/>
      <c r="AS152" s="358"/>
      <c r="AT152" s="356">
        <f t="shared" si="14"/>
        <v>0</v>
      </c>
      <c r="AU152" s="329"/>
      <c r="AV152" s="358"/>
      <c r="AW152" s="359">
        <f t="shared" si="15"/>
        <v>0</v>
      </c>
      <c r="AX152" s="329"/>
      <c r="AY152" s="358"/>
      <c r="AZ152" s="359">
        <f t="shared" si="16"/>
        <v>0</v>
      </c>
      <c r="BA152" s="329" t="e">
        <f>IF('Degrémont Entrée'!K152="",,('Degrémont Entrée'!K152-I152)/'Degrémont Entrée'!K152*100)</f>
        <v>#DIV/0!</v>
      </c>
      <c r="BB152" s="329" t="e">
        <f>IF('Degrémont Entrée'!G152="",,('Degrémont Entrée'!G152-G152)/'Degrémont Entrée'!G152*100)</f>
        <v>#DIV/0!</v>
      </c>
      <c r="BC152" s="329">
        <f>IF('Degrémont Entrée'!S152="",,('Degrémont Entrée'!S152-M152)/'Degrémont Entrée'!S152*100)</f>
        <v>0</v>
      </c>
      <c r="BD152" s="361" t="str">
        <f ca="1">IFERROR(__xludf.DUMMYFUNCTION("""COMPUTED_VALUE"""),"#DIV/0!")</f>
        <v>#DIV/0!</v>
      </c>
      <c r="BE152" s="362"/>
      <c r="BF152" s="363"/>
      <c r="BG152" s="363"/>
      <c r="BH152" s="338">
        <f t="shared" si="17"/>
        <v>0</v>
      </c>
      <c r="BI152" s="364"/>
      <c r="BJ152" s="365"/>
      <c r="BK152" s="371">
        <f>'Degrémont Entrée'!BH152</f>
        <v>0</v>
      </c>
      <c r="BL152" s="372">
        <f>'Degrémont Entrée'!BI152</f>
        <v>0</v>
      </c>
    </row>
    <row r="153" spans="1:64" ht="15.75" customHeight="1" outlineLevel="1">
      <c r="A153" s="337">
        <f t="shared" si="18"/>
        <v>43605</v>
      </c>
      <c r="B153" s="338">
        <f>'Degrémont Entrée'!B153</f>
        <v>855</v>
      </c>
      <c r="C153" s="339">
        <v>8.8000000000000007</v>
      </c>
      <c r="D153" s="340">
        <v>90</v>
      </c>
      <c r="E153" s="341">
        <v>92.9</v>
      </c>
      <c r="F153" s="342">
        <v>200</v>
      </c>
      <c r="G153" s="329">
        <f t="shared" si="0"/>
        <v>14.500000000000027</v>
      </c>
      <c r="H153" s="338"/>
      <c r="I153" s="343">
        <v>641</v>
      </c>
      <c r="J153" s="344">
        <f t="shared" si="2"/>
        <v>548.05499999999995</v>
      </c>
      <c r="K153" s="343">
        <v>1</v>
      </c>
      <c r="L153" s="345">
        <v>1.04</v>
      </c>
      <c r="M153" s="346">
        <f t="shared" si="3"/>
        <v>1.04</v>
      </c>
      <c r="N153" s="338">
        <f t="shared" si="4"/>
        <v>0.88919999999999999</v>
      </c>
      <c r="O153" s="368"/>
      <c r="P153" s="347">
        <f t="shared" si="19"/>
        <v>0</v>
      </c>
      <c r="Q153" s="348"/>
      <c r="R153" s="369"/>
      <c r="S153" s="349">
        <f t="shared" si="20"/>
        <v>0</v>
      </c>
      <c r="T153" s="348"/>
      <c r="U153" s="369"/>
      <c r="V153" s="349">
        <f t="shared" si="5"/>
        <v>0</v>
      </c>
      <c r="W153" s="348"/>
      <c r="X153" s="318" t="str">
        <f t="shared" si="6"/>
        <v/>
      </c>
      <c r="Y153" s="370" t="e">
        <f t="shared" si="7"/>
        <v>#VALUE!</v>
      </c>
      <c r="Z153" s="343" t="s">
        <v>85</v>
      </c>
      <c r="AA153" s="345">
        <v>0.01</v>
      </c>
      <c r="AB153" s="352">
        <f t="shared" si="8"/>
        <v>4.2750000000000002E-3</v>
      </c>
      <c r="AC153" s="353"/>
      <c r="AD153" s="354"/>
      <c r="AE153" s="378" t="str">
        <f t="shared" si="21"/>
        <v/>
      </c>
      <c r="AF153" s="329"/>
      <c r="AG153" s="358"/>
      <c r="AH153" s="356" t="str">
        <f t="shared" si="22"/>
        <v/>
      </c>
      <c r="AI153" s="329"/>
      <c r="AJ153" s="329"/>
      <c r="AK153" s="356">
        <f t="shared" si="11"/>
        <v>0</v>
      </c>
      <c r="AL153" s="357"/>
      <c r="AM153" s="358"/>
      <c r="AN153" s="356">
        <f t="shared" si="12"/>
        <v>0</v>
      </c>
      <c r="AO153" s="329"/>
      <c r="AP153" s="358"/>
      <c r="AQ153" s="359">
        <f t="shared" si="13"/>
        <v>0</v>
      </c>
      <c r="AR153" s="360"/>
      <c r="AS153" s="358"/>
      <c r="AT153" s="356">
        <f t="shared" si="14"/>
        <v>0</v>
      </c>
      <c r="AU153" s="329"/>
      <c r="AV153" s="358"/>
      <c r="AW153" s="359">
        <f t="shared" si="15"/>
        <v>0</v>
      </c>
      <c r="AX153" s="329"/>
      <c r="AY153" s="358"/>
      <c r="AZ153" s="359">
        <f t="shared" si="16"/>
        <v>0</v>
      </c>
      <c r="BA153" s="329">
        <f>IF('Degrémont Entrée'!K153="",,('Degrémont Entrée'!K153-I153)/'Degrémont Entrée'!K153*100)</f>
        <v>81.21336459554513</v>
      </c>
      <c r="BB153" s="329">
        <f>IF('Degrémont Entrée'!G153="",,('Degrémont Entrée'!G153-G153)/'Degrémont Entrée'!G153*100)</f>
        <v>99.436690647482024</v>
      </c>
      <c r="BC153" s="329">
        <f>IF('Degrémont Entrée'!S153="",,('Degrémont Entrée'!S153-M153)/'Degrémont Entrée'!S153*100)</f>
        <v>98.914405010438415</v>
      </c>
      <c r="BD153" s="361" t="str">
        <f ca="1">IFERROR(__xludf.DUMMYFUNCTION("""COMPUTED_VALUE"""),"#DIV/0!")</f>
        <v>#DIV/0!</v>
      </c>
      <c r="BE153" s="362"/>
      <c r="BF153" s="363"/>
      <c r="BG153" s="363"/>
      <c r="BH153" s="338">
        <f t="shared" si="17"/>
        <v>0</v>
      </c>
      <c r="BI153" s="364"/>
      <c r="BJ153" s="365"/>
      <c r="BK153" s="366">
        <f>'Degrémont Entrée'!BH153</f>
        <v>0</v>
      </c>
      <c r="BL153" s="367">
        <f>'Degrémont Entrée'!BI153</f>
        <v>0</v>
      </c>
    </row>
    <row r="154" spans="1:64" ht="14.25" outlineLevel="1">
      <c r="A154" s="337">
        <f t="shared" si="18"/>
        <v>43606</v>
      </c>
      <c r="B154" s="338">
        <f>'Degrémont Entrée'!B154</f>
        <v>903</v>
      </c>
      <c r="C154" s="339">
        <v>9</v>
      </c>
      <c r="D154" s="340">
        <v>89.5</v>
      </c>
      <c r="E154" s="341">
        <v>91.3</v>
      </c>
      <c r="F154" s="342">
        <v>200</v>
      </c>
      <c r="G154" s="329">
        <f t="shared" si="0"/>
        <v>8.9999999999999858</v>
      </c>
      <c r="H154" s="338"/>
      <c r="I154" s="343">
        <v>543</v>
      </c>
      <c r="J154" s="344">
        <f t="shared" si="2"/>
        <v>490.32900000000001</v>
      </c>
      <c r="K154" s="343">
        <v>1</v>
      </c>
      <c r="L154" s="345">
        <v>0.64</v>
      </c>
      <c r="M154" s="346">
        <f t="shared" si="3"/>
        <v>0.64</v>
      </c>
      <c r="N154" s="338">
        <f t="shared" si="4"/>
        <v>0.57791999999999999</v>
      </c>
      <c r="O154" s="341">
        <v>10.6</v>
      </c>
      <c r="P154" s="347">
        <f t="shared" si="19"/>
        <v>9.5717999999999996</v>
      </c>
      <c r="Q154" s="348"/>
      <c r="R154" s="369"/>
      <c r="S154" s="349">
        <f t="shared" si="20"/>
        <v>0</v>
      </c>
      <c r="T154" s="348"/>
      <c r="U154" s="369"/>
      <c r="V154" s="349">
        <f t="shared" si="5"/>
        <v>0</v>
      </c>
      <c r="W154" s="348"/>
      <c r="X154" s="318">
        <f t="shared" si="6"/>
        <v>10.6</v>
      </c>
      <c r="Y154" s="370">
        <f t="shared" si="7"/>
        <v>9.5717999999999996</v>
      </c>
      <c r="Z154" s="343" t="s">
        <v>85</v>
      </c>
      <c r="AA154" s="345">
        <v>0.01</v>
      </c>
      <c r="AB154" s="352">
        <f t="shared" si="8"/>
        <v>4.5149999999999999E-3</v>
      </c>
      <c r="AC154" s="353"/>
      <c r="AD154" s="354"/>
      <c r="AE154" s="378" t="str">
        <f t="shared" si="21"/>
        <v/>
      </c>
      <c r="AF154" s="329"/>
      <c r="AG154" s="355">
        <v>0.36</v>
      </c>
      <c r="AH154" s="356">
        <f t="shared" si="22"/>
        <v>2.0030399999999999</v>
      </c>
      <c r="AI154" s="329"/>
      <c r="AJ154" s="345">
        <v>0.69</v>
      </c>
      <c r="AK154" s="356">
        <f t="shared" si="11"/>
        <v>0.6230699999999999</v>
      </c>
      <c r="AL154" s="357"/>
      <c r="AM154" s="355">
        <v>0.05</v>
      </c>
      <c r="AN154" s="356">
        <f t="shared" si="12"/>
        <v>4.5150000000000003E-2</v>
      </c>
      <c r="AO154" s="329"/>
      <c r="AP154" s="355">
        <v>0.28999999999999998</v>
      </c>
      <c r="AQ154" s="359">
        <f t="shared" si="13"/>
        <v>0.26186999999999999</v>
      </c>
      <c r="AR154" s="360"/>
      <c r="AS154" s="355">
        <v>0.36</v>
      </c>
      <c r="AT154" s="356">
        <f t="shared" si="14"/>
        <v>0.32507999999999998</v>
      </c>
      <c r="AU154" s="345" t="s">
        <v>85</v>
      </c>
      <c r="AV154" s="355">
        <v>0.15</v>
      </c>
      <c r="AW154" s="359">
        <f t="shared" si="15"/>
        <v>6.7724999999999994E-2</v>
      </c>
      <c r="AX154" s="345" t="s">
        <v>85</v>
      </c>
      <c r="AY154" s="355">
        <v>0.13</v>
      </c>
      <c r="AZ154" s="359">
        <f t="shared" si="16"/>
        <v>5.8694999999999997E-2</v>
      </c>
      <c r="BA154" s="329">
        <f>IF('Degrémont Entrée'!K154="",,('Degrémont Entrée'!K154-I154)/'Degrémont Entrée'!K154*100)</f>
        <v>65.080385852090032</v>
      </c>
      <c r="BB154" s="329">
        <f>IF('Degrémont Entrée'!G154="",,('Degrémont Entrée'!G154-G154)/'Degrémont Entrée'!G154*100)</f>
        <v>99.163716814159301</v>
      </c>
      <c r="BC154" s="329">
        <f>IF('Degrémont Entrée'!S154="",,('Degrémont Entrée'!S154-M154)/'Degrémont Entrée'!S154*100)</f>
        <v>98.202247191011239</v>
      </c>
      <c r="BD154" s="361" t="str">
        <f ca="1">IFERROR(__xludf.DUMMYFUNCTION("""COMPUTED_VALUE"""),"#DIV/0!")</f>
        <v>#DIV/0!</v>
      </c>
      <c r="BE154" s="362"/>
      <c r="BF154" s="363"/>
      <c r="BG154" s="363"/>
      <c r="BH154" s="338">
        <f t="shared" si="17"/>
        <v>0</v>
      </c>
      <c r="BI154" s="364"/>
      <c r="BJ154" s="365"/>
      <c r="BK154" s="371">
        <f>'Degrémont Entrée'!BH154</f>
        <v>0</v>
      </c>
      <c r="BL154" s="372">
        <f>'Degrémont Entrée'!BI154</f>
        <v>0</v>
      </c>
    </row>
    <row r="155" spans="1:64" ht="15.75" customHeight="1" outlineLevel="1">
      <c r="A155" s="337">
        <f t="shared" si="18"/>
        <v>43607</v>
      </c>
      <c r="B155" s="338">
        <f>'Degrémont Entrée'!B155</f>
        <v>821</v>
      </c>
      <c r="C155" s="339">
        <v>9</v>
      </c>
      <c r="D155" s="340">
        <v>90.9</v>
      </c>
      <c r="E155" s="341">
        <v>92.7</v>
      </c>
      <c r="F155" s="342">
        <v>200</v>
      </c>
      <c r="G155" s="329">
        <f t="shared" si="0"/>
        <v>8.9999999999999858</v>
      </c>
      <c r="H155" s="338"/>
      <c r="I155" s="343">
        <v>495</v>
      </c>
      <c r="J155" s="344">
        <f t="shared" si="2"/>
        <v>406.39499999999998</v>
      </c>
      <c r="K155" s="343">
        <v>1</v>
      </c>
      <c r="L155" s="345">
        <v>0.43</v>
      </c>
      <c r="M155" s="346">
        <f t="shared" si="3"/>
        <v>0.43</v>
      </c>
      <c r="N155" s="338">
        <f t="shared" si="4"/>
        <v>0.35302999999999995</v>
      </c>
      <c r="O155" s="368"/>
      <c r="P155" s="347">
        <f t="shared" si="19"/>
        <v>0</v>
      </c>
      <c r="Q155" s="348"/>
      <c r="R155" s="369"/>
      <c r="S155" s="349">
        <f t="shared" si="20"/>
        <v>0</v>
      </c>
      <c r="T155" s="348"/>
      <c r="U155" s="369"/>
      <c r="V155" s="349">
        <f t="shared" si="5"/>
        <v>0</v>
      </c>
      <c r="W155" s="348"/>
      <c r="X155" s="318" t="str">
        <f t="shared" si="6"/>
        <v/>
      </c>
      <c r="Y155" s="370" t="e">
        <f t="shared" si="7"/>
        <v>#VALUE!</v>
      </c>
      <c r="Z155" s="343" t="s">
        <v>85</v>
      </c>
      <c r="AA155" s="345">
        <v>0.01</v>
      </c>
      <c r="AB155" s="352">
        <f t="shared" si="8"/>
        <v>4.1050000000000001E-3</v>
      </c>
      <c r="AC155" s="353"/>
      <c r="AD155" s="354"/>
      <c r="AE155" s="378" t="str">
        <f t="shared" si="21"/>
        <v/>
      </c>
      <c r="AF155" s="329"/>
      <c r="AG155" s="358"/>
      <c r="AH155" s="356" t="str">
        <f t="shared" si="22"/>
        <v/>
      </c>
      <c r="AI155" s="329"/>
      <c r="AJ155" s="329"/>
      <c r="AK155" s="356">
        <f t="shared" si="11"/>
        <v>0</v>
      </c>
      <c r="AL155" s="357"/>
      <c r="AM155" s="358"/>
      <c r="AN155" s="356">
        <f t="shared" si="12"/>
        <v>0</v>
      </c>
      <c r="AO155" s="329"/>
      <c r="AP155" s="358"/>
      <c r="AQ155" s="359">
        <f t="shared" si="13"/>
        <v>0</v>
      </c>
      <c r="AR155" s="360"/>
      <c r="AS155" s="358"/>
      <c r="AT155" s="356">
        <f t="shared" si="14"/>
        <v>0</v>
      </c>
      <c r="AU155" s="329"/>
      <c r="AV155" s="358"/>
      <c r="AW155" s="359">
        <f t="shared" si="15"/>
        <v>0</v>
      </c>
      <c r="AX155" s="329"/>
      <c r="AY155" s="358"/>
      <c r="AZ155" s="359">
        <f t="shared" si="16"/>
        <v>0</v>
      </c>
      <c r="BA155" s="329">
        <f>IF('Degrémont Entrée'!K155="",,('Degrémont Entrée'!K155-I155)/'Degrémont Entrée'!K155*100)</f>
        <v>82.877896921480456</v>
      </c>
      <c r="BB155" s="329">
        <f>IF('Degrémont Entrée'!G155="",,('Degrémont Entrée'!G155-G155)/'Degrémont Entrée'!G155*100)</f>
        <v>99.622516556291401</v>
      </c>
      <c r="BC155" s="329">
        <f>IF('Degrémont Entrée'!S155="",,('Degrémont Entrée'!S155-M155)/'Degrémont Entrée'!S155*100)</f>
        <v>99.580896686159832</v>
      </c>
      <c r="BD155" s="361" t="str">
        <f ca="1">IFERROR(__xludf.DUMMYFUNCTION("""COMPUTED_VALUE"""),"#DIV/0!")</f>
        <v>#DIV/0!</v>
      </c>
      <c r="BE155" s="362"/>
      <c r="BF155" s="363"/>
      <c r="BG155" s="363"/>
      <c r="BH155" s="338">
        <f t="shared" si="17"/>
        <v>0</v>
      </c>
      <c r="BI155" s="364"/>
      <c r="BJ155" s="365"/>
      <c r="BK155" s="366">
        <f>'Degrémont Entrée'!BH155</f>
        <v>0</v>
      </c>
      <c r="BL155" s="367">
        <f>'Degrémont Entrée'!BI155</f>
        <v>0</v>
      </c>
    </row>
    <row r="156" spans="1:64" ht="14.25" outlineLevel="1">
      <c r="A156" s="337">
        <f t="shared" si="18"/>
        <v>43608</v>
      </c>
      <c r="B156" s="338">
        <f>'Degrémont Entrée'!B156</f>
        <v>1037</v>
      </c>
      <c r="C156" s="339">
        <v>9.42</v>
      </c>
      <c r="D156" s="340">
        <v>89.4</v>
      </c>
      <c r="E156" s="341">
        <v>91.1</v>
      </c>
      <c r="F156" s="342">
        <v>100</v>
      </c>
      <c r="G156" s="329">
        <f t="shared" si="0"/>
        <v>16.999999999999886</v>
      </c>
      <c r="H156" s="338"/>
      <c r="I156" s="343">
        <v>637</v>
      </c>
      <c r="J156" s="344">
        <f t="shared" si="2"/>
        <v>660.56899999999996</v>
      </c>
      <c r="K156" s="343">
        <v>1</v>
      </c>
      <c r="L156" s="345">
        <v>0.44</v>
      </c>
      <c r="M156" s="346">
        <f t="shared" si="3"/>
        <v>0.44</v>
      </c>
      <c r="N156" s="338">
        <f t="shared" si="4"/>
        <v>0.45628000000000002</v>
      </c>
      <c r="O156" s="368"/>
      <c r="P156" s="347">
        <f t="shared" si="19"/>
        <v>0</v>
      </c>
      <c r="Q156" s="348"/>
      <c r="R156" s="369"/>
      <c r="S156" s="349">
        <f t="shared" si="20"/>
        <v>0</v>
      </c>
      <c r="T156" s="348"/>
      <c r="U156" s="369"/>
      <c r="V156" s="349">
        <f t="shared" si="5"/>
        <v>0</v>
      </c>
      <c r="W156" s="348"/>
      <c r="X156" s="318" t="str">
        <f t="shared" si="6"/>
        <v/>
      </c>
      <c r="Y156" s="370" t="e">
        <f t="shared" si="7"/>
        <v>#VALUE!</v>
      </c>
      <c r="Z156" s="343" t="s">
        <v>85</v>
      </c>
      <c r="AA156" s="345">
        <v>0.01</v>
      </c>
      <c r="AB156" s="352">
        <f t="shared" si="8"/>
        <v>5.1850000000000004E-3</v>
      </c>
      <c r="AC156" s="353"/>
      <c r="AD156" s="354"/>
      <c r="AE156" s="378" t="str">
        <f t="shared" si="21"/>
        <v/>
      </c>
      <c r="AF156" s="329"/>
      <c r="AG156" s="358"/>
      <c r="AH156" s="356" t="str">
        <f t="shared" si="22"/>
        <v/>
      </c>
      <c r="AI156" s="329"/>
      <c r="AJ156" s="329"/>
      <c r="AK156" s="356">
        <f t="shared" si="11"/>
        <v>0</v>
      </c>
      <c r="AL156" s="357"/>
      <c r="AM156" s="358"/>
      <c r="AN156" s="356">
        <f t="shared" si="12"/>
        <v>0</v>
      </c>
      <c r="AO156" s="329"/>
      <c r="AP156" s="358"/>
      <c r="AQ156" s="359">
        <f t="shared" si="13"/>
        <v>0</v>
      </c>
      <c r="AR156" s="360"/>
      <c r="AS156" s="358"/>
      <c r="AT156" s="356">
        <f t="shared" si="14"/>
        <v>0</v>
      </c>
      <c r="AU156" s="329"/>
      <c r="AV156" s="358"/>
      <c r="AW156" s="359">
        <f t="shared" si="15"/>
        <v>0</v>
      </c>
      <c r="AX156" s="329"/>
      <c r="AY156" s="358"/>
      <c r="AZ156" s="359">
        <f t="shared" si="16"/>
        <v>0</v>
      </c>
      <c r="BA156" s="329">
        <f>IF('Degrémont Entrée'!K156="",,('Degrémont Entrée'!K156-I156)/'Degrémont Entrée'!K156*100)</f>
        <v>84.800763540921025</v>
      </c>
      <c r="BB156" s="329">
        <f>IF('Degrémont Entrée'!G156="",,('Degrémont Entrée'!G156-G156)/'Degrémont Entrée'!G156*100)</f>
        <v>99.558670820353072</v>
      </c>
      <c r="BC156" s="329">
        <f>IF('Degrémont Entrée'!S156="",,('Degrémont Entrée'!S156-M156)/'Degrémont Entrée'!S156*100)</f>
        <v>99.639344262295083</v>
      </c>
      <c r="BD156" s="361" t="str">
        <f ca="1">IFERROR(__xludf.DUMMYFUNCTION("""COMPUTED_VALUE"""),"#DIV/0!")</f>
        <v>#DIV/0!</v>
      </c>
      <c r="BE156" s="362"/>
      <c r="BF156" s="363"/>
      <c r="BG156" s="363"/>
      <c r="BH156" s="338">
        <f t="shared" si="17"/>
        <v>0</v>
      </c>
      <c r="BI156" s="364"/>
      <c r="BJ156" s="365"/>
      <c r="BK156" s="371">
        <f>'Degrémont Entrée'!BH156</f>
        <v>0</v>
      </c>
      <c r="BL156" s="372">
        <f>'Degrémont Entrée'!BI156</f>
        <v>0</v>
      </c>
    </row>
    <row r="157" spans="1:64" ht="15.75" customHeight="1" outlineLevel="1">
      <c r="A157" s="337">
        <f t="shared" si="18"/>
        <v>43609</v>
      </c>
      <c r="B157" s="338">
        <f>'Degrémont Entrée'!B157</f>
        <v>724</v>
      </c>
      <c r="C157" s="339">
        <v>8.16</v>
      </c>
      <c r="D157" s="340">
        <v>90.5</v>
      </c>
      <c r="E157" s="341">
        <v>92.4</v>
      </c>
      <c r="F157" s="342">
        <v>92</v>
      </c>
      <c r="G157" s="329">
        <f t="shared" si="0"/>
        <v>20.652173913043541</v>
      </c>
      <c r="H157" s="338"/>
      <c r="I157" s="343">
        <v>405</v>
      </c>
      <c r="J157" s="344">
        <f t="shared" si="2"/>
        <v>293.22000000000003</v>
      </c>
      <c r="K157" s="343">
        <v>1</v>
      </c>
      <c r="L157" s="345">
        <v>0.51</v>
      </c>
      <c r="M157" s="346">
        <f t="shared" si="3"/>
        <v>0.51</v>
      </c>
      <c r="N157" s="338">
        <f t="shared" si="4"/>
        <v>0.36924000000000001</v>
      </c>
      <c r="O157" s="368"/>
      <c r="P157" s="347">
        <f t="shared" si="19"/>
        <v>0</v>
      </c>
      <c r="Q157" s="348"/>
      <c r="R157" s="369"/>
      <c r="S157" s="349">
        <f t="shared" si="20"/>
        <v>0</v>
      </c>
      <c r="T157" s="348"/>
      <c r="U157" s="369"/>
      <c r="V157" s="349">
        <f t="shared" si="5"/>
        <v>0</v>
      </c>
      <c r="W157" s="348"/>
      <c r="X157" s="318" t="str">
        <f t="shared" si="6"/>
        <v/>
      </c>
      <c r="Y157" s="370" t="e">
        <f t="shared" si="7"/>
        <v>#VALUE!</v>
      </c>
      <c r="Z157" s="343" t="s">
        <v>85</v>
      </c>
      <c r="AA157" s="345">
        <v>0.01</v>
      </c>
      <c r="AB157" s="352">
        <f t="shared" si="8"/>
        <v>3.62E-3</v>
      </c>
      <c r="AC157" s="353"/>
      <c r="AD157" s="354"/>
      <c r="AE157" s="378" t="str">
        <f t="shared" si="21"/>
        <v/>
      </c>
      <c r="AF157" s="329"/>
      <c r="AG157" s="358"/>
      <c r="AH157" s="356" t="str">
        <f t="shared" si="22"/>
        <v/>
      </c>
      <c r="AI157" s="329"/>
      <c r="AJ157" s="329"/>
      <c r="AK157" s="356">
        <f t="shared" si="11"/>
        <v>0</v>
      </c>
      <c r="AL157" s="357"/>
      <c r="AM157" s="358"/>
      <c r="AN157" s="356">
        <f t="shared" si="12"/>
        <v>0</v>
      </c>
      <c r="AO157" s="329"/>
      <c r="AP157" s="358"/>
      <c r="AQ157" s="359">
        <f t="shared" si="13"/>
        <v>0</v>
      </c>
      <c r="AR157" s="360"/>
      <c r="AS157" s="358"/>
      <c r="AT157" s="356">
        <f t="shared" si="14"/>
        <v>0</v>
      </c>
      <c r="AU157" s="329"/>
      <c r="AV157" s="358"/>
      <c r="AW157" s="359">
        <f t="shared" si="15"/>
        <v>0</v>
      </c>
      <c r="AX157" s="329"/>
      <c r="AY157" s="358"/>
      <c r="AZ157" s="359">
        <f t="shared" si="16"/>
        <v>0</v>
      </c>
      <c r="BA157" s="329">
        <f>IF('Degrémont Entrée'!K157="",,('Degrémont Entrée'!K157-I157)/'Degrémont Entrée'!K157*100)</f>
        <v>94.347522679692958</v>
      </c>
      <c r="BB157" s="329">
        <f>IF('Degrémont Entrée'!G157="",,('Degrémont Entrée'!G157-G157)/'Degrémont Entrée'!G157*100)</f>
        <v>99.726678481828429</v>
      </c>
      <c r="BC157" s="329">
        <f>IF('Degrémont Entrée'!S157="",,('Degrémont Entrée'!S157-M157)/'Degrémont Entrée'!S157*100)</f>
        <v>99.49</v>
      </c>
      <c r="BD157" s="361" t="str">
        <f ca="1">IFERROR(__xludf.DUMMYFUNCTION("""COMPUTED_VALUE"""),"#DIV/0!")</f>
        <v>#DIV/0!</v>
      </c>
      <c r="BE157" s="362"/>
      <c r="BF157" s="363"/>
      <c r="BG157" s="363"/>
      <c r="BH157" s="338">
        <f t="shared" si="17"/>
        <v>0</v>
      </c>
      <c r="BI157" s="364"/>
      <c r="BJ157" s="365"/>
      <c r="BK157" s="366">
        <f>'Degrémont Entrée'!BH157</f>
        <v>0</v>
      </c>
      <c r="BL157" s="367" t="str">
        <f>'Degrémont Entrée'!BI157</f>
        <v>Décablage coffret P04</v>
      </c>
    </row>
    <row r="158" spans="1:64" ht="14.25" outlineLevel="1">
      <c r="A158" s="337">
        <f t="shared" si="18"/>
        <v>43610</v>
      </c>
      <c r="B158" s="338">
        <f>'Degrémont Entrée'!B158</f>
        <v>1374</v>
      </c>
      <c r="C158" s="339">
        <v>8.49</v>
      </c>
      <c r="D158" s="340">
        <v>91.3</v>
      </c>
      <c r="E158" s="341">
        <v>93.3</v>
      </c>
      <c r="F158" s="342">
        <v>100</v>
      </c>
      <c r="G158" s="329">
        <f t="shared" si="0"/>
        <v>20</v>
      </c>
      <c r="H158" s="338"/>
      <c r="I158" s="343">
        <v>440</v>
      </c>
      <c r="J158" s="344">
        <f t="shared" si="2"/>
        <v>604.55999999999995</v>
      </c>
      <c r="K158" s="343">
        <v>1</v>
      </c>
      <c r="L158" s="345">
        <v>0.82</v>
      </c>
      <c r="M158" s="346">
        <f t="shared" si="3"/>
        <v>0.82</v>
      </c>
      <c r="N158" s="338">
        <f t="shared" si="4"/>
        <v>1.1266799999999999</v>
      </c>
      <c r="O158" s="368"/>
      <c r="P158" s="347">
        <f t="shared" si="19"/>
        <v>0</v>
      </c>
      <c r="Q158" s="348"/>
      <c r="R158" s="369"/>
      <c r="S158" s="349">
        <f t="shared" si="20"/>
        <v>0</v>
      </c>
      <c r="T158" s="348"/>
      <c r="U158" s="369"/>
      <c r="V158" s="349">
        <f t="shared" si="5"/>
        <v>0</v>
      </c>
      <c r="W158" s="348"/>
      <c r="X158" s="318" t="str">
        <f t="shared" si="6"/>
        <v/>
      </c>
      <c r="Y158" s="370" t="e">
        <f t="shared" si="7"/>
        <v>#VALUE!</v>
      </c>
      <c r="Z158" s="343" t="s">
        <v>85</v>
      </c>
      <c r="AA158" s="345">
        <v>0.01</v>
      </c>
      <c r="AB158" s="352">
        <f t="shared" si="8"/>
        <v>6.8700000000000002E-3</v>
      </c>
      <c r="AC158" s="353"/>
      <c r="AD158" s="354"/>
      <c r="AE158" s="378" t="str">
        <f t="shared" si="21"/>
        <v/>
      </c>
      <c r="AF158" s="329"/>
      <c r="AG158" s="358"/>
      <c r="AH158" s="356" t="str">
        <f t="shared" si="22"/>
        <v/>
      </c>
      <c r="AI158" s="329"/>
      <c r="AJ158" s="329"/>
      <c r="AK158" s="356">
        <f t="shared" si="11"/>
        <v>0</v>
      </c>
      <c r="AL158" s="357"/>
      <c r="AM158" s="358"/>
      <c r="AN158" s="356">
        <f t="shared" si="12"/>
        <v>0</v>
      </c>
      <c r="AO158" s="329"/>
      <c r="AP158" s="358"/>
      <c r="AQ158" s="359">
        <f t="shared" si="13"/>
        <v>0</v>
      </c>
      <c r="AR158" s="360"/>
      <c r="AS158" s="358"/>
      <c r="AT158" s="356">
        <f t="shared" si="14"/>
        <v>0</v>
      </c>
      <c r="AU158" s="329"/>
      <c r="AV158" s="358"/>
      <c r="AW158" s="359">
        <f t="shared" si="15"/>
        <v>0</v>
      </c>
      <c r="AX158" s="329"/>
      <c r="AY158" s="358"/>
      <c r="AZ158" s="359">
        <f t="shared" si="16"/>
        <v>0</v>
      </c>
      <c r="BA158" s="329">
        <f>IF('Degrémont Entrée'!K158="",,('Degrémont Entrée'!K158-I158)/'Degrémont Entrée'!K158*100)</f>
        <v>87.657784011220201</v>
      </c>
      <c r="BB158" s="329">
        <f>IF('Degrémont Entrée'!G158="",,('Degrémont Entrée'!G158-G158)/'Degrémont Entrée'!G158*100)</f>
        <v>99.441340782122893</v>
      </c>
      <c r="BC158" s="329">
        <f>IF('Degrémont Entrée'!S158="",,('Degrémont Entrée'!S158-M158)/'Degrémont Entrée'!S158*100)</f>
        <v>99.145833333333343</v>
      </c>
      <c r="BD158" s="361" t="str">
        <f ca="1">IFERROR(__xludf.DUMMYFUNCTION("""COMPUTED_VALUE"""),"#DIV/0!")</f>
        <v>#DIV/0!</v>
      </c>
      <c r="BE158" s="362"/>
      <c r="BF158" s="363"/>
      <c r="BG158" s="363"/>
      <c r="BH158" s="338">
        <f t="shared" si="17"/>
        <v>0</v>
      </c>
      <c r="BI158" s="364"/>
      <c r="BJ158" s="365"/>
      <c r="BK158" s="371">
        <f>'Degrémont Entrée'!BH158</f>
        <v>0</v>
      </c>
      <c r="BL158" s="372">
        <f>'Degrémont Entrée'!BI158</f>
        <v>0</v>
      </c>
    </row>
    <row r="159" spans="1:64" ht="15.75" customHeight="1" outlineLevel="1">
      <c r="A159" s="337">
        <f t="shared" si="18"/>
        <v>43611</v>
      </c>
      <c r="B159" s="338">
        <f>'Degrémont Entrée'!B159</f>
        <v>500</v>
      </c>
      <c r="C159" s="339">
        <v>8.5</v>
      </c>
      <c r="D159" s="340">
        <v>89.7</v>
      </c>
      <c r="E159" s="341">
        <v>90.8</v>
      </c>
      <c r="F159" s="342">
        <v>100</v>
      </c>
      <c r="G159" s="329">
        <f t="shared" si="0"/>
        <v>10.999999999999943</v>
      </c>
      <c r="H159" s="338"/>
      <c r="I159" s="343">
        <v>435</v>
      </c>
      <c r="J159" s="344">
        <f t="shared" si="2"/>
        <v>217.5</v>
      </c>
      <c r="K159" s="343">
        <v>1</v>
      </c>
      <c r="L159" s="345">
        <v>0.73</v>
      </c>
      <c r="M159" s="346">
        <f t="shared" si="3"/>
        <v>0.73</v>
      </c>
      <c r="N159" s="338">
        <f t="shared" si="4"/>
        <v>0.36499999999999999</v>
      </c>
      <c r="O159" s="368"/>
      <c r="P159" s="347">
        <f t="shared" si="19"/>
        <v>0</v>
      </c>
      <c r="Q159" s="348"/>
      <c r="R159" s="369"/>
      <c r="S159" s="349">
        <f t="shared" si="20"/>
        <v>0</v>
      </c>
      <c r="T159" s="348"/>
      <c r="U159" s="369"/>
      <c r="V159" s="349">
        <f t="shared" si="5"/>
        <v>0</v>
      </c>
      <c r="W159" s="348"/>
      <c r="X159" s="318" t="str">
        <f t="shared" si="6"/>
        <v/>
      </c>
      <c r="Y159" s="370" t="e">
        <f t="shared" si="7"/>
        <v>#VALUE!</v>
      </c>
      <c r="Z159" s="343" t="s">
        <v>85</v>
      </c>
      <c r="AA159" s="345">
        <v>0.01</v>
      </c>
      <c r="AB159" s="352">
        <f t="shared" si="8"/>
        <v>2.5000000000000001E-3</v>
      </c>
      <c r="AC159" s="353"/>
      <c r="AD159" s="354"/>
      <c r="AE159" s="378" t="str">
        <f t="shared" si="21"/>
        <v/>
      </c>
      <c r="AF159" s="329"/>
      <c r="AG159" s="358"/>
      <c r="AH159" s="356" t="str">
        <f t="shared" si="22"/>
        <v/>
      </c>
      <c r="AI159" s="329"/>
      <c r="AJ159" s="329"/>
      <c r="AK159" s="356">
        <f t="shared" si="11"/>
        <v>0</v>
      </c>
      <c r="AL159" s="357"/>
      <c r="AM159" s="358"/>
      <c r="AN159" s="356">
        <f t="shared" si="12"/>
        <v>0</v>
      </c>
      <c r="AO159" s="329"/>
      <c r="AP159" s="358"/>
      <c r="AQ159" s="359">
        <f t="shared" si="13"/>
        <v>0</v>
      </c>
      <c r="AR159" s="360"/>
      <c r="AS159" s="358"/>
      <c r="AT159" s="356">
        <f t="shared" si="14"/>
        <v>0</v>
      </c>
      <c r="AU159" s="329"/>
      <c r="AV159" s="358"/>
      <c r="AW159" s="359">
        <f t="shared" si="15"/>
        <v>0</v>
      </c>
      <c r="AX159" s="329"/>
      <c r="AY159" s="358"/>
      <c r="AZ159" s="359">
        <f t="shared" si="16"/>
        <v>0</v>
      </c>
      <c r="BA159" s="329">
        <f>IF('Degrémont Entrée'!K159="",,('Degrémont Entrée'!K159-I159)/'Degrémont Entrée'!K159*100)</f>
        <v>87.916666666666671</v>
      </c>
      <c r="BB159" s="329">
        <f>IF('Degrémont Entrée'!G159="",,('Degrémont Entrée'!G159-G159)/'Degrémont Entrée'!G159*100)</f>
        <v>99.9416135881104</v>
      </c>
      <c r="BC159" s="329">
        <f>IF('Degrémont Entrée'!S159="",,('Degrémont Entrée'!S159-M159)/'Degrémont Entrée'!S159*100)</f>
        <v>99.29807692307692</v>
      </c>
      <c r="BD159" s="361" t="str">
        <f ca="1">IFERROR(__xludf.DUMMYFUNCTION("""COMPUTED_VALUE"""),"#DIV/0!")</f>
        <v>#DIV/0!</v>
      </c>
      <c r="BE159" s="362"/>
      <c r="BF159" s="363"/>
      <c r="BG159" s="363"/>
      <c r="BH159" s="338">
        <f t="shared" si="17"/>
        <v>0</v>
      </c>
      <c r="BI159" s="364"/>
      <c r="BJ159" s="365"/>
      <c r="BK159" s="366">
        <f>'Degrémont Entrée'!BH159</f>
        <v>0</v>
      </c>
      <c r="BL159" s="367">
        <f>'Degrémont Entrée'!BI159</f>
        <v>0</v>
      </c>
    </row>
    <row r="160" spans="1:64" ht="14.25" outlineLevel="1">
      <c r="A160" s="337">
        <f t="shared" si="18"/>
        <v>43612</v>
      </c>
      <c r="B160" s="338">
        <f>'Degrémont Entrée'!B160</f>
        <v>754</v>
      </c>
      <c r="C160" s="339">
        <v>8.68</v>
      </c>
      <c r="D160" s="340">
        <v>89.9</v>
      </c>
      <c r="E160" s="341">
        <v>91.5</v>
      </c>
      <c r="F160" s="342">
        <v>100</v>
      </c>
      <c r="G160" s="329">
        <f t="shared" si="0"/>
        <v>15.999999999999943</v>
      </c>
      <c r="H160" s="338"/>
      <c r="I160" s="343">
        <v>446</v>
      </c>
      <c r="J160" s="344">
        <f t="shared" si="2"/>
        <v>336.28399999999999</v>
      </c>
      <c r="K160" s="343">
        <v>1</v>
      </c>
      <c r="L160" s="345">
        <v>1.1000000000000001</v>
      </c>
      <c r="M160" s="346">
        <f t="shared" si="3"/>
        <v>1.1000000000000001</v>
      </c>
      <c r="N160" s="338">
        <f t="shared" si="4"/>
        <v>0.82940000000000014</v>
      </c>
      <c r="O160" s="368"/>
      <c r="P160" s="347">
        <f t="shared" si="19"/>
        <v>0</v>
      </c>
      <c r="Q160" s="348"/>
      <c r="R160" s="369"/>
      <c r="S160" s="349">
        <f t="shared" si="20"/>
        <v>0</v>
      </c>
      <c r="T160" s="348"/>
      <c r="U160" s="369"/>
      <c r="V160" s="349">
        <f t="shared" si="5"/>
        <v>0</v>
      </c>
      <c r="W160" s="348"/>
      <c r="X160" s="318" t="str">
        <f t="shared" si="6"/>
        <v/>
      </c>
      <c r="Y160" s="370" t="e">
        <f t="shared" si="7"/>
        <v>#VALUE!</v>
      </c>
      <c r="Z160" s="343" t="s">
        <v>85</v>
      </c>
      <c r="AA160" s="345">
        <v>0.01</v>
      </c>
      <c r="AB160" s="352">
        <f t="shared" si="8"/>
        <v>3.7699999999999999E-3</v>
      </c>
      <c r="AC160" s="353"/>
      <c r="AD160" s="354"/>
      <c r="AE160" s="378" t="str">
        <f t="shared" si="21"/>
        <v/>
      </c>
      <c r="AF160" s="329"/>
      <c r="AG160" s="358"/>
      <c r="AH160" s="356" t="str">
        <f t="shared" si="22"/>
        <v/>
      </c>
      <c r="AI160" s="329"/>
      <c r="AJ160" s="329"/>
      <c r="AK160" s="356">
        <f t="shared" si="11"/>
        <v>0</v>
      </c>
      <c r="AL160" s="357"/>
      <c r="AM160" s="358"/>
      <c r="AN160" s="356">
        <f t="shared" si="12"/>
        <v>0</v>
      </c>
      <c r="AO160" s="329"/>
      <c r="AP160" s="358"/>
      <c r="AQ160" s="359">
        <f t="shared" si="13"/>
        <v>0</v>
      </c>
      <c r="AR160" s="360"/>
      <c r="AS160" s="358"/>
      <c r="AT160" s="356">
        <f t="shared" si="14"/>
        <v>0</v>
      </c>
      <c r="AU160" s="329"/>
      <c r="AV160" s="358"/>
      <c r="AW160" s="359">
        <f t="shared" si="15"/>
        <v>0</v>
      </c>
      <c r="AX160" s="329"/>
      <c r="AY160" s="358"/>
      <c r="AZ160" s="359">
        <f t="shared" si="16"/>
        <v>0</v>
      </c>
      <c r="BA160" s="329">
        <f>IF('Degrémont Entrée'!K160="",,('Degrémont Entrée'!K160-I160)/'Degrémont Entrée'!K160*100)</f>
        <v>90.97165991902834</v>
      </c>
      <c r="BB160" s="329">
        <f>IF('Degrémont Entrée'!G160="",,('Degrémont Entrée'!G160-G160)/'Degrémont Entrée'!G160*100)</f>
        <v>99.6</v>
      </c>
      <c r="BC160" s="329">
        <f>IF('Degrémont Entrée'!S160="",,('Degrémont Entrée'!S160-M160)/'Degrémont Entrée'!S160*100)</f>
        <v>98.56020942408378</v>
      </c>
      <c r="BD160" s="361" t="str">
        <f ca="1">IFERROR(__xludf.DUMMYFUNCTION("""COMPUTED_VALUE"""),"#DIV/0!")</f>
        <v>#DIV/0!</v>
      </c>
      <c r="BE160" s="362"/>
      <c r="BF160" s="363"/>
      <c r="BG160" s="363"/>
      <c r="BH160" s="338">
        <f t="shared" si="17"/>
        <v>0</v>
      </c>
      <c r="BI160" s="364"/>
      <c r="BJ160" s="365"/>
      <c r="BK160" s="371" t="str">
        <f>'Degrémont Entrée'!BH160</f>
        <v>Echantillon noir-MES</v>
      </c>
      <c r="BL160" s="372">
        <f>'Degrémont Entrée'!BI160</f>
        <v>0</v>
      </c>
    </row>
    <row r="161" spans="1:64" ht="15.75" customHeight="1" outlineLevel="1">
      <c r="A161" s="337">
        <f t="shared" si="18"/>
        <v>43613</v>
      </c>
      <c r="B161" s="338">
        <f>'Degrémont Entrée'!B161</f>
        <v>1005</v>
      </c>
      <c r="C161" s="339">
        <v>8.1999999999999993</v>
      </c>
      <c r="D161" s="340">
        <v>90</v>
      </c>
      <c r="E161" s="341">
        <v>92</v>
      </c>
      <c r="F161" s="342">
        <v>100</v>
      </c>
      <c r="G161" s="329">
        <f t="shared" si="0"/>
        <v>20</v>
      </c>
      <c r="H161" s="338"/>
      <c r="I161" s="343">
        <v>730</v>
      </c>
      <c r="J161" s="344">
        <f t="shared" si="2"/>
        <v>733.65</v>
      </c>
      <c r="K161" s="343">
        <v>1</v>
      </c>
      <c r="L161" s="345">
        <v>0.88</v>
      </c>
      <c r="M161" s="346">
        <f t="shared" si="3"/>
        <v>0.88</v>
      </c>
      <c r="N161" s="338">
        <f t="shared" si="4"/>
        <v>0.88439999999999996</v>
      </c>
      <c r="O161" s="341">
        <v>12</v>
      </c>
      <c r="P161" s="347">
        <f t="shared" si="19"/>
        <v>12.06</v>
      </c>
      <c r="Q161" s="348"/>
      <c r="R161" s="369"/>
      <c r="S161" s="349">
        <f t="shared" si="20"/>
        <v>0</v>
      </c>
      <c r="T161" s="348"/>
      <c r="U161" s="369"/>
      <c r="V161" s="349">
        <f t="shared" si="5"/>
        <v>0</v>
      </c>
      <c r="W161" s="348"/>
      <c r="X161" s="318">
        <f t="shared" si="6"/>
        <v>12</v>
      </c>
      <c r="Y161" s="370">
        <f t="shared" si="7"/>
        <v>12.06</v>
      </c>
      <c r="Z161" s="343" t="s">
        <v>85</v>
      </c>
      <c r="AA161" s="345">
        <v>0.01</v>
      </c>
      <c r="AB161" s="352">
        <f t="shared" si="8"/>
        <v>5.025E-3</v>
      </c>
      <c r="AC161" s="353"/>
      <c r="AD161" s="354"/>
      <c r="AE161" s="378" t="str">
        <f t="shared" si="21"/>
        <v/>
      </c>
      <c r="AF161" s="329"/>
      <c r="AG161" s="355">
        <v>0.64</v>
      </c>
      <c r="AH161" s="356">
        <f t="shared" si="22"/>
        <v>3.9775999999999998</v>
      </c>
      <c r="AI161" s="329"/>
      <c r="AJ161" s="345">
        <v>0.28000000000000003</v>
      </c>
      <c r="AK161" s="356">
        <f t="shared" si="11"/>
        <v>0.28140000000000004</v>
      </c>
      <c r="AL161" s="357"/>
      <c r="AM161" s="355">
        <v>0.03</v>
      </c>
      <c r="AN161" s="356">
        <f t="shared" si="12"/>
        <v>3.015E-2</v>
      </c>
      <c r="AO161" s="329"/>
      <c r="AP161" s="355">
        <v>0.21</v>
      </c>
      <c r="AQ161" s="359">
        <f t="shared" si="13"/>
        <v>0.21104999999999999</v>
      </c>
      <c r="AR161" s="394" t="s">
        <v>85</v>
      </c>
      <c r="AS161" s="355">
        <v>0.05</v>
      </c>
      <c r="AT161" s="356">
        <f t="shared" si="14"/>
        <v>2.5125000000000001E-2</v>
      </c>
      <c r="AU161" s="345" t="s">
        <v>85</v>
      </c>
      <c r="AV161" s="355">
        <v>0.15</v>
      </c>
      <c r="AW161" s="359">
        <f t="shared" si="15"/>
        <v>7.5374999999999998E-2</v>
      </c>
      <c r="AX161" s="345" t="s">
        <v>85</v>
      </c>
      <c r="AY161" s="355">
        <v>0.13</v>
      </c>
      <c r="AZ161" s="359">
        <f t="shared" si="16"/>
        <v>6.5325000000000008E-2</v>
      </c>
      <c r="BA161" s="329">
        <f>IF('Degrémont Entrée'!K161="",,('Degrémont Entrée'!K161-I161)/'Degrémont Entrée'!K161*100)</f>
        <v>77.476087627275533</v>
      </c>
      <c r="BB161" s="329">
        <f>IF('Degrémont Entrée'!G161="",,('Degrémont Entrée'!G161-G161)/'Degrémont Entrée'!G161*100)</f>
        <v>99.369482976040359</v>
      </c>
      <c r="BC161" s="329">
        <f>IF('Degrémont Entrée'!S161="",,('Degrémont Entrée'!S161-M161)/'Degrémont Entrée'!S161*100)</f>
        <v>98.952380952380963</v>
      </c>
      <c r="BD161" s="361" t="str">
        <f ca="1">IFERROR(__xludf.DUMMYFUNCTION("""COMPUTED_VALUE"""),"#DIV/0!")</f>
        <v>#DIV/0!</v>
      </c>
      <c r="BE161" s="362"/>
      <c r="BF161" s="363"/>
      <c r="BG161" s="363"/>
      <c r="BH161" s="338">
        <f t="shared" si="17"/>
        <v>0</v>
      </c>
      <c r="BI161" s="364"/>
      <c r="BJ161" s="365"/>
      <c r="BK161" s="366">
        <f>'Degrémont Entrée'!BH161</f>
        <v>0</v>
      </c>
      <c r="BL161" s="367">
        <f>'Degrémont Entrée'!BI161</f>
        <v>0</v>
      </c>
    </row>
    <row r="162" spans="1:64" ht="14.25" outlineLevel="1">
      <c r="A162" s="337">
        <f t="shared" si="18"/>
        <v>43614</v>
      </c>
      <c r="B162" s="338">
        <f>'Degrémont Entrée'!B162</f>
        <v>905</v>
      </c>
      <c r="C162" s="339">
        <v>9</v>
      </c>
      <c r="D162" s="340">
        <v>90.2</v>
      </c>
      <c r="E162" s="341">
        <v>91.8</v>
      </c>
      <c r="F162" s="342">
        <v>100</v>
      </c>
      <c r="G162" s="329">
        <f t="shared" si="0"/>
        <v>15.999999999999943</v>
      </c>
      <c r="H162" s="338"/>
      <c r="I162" s="343">
        <v>700</v>
      </c>
      <c r="J162" s="344">
        <f t="shared" si="2"/>
        <v>633.5</v>
      </c>
      <c r="K162" s="343">
        <v>1</v>
      </c>
      <c r="L162" s="345">
        <v>0.9</v>
      </c>
      <c r="M162" s="346">
        <f t="shared" si="3"/>
        <v>0.9</v>
      </c>
      <c r="N162" s="338">
        <f t="shared" si="4"/>
        <v>0.8145</v>
      </c>
      <c r="O162" s="368"/>
      <c r="P162" s="347">
        <f t="shared" si="19"/>
        <v>0</v>
      </c>
      <c r="Q162" s="348"/>
      <c r="R162" s="369"/>
      <c r="S162" s="349">
        <f t="shared" si="20"/>
        <v>0</v>
      </c>
      <c r="T162" s="348"/>
      <c r="U162" s="369"/>
      <c r="V162" s="349">
        <f t="shared" si="5"/>
        <v>0</v>
      </c>
      <c r="W162" s="348"/>
      <c r="X162" s="318" t="str">
        <f t="shared" si="6"/>
        <v/>
      </c>
      <c r="Y162" s="370" t="e">
        <f t="shared" si="7"/>
        <v>#VALUE!</v>
      </c>
      <c r="Z162" s="343" t="s">
        <v>85</v>
      </c>
      <c r="AA162" s="345">
        <v>0.01</v>
      </c>
      <c r="AB162" s="352">
        <f t="shared" si="8"/>
        <v>4.5250000000000004E-3</v>
      </c>
      <c r="AC162" s="353"/>
      <c r="AD162" s="354"/>
      <c r="AE162" s="378" t="str">
        <f t="shared" si="21"/>
        <v/>
      </c>
      <c r="AF162" s="329"/>
      <c r="AG162" s="358"/>
      <c r="AH162" s="356" t="str">
        <f t="shared" si="22"/>
        <v/>
      </c>
      <c r="AI162" s="329"/>
      <c r="AJ162" s="329"/>
      <c r="AK162" s="356">
        <f t="shared" si="11"/>
        <v>0</v>
      </c>
      <c r="AL162" s="357"/>
      <c r="AM162" s="358"/>
      <c r="AN162" s="356">
        <f t="shared" si="12"/>
        <v>0</v>
      </c>
      <c r="AO162" s="329"/>
      <c r="AP162" s="358"/>
      <c r="AQ162" s="359">
        <f t="shared" si="13"/>
        <v>0</v>
      </c>
      <c r="AR162" s="360"/>
      <c r="AS162" s="358"/>
      <c r="AT162" s="356">
        <f t="shared" si="14"/>
        <v>0</v>
      </c>
      <c r="AU162" s="329"/>
      <c r="AV162" s="358"/>
      <c r="AW162" s="359">
        <f t="shared" si="15"/>
        <v>0</v>
      </c>
      <c r="AX162" s="329"/>
      <c r="AY162" s="358"/>
      <c r="AZ162" s="359">
        <f t="shared" si="16"/>
        <v>0</v>
      </c>
      <c r="BA162" s="329">
        <f>IF('Degrémont Entrée'!K162="",,('Degrémont Entrée'!K162-I162)/'Degrémont Entrée'!K162*100)</f>
        <v>80.11363636363636</v>
      </c>
      <c r="BB162" s="329">
        <f>IF('Degrémont Entrée'!G162="",,('Degrémont Entrée'!G162-G162)/'Degrémont Entrée'!G162*100)</f>
        <v>99.431009957325742</v>
      </c>
      <c r="BC162" s="329">
        <f>IF('Degrémont Entrée'!S162="",,('Degrémont Entrée'!S162-M162)/'Degrémont Entrée'!S162*100)</f>
        <v>99.304482225656869</v>
      </c>
      <c r="BD162" s="361" t="str">
        <f ca="1">IFERROR(__xludf.DUMMYFUNCTION("""COMPUTED_VALUE"""),"#DIV/0!")</f>
        <v>#DIV/0!</v>
      </c>
      <c r="BE162" s="362"/>
      <c r="BF162" s="363"/>
      <c r="BG162" s="363"/>
      <c r="BH162" s="338">
        <f t="shared" si="17"/>
        <v>0</v>
      </c>
      <c r="BI162" s="364"/>
      <c r="BJ162" s="365"/>
      <c r="BK162" s="371">
        <f>'Degrémont Entrée'!BH162</f>
        <v>0</v>
      </c>
      <c r="BL162" s="372">
        <f>'Degrémont Entrée'!BI162</f>
        <v>0</v>
      </c>
    </row>
    <row r="163" spans="1:64" ht="15.75" customHeight="1" outlineLevel="1">
      <c r="A163" s="337">
        <f t="shared" si="18"/>
        <v>43615</v>
      </c>
      <c r="B163" s="338">
        <f>'Degrémont Entrée'!B163</f>
        <v>594</v>
      </c>
      <c r="C163" s="339">
        <v>9.1999999999999993</v>
      </c>
      <c r="D163" s="340">
        <v>90.2</v>
      </c>
      <c r="E163" s="341">
        <v>93</v>
      </c>
      <c r="F163" s="342">
        <v>100</v>
      </c>
      <c r="G163" s="329">
        <f t="shared" si="0"/>
        <v>27.999999999999972</v>
      </c>
      <c r="H163" s="338"/>
      <c r="I163" s="343">
        <v>444</v>
      </c>
      <c r="J163" s="344">
        <f t="shared" si="2"/>
        <v>263.73599999999999</v>
      </c>
      <c r="K163" s="343">
        <v>1</v>
      </c>
      <c r="L163" s="345">
        <v>0.92</v>
      </c>
      <c r="M163" s="346">
        <f t="shared" si="3"/>
        <v>0.92</v>
      </c>
      <c r="N163" s="338">
        <f t="shared" si="4"/>
        <v>0.54647999999999997</v>
      </c>
      <c r="O163" s="368"/>
      <c r="P163" s="347">
        <f t="shared" si="19"/>
        <v>0</v>
      </c>
      <c r="Q163" s="348"/>
      <c r="R163" s="369"/>
      <c r="S163" s="349">
        <f t="shared" si="20"/>
        <v>0</v>
      </c>
      <c r="T163" s="348"/>
      <c r="U163" s="369"/>
      <c r="V163" s="349">
        <f t="shared" si="5"/>
        <v>0</v>
      </c>
      <c r="W163" s="348"/>
      <c r="X163" s="318" t="str">
        <f t="shared" si="6"/>
        <v/>
      </c>
      <c r="Y163" s="370" t="e">
        <f t="shared" si="7"/>
        <v>#VALUE!</v>
      </c>
      <c r="Z163" s="343" t="s">
        <v>85</v>
      </c>
      <c r="AA163" s="345">
        <v>0.01</v>
      </c>
      <c r="AB163" s="352">
        <f t="shared" si="8"/>
        <v>2.97E-3</v>
      </c>
      <c r="AC163" s="353"/>
      <c r="AD163" s="354"/>
      <c r="AE163" s="378" t="str">
        <f t="shared" si="21"/>
        <v/>
      </c>
      <c r="AF163" s="329"/>
      <c r="AG163" s="358"/>
      <c r="AH163" s="356" t="str">
        <f t="shared" si="22"/>
        <v/>
      </c>
      <c r="AI163" s="329"/>
      <c r="AJ163" s="329"/>
      <c r="AK163" s="356">
        <f t="shared" si="11"/>
        <v>0</v>
      </c>
      <c r="AL163" s="357"/>
      <c r="AM163" s="358"/>
      <c r="AN163" s="356">
        <f t="shared" si="12"/>
        <v>0</v>
      </c>
      <c r="AO163" s="329"/>
      <c r="AP163" s="358"/>
      <c r="AQ163" s="359">
        <f t="shared" si="13"/>
        <v>0</v>
      </c>
      <c r="AR163" s="360"/>
      <c r="AS163" s="358"/>
      <c r="AT163" s="356">
        <f t="shared" si="14"/>
        <v>0</v>
      </c>
      <c r="AU163" s="329"/>
      <c r="AV163" s="358"/>
      <c r="AW163" s="359">
        <f t="shared" si="15"/>
        <v>0</v>
      </c>
      <c r="AX163" s="329"/>
      <c r="AY163" s="358"/>
      <c r="AZ163" s="359">
        <f t="shared" si="16"/>
        <v>0</v>
      </c>
      <c r="BA163" s="329">
        <f>IF('Degrémont Entrée'!K163="",,('Degrémont Entrée'!K163-I163)/'Degrémont Entrée'!K163*100)</f>
        <v>80.222717149220486</v>
      </c>
      <c r="BB163" s="329">
        <f>IF('Degrémont Entrée'!G163="",,('Degrémont Entrée'!G163-G163)/'Degrémont Entrée'!G163*100)</f>
        <v>98.616144975288307</v>
      </c>
      <c r="BC163" s="329">
        <f>IF('Degrémont Entrée'!S163="",,('Degrémont Entrée'!S163-M163)/'Degrémont Entrée'!S163*100)</f>
        <v>99.063136456211808</v>
      </c>
      <c r="BD163" s="361" t="str">
        <f ca="1">IFERROR(__xludf.DUMMYFUNCTION("""COMPUTED_VALUE"""),"#DIV/0!")</f>
        <v>#DIV/0!</v>
      </c>
      <c r="BE163" s="362"/>
      <c r="BF163" s="363"/>
      <c r="BG163" s="363"/>
      <c r="BH163" s="338">
        <f t="shared" si="17"/>
        <v>0</v>
      </c>
      <c r="BI163" s="364"/>
      <c r="BJ163" s="365"/>
      <c r="BK163" s="366">
        <f>'Degrémont Entrée'!BH163</f>
        <v>0</v>
      </c>
      <c r="BL163" s="367">
        <f>'Degrémont Entrée'!BI163</f>
        <v>0</v>
      </c>
    </row>
    <row r="164" spans="1:64" ht="14.25" outlineLevel="1">
      <c r="A164" s="337">
        <f t="shared" si="18"/>
        <v>43616</v>
      </c>
      <c r="B164" s="338">
        <f>'Degrémont Entrée'!B164</f>
        <v>879</v>
      </c>
      <c r="C164" s="339">
        <v>8.4700000000000006</v>
      </c>
      <c r="D164" s="340">
        <v>90.5</v>
      </c>
      <c r="E164" s="341">
        <v>94.2</v>
      </c>
      <c r="F164" s="342">
        <v>100</v>
      </c>
      <c r="G164" s="329">
        <f t="shared" si="0"/>
        <v>37.000000000000028</v>
      </c>
      <c r="H164" s="338"/>
      <c r="I164" s="343">
        <v>480</v>
      </c>
      <c r="J164" s="344">
        <f t="shared" si="2"/>
        <v>421.92</v>
      </c>
      <c r="K164" s="343">
        <v>1</v>
      </c>
      <c r="L164" s="345">
        <v>1.34</v>
      </c>
      <c r="M164" s="346">
        <f t="shared" si="3"/>
        <v>1.34</v>
      </c>
      <c r="N164" s="338">
        <f t="shared" si="4"/>
        <v>1.1778600000000001</v>
      </c>
      <c r="O164" s="368"/>
      <c r="P164" s="347">
        <f t="shared" si="19"/>
        <v>0</v>
      </c>
      <c r="Q164" s="348"/>
      <c r="R164" s="369"/>
      <c r="S164" s="349">
        <f t="shared" si="20"/>
        <v>0</v>
      </c>
      <c r="T164" s="348"/>
      <c r="U164" s="369"/>
      <c r="V164" s="349">
        <f t="shared" si="5"/>
        <v>0</v>
      </c>
      <c r="W164" s="348"/>
      <c r="X164" s="318" t="str">
        <f t="shared" si="6"/>
        <v/>
      </c>
      <c r="Y164" s="370" t="e">
        <f t="shared" si="7"/>
        <v>#VALUE!</v>
      </c>
      <c r="Z164" s="343" t="s">
        <v>85</v>
      </c>
      <c r="AA164" s="345">
        <v>0.01</v>
      </c>
      <c r="AB164" s="352">
        <f t="shared" si="8"/>
        <v>4.3950000000000005E-3</v>
      </c>
      <c r="AC164" s="353"/>
      <c r="AD164" s="354"/>
      <c r="AE164" s="378" t="str">
        <f t="shared" si="21"/>
        <v/>
      </c>
      <c r="AF164" s="329"/>
      <c r="AG164" s="358"/>
      <c r="AH164" s="356" t="str">
        <f t="shared" si="22"/>
        <v/>
      </c>
      <c r="AI164" s="329"/>
      <c r="AJ164" s="329"/>
      <c r="AK164" s="356">
        <f t="shared" si="11"/>
        <v>0</v>
      </c>
      <c r="AL164" s="357"/>
      <c r="AM164" s="358"/>
      <c r="AN164" s="356">
        <f t="shared" si="12"/>
        <v>0</v>
      </c>
      <c r="AO164" s="329"/>
      <c r="AP164" s="358"/>
      <c r="AQ164" s="359">
        <f t="shared" si="13"/>
        <v>0</v>
      </c>
      <c r="AR164" s="360"/>
      <c r="AS164" s="358"/>
      <c r="AT164" s="356">
        <f t="shared" si="14"/>
        <v>0</v>
      </c>
      <c r="AU164" s="329"/>
      <c r="AV164" s="358"/>
      <c r="AW164" s="359">
        <f t="shared" si="15"/>
        <v>0</v>
      </c>
      <c r="AX164" s="329"/>
      <c r="AY164" s="358"/>
      <c r="AZ164" s="359">
        <f t="shared" si="16"/>
        <v>0</v>
      </c>
      <c r="BA164" s="329">
        <f>IF('Degrémont Entrée'!K164="",,('Degrémont Entrée'!K164-I164)/'Degrémont Entrée'!K164*100)</f>
        <v>59.079283887468023</v>
      </c>
      <c r="BB164" s="329">
        <f>IF('Degrémont Entrée'!G164="",,('Degrémont Entrée'!G164-G164)/'Degrémont Entrée'!G164*100)</f>
        <v>93.392857142857139</v>
      </c>
      <c r="BC164" s="329">
        <f>IF('Degrémont Entrée'!S164="",,('Degrémont Entrée'!S164-M164)/'Degrémont Entrée'!S164*100)</f>
        <v>95.314685314685306</v>
      </c>
      <c r="BD164" s="361" t="str">
        <f ca="1">IFERROR(__xludf.DUMMYFUNCTION("""COMPUTED_VALUE"""),"#DIV/0!")</f>
        <v>#DIV/0!</v>
      </c>
      <c r="BE164" s="362"/>
      <c r="BF164" s="363"/>
      <c r="BG164" s="363"/>
      <c r="BH164" s="338">
        <f t="shared" si="17"/>
        <v>0</v>
      </c>
      <c r="BI164" s="364"/>
      <c r="BJ164" s="365"/>
      <c r="BK164" s="371">
        <f>'Degrémont Entrée'!BH164</f>
        <v>0</v>
      </c>
      <c r="BL164" s="372">
        <f>'Degrémont Entrée'!BI164</f>
        <v>0</v>
      </c>
    </row>
    <row r="165" spans="1:64" ht="15.75" customHeight="1" outlineLevel="1">
      <c r="A165" s="337">
        <f t="shared" si="18"/>
        <v>43617</v>
      </c>
      <c r="B165" s="338">
        <f>'Degrémont Entrée'!B165</f>
        <v>946</v>
      </c>
      <c r="C165" s="339">
        <v>8.42</v>
      </c>
      <c r="D165" s="340">
        <v>88.6</v>
      </c>
      <c r="E165" s="341">
        <v>90.7</v>
      </c>
      <c r="F165" s="342">
        <v>100</v>
      </c>
      <c r="G165" s="329">
        <f t="shared" si="0"/>
        <v>21.000000000000085</v>
      </c>
      <c r="H165" s="338"/>
      <c r="I165" s="343">
        <v>719</v>
      </c>
      <c r="J165" s="344">
        <f t="shared" si="2"/>
        <v>680.17399999999998</v>
      </c>
      <c r="K165" s="343">
        <v>1</v>
      </c>
      <c r="L165" s="345">
        <v>1.5</v>
      </c>
      <c r="M165" s="346">
        <f t="shared" si="3"/>
        <v>1.5</v>
      </c>
      <c r="N165" s="338">
        <f t="shared" si="4"/>
        <v>1.419</v>
      </c>
      <c r="O165" s="368"/>
      <c r="P165" s="347">
        <f t="shared" si="19"/>
        <v>0</v>
      </c>
      <c r="Q165" s="348"/>
      <c r="R165" s="369"/>
      <c r="S165" s="349">
        <f t="shared" si="20"/>
        <v>0</v>
      </c>
      <c r="T165" s="348"/>
      <c r="U165" s="369"/>
      <c r="V165" s="349">
        <f t="shared" si="5"/>
        <v>0</v>
      </c>
      <c r="W165" s="348"/>
      <c r="X165" s="318" t="str">
        <f t="shared" si="6"/>
        <v/>
      </c>
      <c r="Y165" s="370" t="e">
        <f t="shared" si="7"/>
        <v>#VALUE!</v>
      </c>
      <c r="Z165" s="346"/>
      <c r="AA165" s="329"/>
      <c r="AB165" s="352">
        <f t="shared" si="8"/>
        <v>0</v>
      </c>
      <c r="AC165" s="353"/>
      <c r="AD165" s="354"/>
      <c r="AE165" s="378" t="str">
        <f t="shared" si="21"/>
        <v/>
      </c>
      <c r="AF165" s="329"/>
      <c r="AG165" s="358"/>
      <c r="AH165" s="356" t="str">
        <f t="shared" si="22"/>
        <v/>
      </c>
      <c r="AI165" s="329"/>
      <c r="AJ165" s="329"/>
      <c r="AK165" s="356">
        <f t="shared" si="11"/>
        <v>0</v>
      </c>
      <c r="AL165" s="357"/>
      <c r="AM165" s="358"/>
      <c r="AN165" s="356">
        <f t="shared" si="12"/>
        <v>0</v>
      </c>
      <c r="AO165" s="329"/>
      <c r="AP165" s="358"/>
      <c r="AQ165" s="359">
        <f t="shared" si="13"/>
        <v>0</v>
      </c>
      <c r="AR165" s="360"/>
      <c r="AS165" s="358"/>
      <c r="AT165" s="356">
        <f t="shared" si="14"/>
        <v>0</v>
      </c>
      <c r="AU165" s="329"/>
      <c r="AV165" s="358"/>
      <c r="AW165" s="359">
        <f t="shared" si="15"/>
        <v>0</v>
      </c>
      <c r="AX165" s="329"/>
      <c r="AY165" s="358"/>
      <c r="AZ165" s="359">
        <f t="shared" si="16"/>
        <v>0</v>
      </c>
      <c r="BA165" s="329">
        <f>IF('Degrémont Entrée'!K165="",,('Degrémont Entrée'!K165-I165)/'Degrémont Entrée'!K165*100)</f>
        <v>49.15134370579915</v>
      </c>
      <c r="BB165" s="329">
        <f>IF('Degrémont Entrée'!G165="",,('Degrémont Entrée'!G165-G165)/'Degrémont Entrée'!G165*100)</f>
        <v>94.777202072538842</v>
      </c>
      <c r="BC165" s="329">
        <f>IF('Degrémont Entrée'!S165="",,('Degrémont Entrée'!S165-M165)/'Degrémont Entrée'!S165*100)</f>
        <v>96.495327102803742</v>
      </c>
      <c r="BD165" s="361" t="str">
        <f ca="1">IFERROR(__xludf.DUMMYFUNCTION("""COMPUTED_VALUE"""),"#DIV/0!")</f>
        <v>#DIV/0!</v>
      </c>
      <c r="BE165" s="362"/>
      <c r="BF165" s="363"/>
      <c r="BG165" s="363"/>
      <c r="BH165" s="338">
        <f t="shared" si="17"/>
        <v>0</v>
      </c>
      <c r="BI165" s="364"/>
      <c r="BJ165" s="365"/>
      <c r="BK165" s="366">
        <f>'Degrémont Entrée'!BH165</f>
        <v>0</v>
      </c>
      <c r="BL165" s="367">
        <f>'Degrémont Entrée'!BI165</f>
        <v>0</v>
      </c>
    </row>
    <row r="166" spans="1:64" ht="14.25" outlineLevel="1">
      <c r="A166" s="337">
        <f t="shared" si="18"/>
        <v>43618</v>
      </c>
      <c r="B166" s="338">
        <f>'Degrémont Entrée'!B166</f>
        <v>0</v>
      </c>
      <c r="C166" s="338"/>
      <c r="D166" s="388"/>
      <c r="E166" s="368"/>
      <c r="F166" s="342">
        <v>100</v>
      </c>
      <c r="G166" s="329">
        <f t="shared" si="0"/>
        <v>0</v>
      </c>
      <c r="H166" s="338"/>
      <c r="I166" s="346"/>
      <c r="J166" s="344">
        <f t="shared" si="2"/>
        <v>0</v>
      </c>
      <c r="K166" s="343">
        <v>1</v>
      </c>
      <c r="L166" s="329"/>
      <c r="M166" s="346" t="str">
        <f t="shared" si="3"/>
        <v/>
      </c>
      <c r="N166" s="338" t="e">
        <f t="shared" si="4"/>
        <v>#VALUE!</v>
      </c>
      <c r="O166" s="368"/>
      <c r="P166" s="347">
        <f t="shared" si="19"/>
        <v>0</v>
      </c>
      <c r="Q166" s="348"/>
      <c r="R166" s="369"/>
      <c r="S166" s="349">
        <f t="shared" si="20"/>
        <v>0</v>
      </c>
      <c r="T166" s="348"/>
      <c r="U166" s="369"/>
      <c r="V166" s="349">
        <f t="shared" si="5"/>
        <v>0</v>
      </c>
      <c r="W166" s="348"/>
      <c r="X166" s="318" t="str">
        <f t="shared" si="6"/>
        <v/>
      </c>
      <c r="Y166" s="370" t="e">
        <f t="shared" si="7"/>
        <v>#VALUE!</v>
      </c>
      <c r="Z166" s="346"/>
      <c r="AA166" s="329"/>
      <c r="AB166" s="352">
        <f t="shared" si="8"/>
        <v>0</v>
      </c>
      <c r="AC166" s="353"/>
      <c r="AD166" s="354"/>
      <c r="AE166" s="378" t="str">
        <f t="shared" si="21"/>
        <v/>
      </c>
      <c r="AF166" s="329"/>
      <c r="AG166" s="358"/>
      <c r="AH166" s="356" t="str">
        <f t="shared" si="22"/>
        <v/>
      </c>
      <c r="AI166" s="329"/>
      <c r="AJ166" s="329"/>
      <c r="AK166" s="356">
        <f t="shared" si="11"/>
        <v>0</v>
      </c>
      <c r="AL166" s="357"/>
      <c r="AM166" s="358"/>
      <c r="AN166" s="356">
        <f t="shared" si="12"/>
        <v>0</v>
      </c>
      <c r="AO166" s="329"/>
      <c r="AP166" s="358"/>
      <c r="AQ166" s="359">
        <f t="shared" si="13"/>
        <v>0</v>
      </c>
      <c r="AR166" s="360"/>
      <c r="AS166" s="358"/>
      <c r="AT166" s="356">
        <f t="shared" si="14"/>
        <v>0</v>
      </c>
      <c r="AU166" s="329"/>
      <c r="AV166" s="358"/>
      <c r="AW166" s="359">
        <f t="shared" si="15"/>
        <v>0</v>
      </c>
      <c r="AX166" s="329"/>
      <c r="AY166" s="358"/>
      <c r="AZ166" s="359">
        <f t="shared" si="16"/>
        <v>0</v>
      </c>
      <c r="BA166" s="329" t="e">
        <f>IF('Degrémont Entrée'!K166="",,('Degrémont Entrée'!K166-I166)/'Degrémont Entrée'!K166*100)</f>
        <v>#DIV/0!</v>
      </c>
      <c r="BB166" s="329" t="e">
        <f>IF('Degrémont Entrée'!G166="",,('Degrémont Entrée'!G166-G166)/'Degrémont Entrée'!G166*100)</f>
        <v>#DIV/0!</v>
      </c>
      <c r="BC166" s="329">
        <f>IF('Degrémont Entrée'!S166="",,('Degrémont Entrée'!S166-M166)/'Degrémont Entrée'!S166*100)</f>
        <v>0</v>
      </c>
      <c r="BD166" s="361" t="str">
        <f ca="1">IFERROR(__xludf.DUMMYFUNCTION("""COMPUTED_VALUE"""),"#DIV/0!")</f>
        <v>#DIV/0!</v>
      </c>
      <c r="BE166" s="362"/>
      <c r="BF166" s="363"/>
      <c r="BG166" s="363"/>
      <c r="BH166" s="338">
        <f t="shared" si="17"/>
        <v>0</v>
      </c>
      <c r="BI166" s="364"/>
      <c r="BJ166" s="365"/>
      <c r="BK166" s="371">
        <f>'Degrémont Entrée'!BH166</f>
        <v>0</v>
      </c>
      <c r="BL166" s="372" t="str">
        <f>'Degrémont Entrée'!BI166</f>
        <v>Station à l'arrêt</v>
      </c>
    </row>
    <row r="167" spans="1:64" ht="15.75" customHeight="1" outlineLevel="1">
      <c r="A167" s="337">
        <f t="shared" si="18"/>
        <v>43619</v>
      </c>
      <c r="B167" s="338">
        <f>'Degrémont Entrée'!B167</f>
        <v>736</v>
      </c>
      <c r="C167" s="339">
        <v>8.31</v>
      </c>
      <c r="D167" s="340">
        <v>90.1</v>
      </c>
      <c r="E167" s="341">
        <v>93.8</v>
      </c>
      <c r="F167" s="342">
        <v>100</v>
      </c>
      <c r="G167" s="329">
        <f t="shared" si="0"/>
        <v>37.000000000000028</v>
      </c>
      <c r="H167" s="338"/>
      <c r="I167" s="343">
        <v>1184</v>
      </c>
      <c r="J167" s="344">
        <f t="shared" si="2"/>
        <v>871.42399999999998</v>
      </c>
      <c r="K167" s="343">
        <v>1</v>
      </c>
      <c r="L167" s="345">
        <v>2.17</v>
      </c>
      <c r="M167" s="346">
        <f t="shared" si="3"/>
        <v>2.17</v>
      </c>
      <c r="N167" s="338">
        <f t="shared" si="4"/>
        <v>1.5971199999999999</v>
      </c>
      <c r="O167" s="368"/>
      <c r="P167" s="347">
        <f t="shared" si="19"/>
        <v>0</v>
      </c>
      <c r="Q167" s="348"/>
      <c r="R167" s="369"/>
      <c r="S167" s="349">
        <f t="shared" si="20"/>
        <v>0</v>
      </c>
      <c r="T167" s="348"/>
      <c r="U167" s="369"/>
      <c r="V167" s="349">
        <f t="shared" si="5"/>
        <v>0</v>
      </c>
      <c r="W167" s="348"/>
      <c r="X167" s="318" t="str">
        <f t="shared" si="6"/>
        <v/>
      </c>
      <c r="Y167" s="370" t="e">
        <f t="shared" si="7"/>
        <v>#VALUE!</v>
      </c>
      <c r="Z167" s="346"/>
      <c r="AA167" s="329"/>
      <c r="AB167" s="352">
        <f t="shared" si="8"/>
        <v>0</v>
      </c>
      <c r="AC167" s="353"/>
      <c r="AD167" s="354"/>
      <c r="AE167" s="378" t="str">
        <f t="shared" si="21"/>
        <v/>
      </c>
      <c r="AF167" s="329"/>
      <c r="AG167" s="358"/>
      <c r="AH167" s="356" t="str">
        <f t="shared" si="22"/>
        <v/>
      </c>
      <c r="AI167" s="329"/>
      <c r="AJ167" s="329"/>
      <c r="AK167" s="356">
        <f t="shared" si="11"/>
        <v>0</v>
      </c>
      <c r="AL167" s="357"/>
      <c r="AM167" s="358"/>
      <c r="AN167" s="356">
        <f t="shared" si="12"/>
        <v>0</v>
      </c>
      <c r="AO167" s="329"/>
      <c r="AP167" s="358"/>
      <c r="AQ167" s="359">
        <f t="shared" si="13"/>
        <v>0</v>
      </c>
      <c r="AR167" s="360"/>
      <c r="AS167" s="358"/>
      <c r="AT167" s="356">
        <f t="shared" si="14"/>
        <v>0</v>
      </c>
      <c r="AU167" s="329"/>
      <c r="AV167" s="358"/>
      <c r="AW167" s="359">
        <f t="shared" si="15"/>
        <v>0</v>
      </c>
      <c r="AX167" s="329"/>
      <c r="AY167" s="358"/>
      <c r="AZ167" s="359">
        <f t="shared" si="16"/>
        <v>0</v>
      </c>
      <c r="BA167" s="329">
        <f>IF('Degrémont Entrée'!K167="",,('Degrémont Entrée'!K167-I167)/'Degrémont Entrée'!K167*100)</f>
        <v>35.194307608100708</v>
      </c>
      <c r="BB167" s="329">
        <f>IF('Degrémont Entrée'!G167="",,('Degrémont Entrée'!G167-G167)/'Degrémont Entrée'!G167*100)</f>
        <v>94.764150943396217</v>
      </c>
      <c r="BC167" s="329">
        <f>IF('Degrémont Entrée'!S167="",,('Degrémont Entrée'!S167-M167)/'Degrémont Entrée'!S167*100)</f>
        <v>93.044871794871781</v>
      </c>
      <c r="BD167" s="361" t="str">
        <f ca="1">IFERROR(__xludf.DUMMYFUNCTION("""COMPUTED_VALUE"""),"#DIV/0!")</f>
        <v>#DIV/0!</v>
      </c>
      <c r="BE167" s="362"/>
      <c r="BF167" s="363"/>
      <c r="BG167" s="363"/>
      <c r="BH167" s="338">
        <f t="shared" si="17"/>
        <v>0</v>
      </c>
      <c r="BI167" s="364"/>
      <c r="BJ167" s="365"/>
      <c r="BK167" s="366">
        <f>'Degrémont Entrée'!BH167</f>
        <v>0</v>
      </c>
      <c r="BL167" s="367">
        <f>'Degrémont Entrée'!BI167</f>
        <v>0</v>
      </c>
    </row>
    <row r="168" spans="1:64" ht="14.25" outlineLevel="1">
      <c r="A168" s="337">
        <f t="shared" si="18"/>
        <v>43620</v>
      </c>
      <c r="B168" s="338">
        <f>'Degrémont Entrée'!B168</f>
        <v>926</v>
      </c>
      <c r="C168" s="339">
        <v>8.1199999999999992</v>
      </c>
      <c r="D168" s="340">
        <v>90.3</v>
      </c>
      <c r="E168" s="341">
        <v>94.1</v>
      </c>
      <c r="F168" s="342">
        <v>100</v>
      </c>
      <c r="G168" s="329">
        <f t="shared" si="0"/>
        <v>37.999999999999972</v>
      </c>
      <c r="H168" s="338"/>
      <c r="I168" s="343">
        <v>461</v>
      </c>
      <c r="J168" s="344">
        <f t="shared" si="2"/>
        <v>426.88600000000002</v>
      </c>
      <c r="K168" s="343">
        <v>1</v>
      </c>
      <c r="L168" s="345">
        <v>1.1499999999999999</v>
      </c>
      <c r="M168" s="346">
        <f t="shared" si="3"/>
        <v>1.1499999999999999</v>
      </c>
      <c r="N168" s="338">
        <f t="shared" si="4"/>
        <v>1.0649</v>
      </c>
      <c r="O168" s="341">
        <v>29.9</v>
      </c>
      <c r="P168" s="347">
        <f t="shared" si="19"/>
        <v>27.687399999999997</v>
      </c>
      <c r="Q168" s="348"/>
      <c r="R168" s="369"/>
      <c r="S168" s="349">
        <f t="shared" si="20"/>
        <v>0</v>
      </c>
      <c r="T168" s="348"/>
      <c r="U168" s="369"/>
      <c r="V168" s="349">
        <f t="shared" si="5"/>
        <v>0</v>
      </c>
      <c r="W168" s="348"/>
      <c r="X168" s="318">
        <f t="shared" si="6"/>
        <v>29.9</v>
      </c>
      <c r="Y168" s="370">
        <f t="shared" si="7"/>
        <v>27.687399999999997</v>
      </c>
      <c r="Z168" s="346"/>
      <c r="AA168" s="329"/>
      <c r="AB168" s="352">
        <f t="shared" si="8"/>
        <v>0</v>
      </c>
      <c r="AC168" s="353"/>
      <c r="AD168" s="354"/>
      <c r="AE168" s="378" t="str">
        <f t="shared" si="21"/>
        <v/>
      </c>
      <c r="AF168" s="329"/>
      <c r="AG168" s="358"/>
      <c r="AH168" s="356" t="str">
        <f t="shared" si="22"/>
        <v/>
      </c>
      <c r="AI168" s="329"/>
      <c r="AJ168" s="345">
        <v>0.49</v>
      </c>
      <c r="AK168" s="356">
        <f t="shared" si="11"/>
        <v>0.45374000000000003</v>
      </c>
      <c r="AL168" s="357"/>
      <c r="AM168" s="355">
        <v>0.13</v>
      </c>
      <c r="AN168" s="356">
        <f t="shared" si="12"/>
        <v>0.12038000000000001</v>
      </c>
      <c r="AO168" s="329"/>
      <c r="AP168" s="355">
        <v>0.3</v>
      </c>
      <c r="AQ168" s="359">
        <f t="shared" si="13"/>
        <v>0.27779999999999999</v>
      </c>
      <c r="AR168" s="360"/>
      <c r="AS168" s="355">
        <v>0.79</v>
      </c>
      <c r="AT168" s="356">
        <f t="shared" si="14"/>
        <v>0.73154000000000008</v>
      </c>
      <c r="AU168" s="345" t="s">
        <v>85</v>
      </c>
      <c r="AV168" s="355">
        <v>0.15</v>
      </c>
      <c r="AW168" s="359">
        <f t="shared" si="15"/>
        <v>6.9449999999999998E-2</v>
      </c>
      <c r="AX168" s="345" t="s">
        <v>85</v>
      </c>
      <c r="AY168" s="355">
        <v>0.13</v>
      </c>
      <c r="AZ168" s="359">
        <f t="shared" si="16"/>
        <v>6.0190000000000007E-2</v>
      </c>
      <c r="BA168" s="329">
        <f>IF('Degrémont Entrée'!K168="",,('Degrémont Entrée'!K168-I168)/'Degrémont Entrée'!K168*100)</f>
        <v>89.914679501203238</v>
      </c>
      <c r="BB168" s="329">
        <f>IF('Degrémont Entrée'!G168="",,('Degrémont Entrée'!G168-G168)/'Degrémont Entrée'!G168*100)</f>
        <v>99.194915254237287</v>
      </c>
      <c r="BC168" s="329">
        <f>IF('Degrémont Entrée'!S168="",,('Degrémont Entrée'!S168-M168)/'Degrémont Entrée'!S168*100)</f>
        <v>99.414460285132378</v>
      </c>
      <c r="BD168" s="361" t="str">
        <f ca="1">IFERROR(__xludf.DUMMYFUNCTION("""COMPUTED_VALUE"""),"#DIV/0!")</f>
        <v>#DIV/0!</v>
      </c>
      <c r="BE168" s="362"/>
      <c r="BF168" s="363"/>
      <c r="BG168" s="363"/>
      <c r="BH168" s="338">
        <f t="shared" si="17"/>
        <v>0</v>
      </c>
      <c r="BI168" s="364"/>
      <c r="BJ168" s="365"/>
      <c r="BK168" s="371">
        <f>'Degrémont Entrée'!BH168</f>
        <v>0</v>
      </c>
      <c r="BL168" s="372">
        <f>'Degrémont Entrée'!BI168</f>
        <v>0</v>
      </c>
    </row>
    <row r="169" spans="1:64" ht="15.75" customHeight="1" outlineLevel="1">
      <c r="A169" s="337">
        <f t="shared" si="18"/>
        <v>43621</v>
      </c>
      <c r="B169" s="338">
        <f>'Degrémont Entrée'!B169</f>
        <v>1027</v>
      </c>
      <c r="C169" s="339">
        <v>8.0500000000000007</v>
      </c>
      <c r="D169" s="340">
        <v>89.3</v>
      </c>
      <c r="E169" s="341">
        <v>91</v>
      </c>
      <c r="F169" s="342">
        <v>100</v>
      </c>
      <c r="G169" s="329">
        <f t="shared" si="0"/>
        <v>17.000000000000028</v>
      </c>
      <c r="H169" s="338"/>
      <c r="I169" s="343">
        <v>378</v>
      </c>
      <c r="J169" s="344">
        <f t="shared" si="2"/>
        <v>388.20600000000002</v>
      </c>
      <c r="K169" s="343">
        <v>1</v>
      </c>
      <c r="L169" s="345">
        <v>0.69</v>
      </c>
      <c r="M169" s="346">
        <f t="shared" si="3"/>
        <v>0.69</v>
      </c>
      <c r="N169" s="338">
        <f t="shared" si="4"/>
        <v>0.70862999999999998</v>
      </c>
      <c r="O169" s="368"/>
      <c r="P169" s="347">
        <f t="shared" si="19"/>
        <v>0</v>
      </c>
      <c r="Q169" s="348"/>
      <c r="R169" s="369"/>
      <c r="S169" s="349">
        <f t="shared" si="20"/>
        <v>0</v>
      </c>
      <c r="T169" s="348"/>
      <c r="U169" s="369"/>
      <c r="V169" s="349">
        <f t="shared" si="5"/>
        <v>0</v>
      </c>
      <c r="W169" s="348"/>
      <c r="X169" s="318" t="str">
        <f t="shared" si="6"/>
        <v/>
      </c>
      <c r="Y169" s="370" t="e">
        <f t="shared" si="7"/>
        <v>#VALUE!</v>
      </c>
      <c r="Z169" s="346"/>
      <c r="AA169" s="329"/>
      <c r="AB169" s="352">
        <f t="shared" si="8"/>
        <v>0</v>
      </c>
      <c r="AC169" s="353"/>
      <c r="AD169" s="354"/>
      <c r="AE169" s="378" t="str">
        <f t="shared" si="21"/>
        <v/>
      </c>
      <c r="AF169" s="329"/>
      <c r="AG169" s="358"/>
      <c r="AH169" s="356" t="str">
        <f t="shared" si="22"/>
        <v/>
      </c>
      <c r="AI169" s="329"/>
      <c r="AJ169" s="329"/>
      <c r="AK169" s="356">
        <f t="shared" si="11"/>
        <v>0</v>
      </c>
      <c r="AL169" s="357"/>
      <c r="AM169" s="358"/>
      <c r="AN169" s="356">
        <f t="shared" si="12"/>
        <v>0</v>
      </c>
      <c r="AO169" s="329"/>
      <c r="AP169" s="358"/>
      <c r="AQ169" s="359">
        <f t="shared" si="13"/>
        <v>0</v>
      </c>
      <c r="AR169" s="360"/>
      <c r="AS169" s="355">
        <v>0.2</v>
      </c>
      <c r="AT169" s="356">
        <f t="shared" si="14"/>
        <v>0.2054</v>
      </c>
      <c r="AU169" s="329"/>
      <c r="AV169" s="358"/>
      <c r="AW169" s="359">
        <f t="shared" si="15"/>
        <v>0</v>
      </c>
      <c r="AX169" s="329"/>
      <c r="AY169" s="358"/>
      <c r="AZ169" s="359">
        <f t="shared" si="16"/>
        <v>0</v>
      </c>
      <c r="BA169" s="329">
        <f>IF('Degrémont Entrée'!K169="",,('Degrémont Entrée'!K169-I169)/'Degrémont Entrée'!K169*100)</f>
        <v>76.99330493000609</v>
      </c>
      <c r="BB169" s="329">
        <f>IF('Degrémont Entrée'!G169="",,('Degrémont Entrée'!G169-G169)/'Degrémont Entrée'!G169*100)</f>
        <v>98.349514563106794</v>
      </c>
      <c r="BC169" s="329">
        <f>IF('Degrémont Entrée'!S169="",,('Degrémont Entrée'!S169-M169)/'Degrémont Entrée'!S169*100)</f>
        <v>98.967065868263475</v>
      </c>
      <c r="BD169" s="361" t="str">
        <f ca="1">IFERROR(__xludf.DUMMYFUNCTION("""COMPUTED_VALUE"""),"#DIV/0!")</f>
        <v>#DIV/0!</v>
      </c>
      <c r="BE169" s="362"/>
      <c r="BF169" s="363"/>
      <c r="BG169" s="363"/>
      <c r="BH169" s="338">
        <f t="shared" si="17"/>
        <v>0</v>
      </c>
      <c r="BI169" s="364"/>
      <c r="BJ169" s="365"/>
      <c r="BK169" s="366">
        <f>'Degrémont Entrée'!BH169</f>
        <v>0</v>
      </c>
      <c r="BL169" s="367">
        <f>'Degrémont Entrée'!BI169</f>
        <v>0</v>
      </c>
    </row>
    <row r="170" spans="1:64" ht="14.25" outlineLevel="1">
      <c r="A170" s="337">
        <f t="shared" si="18"/>
        <v>43622</v>
      </c>
      <c r="B170" s="338">
        <f>'Degrémont Entrée'!B170</f>
        <v>966</v>
      </c>
      <c r="C170" s="339">
        <v>8.3699999999999992</v>
      </c>
      <c r="D170" s="340">
        <v>87.6</v>
      </c>
      <c r="E170" s="341">
        <v>90.1</v>
      </c>
      <c r="F170" s="342">
        <v>100</v>
      </c>
      <c r="G170" s="329">
        <f t="shared" si="0"/>
        <v>25</v>
      </c>
      <c r="H170" s="338"/>
      <c r="I170" s="343">
        <v>687</v>
      </c>
      <c r="J170" s="344">
        <f t="shared" si="2"/>
        <v>663.64200000000005</v>
      </c>
      <c r="K170" s="343">
        <v>1</v>
      </c>
      <c r="L170" s="345">
        <v>0.95</v>
      </c>
      <c r="M170" s="346">
        <f t="shared" si="3"/>
        <v>0.95</v>
      </c>
      <c r="N170" s="338">
        <f t="shared" si="4"/>
        <v>0.91769999999999996</v>
      </c>
      <c r="O170" s="368"/>
      <c r="P170" s="347">
        <f t="shared" si="19"/>
        <v>0</v>
      </c>
      <c r="Q170" s="348"/>
      <c r="R170" s="369"/>
      <c r="S170" s="349">
        <f t="shared" si="20"/>
        <v>0</v>
      </c>
      <c r="T170" s="348"/>
      <c r="U170" s="369"/>
      <c r="V170" s="349">
        <f t="shared" si="5"/>
        <v>0</v>
      </c>
      <c r="W170" s="348"/>
      <c r="X170" s="318" t="str">
        <f t="shared" si="6"/>
        <v/>
      </c>
      <c r="Y170" s="370" t="e">
        <f t="shared" si="7"/>
        <v>#VALUE!</v>
      </c>
      <c r="Z170" s="346"/>
      <c r="AA170" s="329"/>
      <c r="AB170" s="352">
        <f t="shared" si="8"/>
        <v>0</v>
      </c>
      <c r="AC170" s="353"/>
      <c r="AD170" s="354"/>
      <c r="AE170" s="378" t="str">
        <f t="shared" si="21"/>
        <v/>
      </c>
      <c r="AF170" s="329"/>
      <c r="AG170" s="358"/>
      <c r="AH170" s="356" t="str">
        <f t="shared" si="22"/>
        <v/>
      </c>
      <c r="AI170" s="329"/>
      <c r="AJ170" s="329"/>
      <c r="AK170" s="356">
        <f t="shared" si="11"/>
        <v>0</v>
      </c>
      <c r="AL170" s="357"/>
      <c r="AM170" s="358"/>
      <c r="AN170" s="356">
        <f t="shared" si="12"/>
        <v>0</v>
      </c>
      <c r="AO170" s="329"/>
      <c r="AP170" s="358"/>
      <c r="AQ170" s="359">
        <f t="shared" si="13"/>
        <v>0</v>
      </c>
      <c r="AR170" s="360"/>
      <c r="AS170" s="355">
        <v>0.27</v>
      </c>
      <c r="AT170" s="356">
        <f t="shared" si="14"/>
        <v>0.26082</v>
      </c>
      <c r="AU170" s="329"/>
      <c r="AV170" s="358"/>
      <c r="AW170" s="359">
        <f t="shared" si="15"/>
        <v>0</v>
      </c>
      <c r="AX170" s="329"/>
      <c r="AY170" s="358"/>
      <c r="AZ170" s="359">
        <f t="shared" si="16"/>
        <v>0</v>
      </c>
      <c r="BA170" s="329">
        <f>IF('Degrémont Entrée'!K170="",,('Degrémont Entrée'!K170-I170)/'Degrémont Entrée'!K170*100)</f>
        <v>62.984913793103445</v>
      </c>
      <c r="BB170" s="329">
        <f>IF('Degrémont Entrée'!G170="",,('Degrémont Entrée'!G170-G170)/'Degrémont Entrée'!G170*100)</f>
        <v>97.049689440993788</v>
      </c>
      <c r="BC170" s="329">
        <f>IF('Degrémont Entrée'!S170="",,('Degrémont Entrée'!S170-M170)/'Degrémont Entrée'!S170*100)</f>
        <v>97.748815165876763</v>
      </c>
      <c r="BD170" s="361" t="str">
        <f ca="1">IFERROR(__xludf.DUMMYFUNCTION("""COMPUTED_VALUE"""),"#DIV/0!")</f>
        <v>#DIV/0!</v>
      </c>
      <c r="BE170" s="362"/>
      <c r="BF170" s="363"/>
      <c r="BG170" s="363"/>
      <c r="BH170" s="338">
        <f t="shared" si="17"/>
        <v>0</v>
      </c>
      <c r="BI170" s="364"/>
      <c r="BJ170" s="365"/>
      <c r="BK170" s="371">
        <f>'Degrémont Entrée'!BH170</f>
        <v>0</v>
      </c>
      <c r="BL170" s="372">
        <f>'Degrémont Entrée'!BI170</f>
        <v>0</v>
      </c>
    </row>
    <row r="171" spans="1:64" ht="15.75" customHeight="1" outlineLevel="1">
      <c r="A171" s="337">
        <f t="shared" si="18"/>
        <v>43623</v>
      </c>
      <c r="B171" s="338">
        <f>'Degrémont Entrée'!B171</f>
        <v>869</v>
      </c>
      <c r="C171" s="339">
        <v>8.2799999999999994</v>
      </c>
      <c r="D171" s="340">
        <v>90.8</v>
      </c>
      <c r="E171" s="341">
        <v>93.3</v>
      </c>
      <c r="F171" s="342">
        <v>80</v>
      </c>
      <c r="G171" s="329">
        <f t="shared" si="0"/>
        <v>31.25</v>
      </c>
      <c r="H171" s="338"/>
      <c r="I171" s="343">
        <v>525</v>
      </c>
      <c r="J171" s="344">
        <f t="shared" si="2"/>
        <v>456.22500000000002</v>
      </c>
      <c r="K171" s="343">
        <v>1</v>
      </c>
      <c r="L171" s="345">
        <v>0.84</v>
      </c>
      <c r="M171" s="346">
        <f t="shared" si="3"/>
        <v>0.84</v>
      </c>
      <c r="N171" s="338">
        <f t="shared" si="4"/>
        <v>0.72995999999999994</v>
      </c>
      <c r="O171" s="368"/>
      <c r="P171" s="347">
        <f t="shared" si="19"/>
        <v>0</v>
      </c>
      <c r="Q171" s="348"/>
      <c r="R171" s="369"/>
      <c r="S171" s="349">
        <f t="shared" si="20"/>
        <v>0</v>
      </c>
      <c r="T171" s="348"/>
      <c r="U171" s="369"/>
      <c r="V171" s="349">
        <f t="shared" si="5"/>
        <v>0</v>
      </c>
      <c r="W171" s="348"/>
      <c r="X171" s="318" t="str">
        <f t="shared" si="6"/>
        <v/>
      </c>
      <c r="Y171" s="370" t="e">
        <f t="shared" si="7"/>
        <v>#VALUE!</v>
      </c>
      <c r="Z171" s="343" t="s">
        <v>85</v>
      </c>
      <c r="AA171" s="345">
        <v>0.01</v>
      </c>
      <c r="AB171" s="352">
        <f t="shared" si="8"/>
        <v>4.3449999999999999E-3</v>
      </c>
      <c r="AC171" s="353"/>
      <c r="AD171" s="354"/>
      <c r="AE171" s="378" t="str">
        <f t="shared" si="21"/>
        <v/>
      </c>
      <c r="AF171" s="329"/>
      <c r="AG171" s="358"/>
      <c r="AH171" s="356" t="str">
        <f t="shared" si="22"/>
        <v/>
      </c>
      <c r="AI171" s="329"/>
      <c r="AJ171" s="329"/>
      <c r="AK171" s="356">
        <f t="shared" si="11"/>
        <v>0</v>
      </c>
      <c r="AL171" s="357"/>
      <c r="AM171" s="358"/>
      <c r="AN171" s="356">
        <f t="shared" si="12"/>
        <v>0</v>
      </c>
      <c r="AO171" s="329"/>
      <c r="AP171" s="358"/>
      <c r="AQ171" s="359">
        <f t="shared" si="13"/>
        <v>0</v>
      </c>
      <c r="AR171" s="360"/>
      <c r="AS171" s="358"/>
      <c r="AT171" s="356">
        <f t="shared" si="14"/>
        <v>0</v>
      </c>
      <c r="AU171" s="329"/>
      <c r="AV171" s="358"/>
      <c r="AW171" s="359">
        <f t="shared" si="15"/>
        <v>0</v>
      </c>
      <c r="AX171" s="329"/>
      <c r="AY171" s="358"/>
      <c r="AZ171" s="359">
        <f t="shared" si="16"/>
        <v>0</v>
      </c>
      <c r="BA171" s="329">
        <f>IF('Degrémont Entrée'!K171="",,('Degrémont Entrée'!K171-I171)/'Degrémont Entrée'!K171*100)</f>
        <v>76.233589859665003</v>
      </c>
      <c r="BB171" s="329">
        <f>IF('Degrémont Entrée'!G171="",,('Degrémont Entrée'!G171-G171)/'Degrémont Entrée'!G171*100)</f>
        <v>98.174649532710276</v>
      </c>
      <c r="BC171" s="329">
        <f>IF('Degrémont Entrée'!S171="",,('Degrémont Entrée'!S171-M171)/'Degrémont Entrée'!S171*100)</f>
        <v>99.00709219858156</v>
      </c>
      <c r="BD171" s="361" t="str">
        <f ca="1">IFERROR(__xludf.DUMMYFUNCTION("""COMPUTED_VALUE"""),"#DIV/0!")</f>
        <v>#DIV/0!</v>
      </c>
      <c r="BE171" s="362"/>
      <c r="BF171" s="363"/>
      <c r="BG171" s="363"/>
      <c r="BH171" s="338">
        <f t="shared" si="17"/>
        <v>0</v>
      </c>
      <c r="BI171" s="364"/>
      <c r="BJ171" s="365"/>
      <c r="BK171" s="366">
        <f>'Degrémont Entrée'!BH171</f>
        <v>0</v>
      </c>
      <c r="BL171" s="367" t="str">
        <f>'Degrémont Entrée'!BI171</f>
        <v>Nettoyage bag de chaulge et clapet pompe Abel</v>
      </c>
    </row>
    <row r="172" spans="1:64" ht="14.25" outlineLevel="1">
      <c r="A172" s="337">
        <f t="shared" si="18"/>
        <v>43624</v>
      </c>
      <c r="B172" s="338">
        <f>'Degrémont Entrée'!B172</f>
        <v>832</v>
      </c>
      <c r="C172" s="339">
        <v>8.2100000000000009</v>
      </c>
      <c r="D172" s="340">
        <v>89</v>
      </c>
      <c r="E172" s="341">
        <v>90.7</v>
      </c>
      <c r="F172" s="342">
        <v>78</v>
      </c>
      <c r="G172" s="329">
        <f t="shared" si="0"/>
        <v>21.794871794871831</v>
      </c>
      <c r="H172" s="338"/>
      <c r="I172" s="343">
        <v>566</v>
      </c>
      <c r="J172" s="344">
        <f t="shared" si="2"/>
        <v>470.91199999999998</v>
      </c>
      <c r="K172" s="343">
        <v>1</v>
      </c>
      <c r="L172" s="345">
        <v>0.85</v>
      </c>
      <c r="M172" s="346">
        <f t="shared" si="3"/>
        <v>0.85</v>
      </c>
      <c r="N172" s="338">
        <f t="shared" si="4"/>
        <v>0.70719999999999994</v>
      </c>
      <c r="O172" s="368"/>
      <c r="P172" s="347">
        <f t="shared" si="19"/>
        <v>0</v>
      </c>
      <c r="Q172" s="348"/>
      <c r="R172" s="369"/>
      <c r="S172" s="349">
        <f t="shared" si="20"/>
        <v>0</v>
      </c>
      <c r="T172" s="348"/>
      <c r="U172" s="369"/>
      <c r="V172" s="349">
        <f t="shared" si="5"/>
        <v>0</v>
      </c>
      <c r="W172" s="348"/>
      <c r="X172" s="318" t="str">
        <f t="shared" si="6"/>
        <v/>
      </c>
      <c r="Y172" s="370" t="e">
        <f t="shared" si="7"/>
        <v>#VALUE!</v>
      </c>
      <c r="Z172" s="343" t="s">
        <v>85</v>
      </c>
      <c r="AA172" s="345">
        <v>0.01</v>
      </c>
      <c r="AB172" s="352">
        <f t="shared" si="8"/>
        <v>4.1600000000000005E-3</v>
      </c>
      <c r="AC172" s="353"/>
      <c r="AD172" s="354"/>
      <c r="AE172" s="378" t="str">
        <f t="shared" si="21"/>
        <v/>
      </c>
      <c r="AF172" s="329"/>
      <c r="AG172" s="358"/>
      <c r="AH172" s="356" t="str">
        <f t="shared" si="22"/>
        <v/>
      </c>
      <c r="AI172" s="329"/>
      <c r="AJ172" s="329"/>
      <c r="AK172" s="356">
        <f t="shared" si="11"/>
        <v>0</v>
      </c>
      <c r="AL172" s="357"/>
      <c r="AM172" s="358"/>
      <c r="AN172" s="356">
        <f t="shared" si="12"/>
        <v>0</v>
      </c>
      <c r="AO172" s="329"/>
      <c r="AP172" s="358"/>
      <c r="AQ172" s="359">
        <f t="shared" si="13"/>
        <v>0</v>
      </c>
      <c r="AR172" s="360"/>
      <c r="AS172" s="358"/>
      <c r="AT172" s="356">
        <f t="shared" si="14"/>
        <v>0</v>
      </c>
      <c r="AU172" s="329"/>
      <c r="AV172" s="358"/>
      <c r="AW172" s="359">
        <f t="shared" si="15"/>
        <v>0</v>
      </c>
      <c r="AX172" s="329"/>
      <c r="AY172" s="358"/>
      <c r="AZ172" s="359">
        <f t="shared" si="16"/>
        <v>0</v>
      </c>
      <c r="BA172" s="329">
        <f>IF('Degrémont Entrée'!K172="",,('Degrémont Entrée'!K172-I172)/'Degrémont Entrée'!K172*100)</f>
        <v>79.618293122074178</v>
      </c>
      <c r="BB172" s="329">
        <f>IF('Degrémont Entrée'!G172="",,('Degrémont Entrée'!G172-G172)/'Degrémont Entrée'!G172*100)</f>
        <v>98.910256410256409</v>
      </c>
      <c r="BC172" s="329">
        <f>IF('Degrémont Entrée'!S172="",,('Degrémont Entrée'!S172-M172)/'Degrémont Entrée'!S172*100)</f>
        <v>98.907455012853475</v>
      </c>
      <c r="BD172" s="361" t="str">
        <f ca="1">IFERROR(__xludf.DUMMYFUNCTION("""COMPUTED_VALUE"""),"#DIV/0!")</f>
        <v>#DIV/0!</v>
      </c>
      <c r="BE172" s="362"/>
      <c r="BF172" s="363"/>
      <c r="BG172" s="363"/>
      <c r="BH172" s="338">
        <f t="shared" si="17"/>
        <v>0</v>
      </c>
      <c r="BI172" s="364"/>
      <c r="BJ172" s="365"/>
      <c r="BK172" s="371">
        <f>'Degrémont Entrée'!BH172</f>
        <v>0</v>
      </c>
      <c r="BL172" s="372">
        <f>'Degrémont Entrée'!BI172</f>
        <v>0</v>
      </c>
    </row>
    <row r="173" spans="1:64" ht="15.75" customHeight="1" outlineLevel="1">
      <c r="A173" s="337">
        <f t="shared" si="18"/>
        <v>43625</v>
      </c>
      <c r="B173" s="338">
        <f>'Degrémont Entrée'!B173</f>
        <v>0</v>
      </c>
      <c r="C173" s="338"/>
      <c r="D173" s="388"/>
      <c r="E173" s="368"/>
      <c r="F173" s="342">
        <v>100</v>
      </c>
      <c r="G173" s="329">
        <f t="shared" si="0"/>
        <v>0</v>
      </c>
      <c r="H173" s="338"/>
      <c r="I173" s="346"/>
      <c r="J173" s="344">
        <f t="shared" si="2"/>
        <v>0</v>
      </c>
      <c r="K173" s="343">
        <v>1</v>
      </c>
      <c r="L173" s="329"/>
      <c r="M173" s="346" t="str">
        <f t="shared" si="3"/>
        <v/>
      </c>
      <c r="N173" s="338" t="e">
        <f t="shared" si="4"/>
        <v>#VALUE!</v>
      </c>
      <c r="O173" s="368"/>
      <c r="P173" s="347">
        <f t="shared" si="19"/>
        <v>0</v>
      </c>
      <c r="Q173" s="348"/>
      <c r="R173" s="369"/>
      <c r="S173" s="349">
        <f t="shared" si="20"/>
        <v>0</v>
      </c>
      <c r="T173" s="348"/>
      <c r="U173" s="369"/>
      <c r="V173" s="349">
        <f t="shared" si="5"/>
        <v>0</v>
      </c>
      <c r="W173" s="348"/>
      <c r="X173" s="318" t="str">
        <f t="shared" si="6"/>
        <v/>
      </c>
      <c r="Y173" s="370" t="e">
        <f t="shared" si="7"/>
        <v>#VALUE!</v>
      </c>
      <c r="Z173" s="343" t="s">
        <v>85</v>
      </c>
      <c r="AA173" s="345">
        <v>0.01</v>
      </c>
      <c r="AB173" s="352">
        <f t="shared" si="8"/>
        <v>0</v>
      </c>
      <c r="AC173" s="353"/>
      <c r="AD173" s="354"/>
      <c r="AE173" s="378" t="str">
        <f t="shared" si="21"/>
        <v/>
      </c>
      <c r="AF173" s="329"/>
      <c r="AG173" s="358"/>
      <c r="AH173" s="356" t="str">
        <f t="shared" si="22"/>
        <v/>
      </c>
      <c r="AI173" s="329"/>
      <c r="AJ173" s="329"/>
      <c r="AK173" s="356">
        <f t="shared" si="11"/>
        <v>0</v>
      </c>
      <c r="AL173" s="357"/>
      <c r="AM173" s="358"/>
      <c r="AN173" s="356">
        <f t="shared" si="12"/>
        <v>0</v>
      </c>
      <c r="AO173" s="329"/>
      <c r="AP173" s="358"/>
      <c r="AQ173" s="359">
        <f t="shared" si="13"/>
        <v>0</v>
      </c>
      <c r="AR173" s="360"/>
      <c r="AS173" s="358"/>
      <c r="AT173" s="356">
        <f t="shared" si="14"/>
        <v>0</v>
      </c>
      <c r="AU173" s="329"/>
      <c r="AV173" s="358"/>
      <c r="AW173" s="359">
        <f t="shared" si="15"/>
        <v>0</v>
      </c>
      <c r="AX173" s="329"/>
      <c r="AY173" s="358"/>
      <c r="AZ173" s="359">
        <f t="shared" si="16"/>
        <v>0</v>
      </c>
      <c r="BA173" s="329" t="e">
        <f>IF('Degrémont Entrée'!K173="",,('Degrémont Entrée'!K173-I173)/'Degrémont Entrée'!K173*100)</f>
        <v>#DIV/0!</v>
      </c>
      <c r="BB173" s="329" t="e">
        <f>IF('Degrémont Entrée'!G173="",,('Degrémont Entrée'!G173-G173)/'Degrémont Entrée'!G173*100)</f>
        <v>#DIV/0!</v>
      </c>
      <c r="BC173" s="329">
        <f>IF('Degrémont Entrée'!S173="",,('Degrémont Entrée'!S173-M173)/'Degrémont Entrée'!S173*100)</f>
        <v>0</v>
      </c>
      <c r="BD173" s="361" t="str">
        <f ca="1">IFERROR(__xludf.DUMMYFUNCTION("""COMPUTED_VALUE"""),"#DIV/0!")</f>
        <v>#DIV/0!</v>
      </c>
      <c r="BE173" s="362"/>
      <c r="BF173" s="363"/>
      <c r="BG173" s="363"/>
      <c r="BH173" s="338">
        <f t="shared" si="17"/>
        <v>0</v>
      </c>
      <c r="BI173" s="364"/>
      <c r="BJ173" s="365"/>
      <c r="BK173" s="366">
        <f>'Degrémont Entrée'!BH173</f>
        <v>0</v>
      </c>
      <c r="BL173" s="367" t="str">
        <f>'Degrémont Entrée'!BI173</f>
        <v>Station à l'arrêt</v>
      </c>
    </row>
    <row r="174" spans="1:64" ht="14.25" outlineLevel="1">
      <c r="A174" s="337">
        <f t="shared" si="18"/>
        <v>43626</v>
      </c>
      <c r="B174" s="338">
        <f>'Degrémont Entrée'!B174</f>
        <v>0</v>
      </c>
      <c r="C174" s="338"/>
      <c r="D174" s="388"/>
      <c r="E174" s="368"/>
      <c r="F174" s="342">
        <v>100</v>
      </c>
      <c r="G174" s="329">
        <f t="shared" si="0"/>
        <v>0</v>
      </c>
      <c r="H174" s="338"/>
      <c r="I174" s="346"/>
      <c r="J174" s="344">
        <f t="shared" si="2"/>
        <v>0</v>
      </c>
      <c r="K174" s="343">
        <v>1</v>
      </c>
      <c r="L174" s="329"/>
      <c r="M174" s="346" t="str">
        <f t="shared" si="3"/>
        <v/>
      </c>
      <c r="N174" s="338" t="e">
        <f t="shared" si="4"/>
        <v>#VALUE!</v>
      </c>
      <c r="O174" s="368"/>
      <c r="P174" s="347">
        <f t="shared" si="19"/>
        <v>0</v>
      </c>
      <c r="Q174" s="348"/>
      <c r="R174" s="369"/>
      <c r="S174" s="349">
        <f t="shared" si="20"/>
        <v>0</v>
      </c>
      <c r="T174" s="348"/>
      <c r="U174" s="369"/>
      <c r="V174" s="349">
        <f t="shared" si="5"/>
        <v>0</v>
      </c>
      <c r="W174" s="348"/>
      <c r="X174" s="318" t="str">
        <f t="shared" si="6"/>
        <v/>
      </c>
      <c r="Y174" s="370" t="e">
        <f t="shared" si="7"/>
        <v>#VALUE!</v>
      </c>
      <c r="Z174" s="343" t="s">
        <v>85</v>
      </c>
      <c r="AA174" s="345">
        <v>0.01</v>
      </c>
      <c r="AB174" s="352">
        <f t="shared" si="8"/>
        <v>0</v>
      </c>
      <c r="AC174" s="353"/>
      <c r="AD174" s="354"/>
      <c r="AE174" s="378" t="str">
        <f t="shared" si="21"/>
        <v/>
      </c>
      <c r="AF174" s="329"/>
      <c r="AG174" s="358"/>
      <c r="AH174" s="356" t="str">
        <f t="shared" si="22"/>
        <v/>
      </c>
      <c r="AI174" s="329"/>
      <c r="AJ174" s="329"/>
      <c r="AK174" s="356">
        <f t="shared" si="11"/>
        <v>0</v>
      </c>
      <c r="AL174" s="357"/>
      <c r="AM174" s="358"/>
      <c r="AN174" s="356">
        <f t="shared" si="12"/>
        <v>0</v>
      </c>
      <c r="AO174" s="329"/>
      <c r="AP174" s="358"/>
      <c r="AQ174" s="359">
        <f t="shared" si="13"/>
        <v>0</v>
      </c>
      <c r="AR174" s="360"/>
      <c r="AS174" s="358"/>
      <c r="AT174" s="356">
        <f t="shared" si="14"/>
        <v>0</v>
      </c>
      <c r="AU174" s="329"/>
      <c r="AV174" s="358"/>
      <c r="AW174" s="359">
        <f t="shared" si="15"/>
        <v>0</v>
      </c>
      <c r="AX174" s="329"/>
      <c r="AY174" s="358"/>
      <c r="AZ174" s="359">
        <f t="shared" si="16"/>
        <v>0</v>
      </c>
      <c r="BA174" s="329" t="e">
        <f>IF('Degrémont Entrée'!K174="",,('Degrémont Entrée'!K174-I174)/'Degrémont Entrée'!K174*100)</f>
        <v>#DIV/0!</v>
      </c>
      <c r="BB174" s="329" t="e">
        <f>IF('Degrémont Entrée'!G174="",,('Degrémont Entrée'!G174-G174)/'Degrémont Entrée'!G174*100)</f>
        <v>#DIV/0!</v>
      </c>
      <c r="BC174" s="329">
        <f>IF('Degrémont Entrée'!S174="",,('Degrémont Entrée'!S174-M174)/'Degrémont Entrée'!S174*100)</f>
        <v>0</v>
      </c>
      <c r="BD174" s="361" t="str">
        <f ca="1">IFERROR(__xludf.DUMMYFUNCTION("""COMPUTED_VALUE"""),"#DIV/0!")</f>
        <v>#DIV/0!</v>
      </c>
      <c r="BE174" s="362"/>
      <c r="BF174" s="363"/>
      <c r="BG174" s="363"/>
      <c r="BH174" s="338">
        <f t="shared" si="17"/>
        <v>0</v>
      </c>
      <c r="BI174" s="364"/>
      <c r="BJ174" s="365"/>
      <c r="BK174" s="371">
        <f>'Degrémont Entrée'!BH174</f>
        <v>0</v>
      </c>
      <c r="BL174" s="372">
        <f>'Degrémont Entrée'!BI174</f>
        <v>0</v>
      </c>
    </row>
    <row r="175" spans="1:64" ht="15.75" customHeight="1" outlineLevel="1">
      <c r="A175" s="337">
        <f t="shared" si="18"/>
        <v>43627</v>
      </c>
      <c r="B175" s="338">
        <f>'Degrémont Entrée'!B175</f>
        <v>790</v>
      </c>
      <c r="C175" s="339">
        <v>8.8000000000000007</v>
      </c>
      <c r="D175" s="340">
        <v>88.2</v>
      </c>
      <c r="E175" s="341">
        <v>90.2</v>
      </c>
      <c r="F175" s="342">
        <v>100</v>
      </c>
      <c r="G175" s="329">
        <f t="shared" si="0"/>
        <v>20</v>
      </c>
      <c r="H175" s="338"/>
      <c r="I175" s="343">
        <v>1368</v>
      </c>
      <c r="J175" s="344">
        <f t="shared" si="2"/>
        <v>1080.72</v>
      </c>
      <c r="K175" s="343">
        <v>1</v>
      </c>
      <c r="L175" s="345">
        <v>0.81</v>
      </c>
      <c r="M175" s="346">
        <f t="shared" si="3"/>
        <v>0.81</v>
      </c>
      <c r="N175" s="338">
        <f t="shared" si="4"/>
        <v>0.63990000000000014</v>
      </c>
      <c r="O175" s="341">
        <v>39</v>
      </c>
      <c r="P175" s="347">
        <f t="shared" si="19"/>
        <v>30.81</v>
      </c>
      <c r="Q175" s="348"/>
      <c r="R175" s="369"/>
      <c r="S175" s="349">
        <f t="shared" si="20"/>
        <v>0</v>
      </c>
      <c r="T175" s="348"/>
      <c r="U175" s="369"/>
      <c r="V175" s="349">
        <f t="shared" si="5"/>
        <v>0</v>
      </c>
      <c r="W175" s="348"/>
      <c r="X175" s="318">
        <f t="shared" si="6"/>
        <v>39</v>
      </c>
      <c r="Y175" s="370">
        <f t="shared" si="7"/>
        <v>30.81</v>
      </c>
      <c r="Z175" s="343" t="s">
        <v>85</v>
      </c>
      <c r="AA175" s="345">
        <v>0.01</v>
      </c>
      <c r="AB175" s="352">
        <f t="shared" si="8"/>
        <v>3.9500000000000004E-3</v>
      </c>
      <c r="AC175" s="353"/>
      <c r="AD175" s="354"/>
      <c r="AE175" s="378" t="str">
        <f t="shared" si="21"/>
        <v/>
      </c>
      <c r="AF175" s="329"/>
      <c r="AG175" s="355">
        <v>0.42</v>
      </c>
      <c r="AH175" s="356">
        <f t="shared" si="22"/>
        <v>1.8832799999999998</v>
      </c>
      <c r="AI175" s="329"/>
      <c r="AJ175" s="345">
        <v>0.49</v>
      </c>
      <c r="AK175" s="356">
        <f t="shared" si="11"/>
        <v>0.38709999999999994</v>
      </c>
      <c r="AL175" s="357"/>
      <c r="AM175" s="355">
        <v>0.1</v>
      </c>
      <c r="AN175" s="356">
        <f t="shared" si="12"/>
        <v>7.9000000000000001E-2</v>
      </c>
      <c r="AO175" s="329"/>
      <c r="AP175" s="355">
        <v>0.24</v>
      </c>
      <c r="AQ175" s="359">
        <f t="shared" si="13"/>
        <v>0.18959999999999999</v>
      </c>
      <c r="AR175" s="360"/>
      <c r="AS175" s="355">
        <v>0.39</v>
      </c>
      <c r="AT175" s="356">
        <f t="shared" si="14"/>
        <v>0.30810000000000004</v>
      </c>
      <c r="AU175" s="345" t="s">
        <v>85</v>
      </c>
      <c r="AV175" s="355">
        <v>0.15</v>
      </c>
      <c r="AW175" s="359">
        <f t="shared" si="15"/>
        <v>5.9249999999999997E-2</v>
      </c>
      <c r="AX175" s="345" t="s">
        <v>85</v>
      </c>
      <c r="AY175" s="355">
        <v>0.13</v>
      </c>
      <c r="AZ175" s="359">
        <f t="shared" si="16"/>
        <v>5.135E-2</v>
      </c>
      <c r="BA175" s="329">
        <f>IF('Degrémont Entrée'!K175="",,('Degrémont Entrée'!K175-I175)/'Degrémont Entrée'!K175*100)</f>
        <v>44.971842316975057</v>
      </c>
      <c r="BB175" s="329">
        <f>IF('Degrémont Entrée'!G175="",,('Degrémont Entrée'!G175-G175)/'Degrémont Entrée'!G175*100)</f>
        <v>97.049180327868854</v>
      </c>
      <c r="BC175" s="329">
        <f>IF('Degrémont Entrée'!S175="",,('Degrémont Entrée'!S175-M175)/'Degrémont Entrée'!S175*100)</f>
        <v>96.625</v>
      </c>
      <c r="BD175" s="361" t="str">
        <f ca="1">IFERROR(__xludf.DUMMYFUNCTION("""COMPUTED_VALUE"""),"#DIV/0!")</f>
        <v>#DIV/0!</v>
      </c>
      <c r="BE175" s="362"/>
      <c r="BF175" s="363"/>
      <c r="BG175" s="363"/>
      <c r="BH175" s="338">
        <f t="shared" si="17"/>
        <v>0</v>
      </c>
      <c r="BI175" s="364"/>
      <c r="BJ175" s="365"/>
      <c r="BK175" s="366">
        <f>'Degrémont Entrée'!BH175</f>
        <v>0</v>
      </c>
      <c r="BL175" s="367" t="str">
        <f>'Degrémont Entrée'!BI175</f>
        <v>Nouveau programme dans le panel</v>
      </c>
    </row>
    <row r="176" spans="1:64" ht="14.25" outlineLevel="1">
      <c r="A176" s="337">
        <f t="shared" si="18"/>
        <v>43628</v>
      </c>
      <c r="B176" s="338">
        <f>'Degrémont Entrée'!B176</f>
        <v>832</v>
      </c>
      <c r="C176" s="339">
        <v>8.5</v>
      </c>
      <c r="D176" s="340">
        <v>91.3</v>
      </c>
      <c r="E176" s="341">
        <v>94.4</v>
      </c>
      <c r="F176" s="342">
        <v>200</v>
      </c>
      <c r="G176" s="329">
        <f t="shared" si="0"/>
        <v>15.500000000000043</v>
      </c>
      <c r="H176" s="338"/>
      <c r="I176" s="343">
        <v>985</v>
      </c>
      <c r="J176" s="344">
        <f t="shared" si="2"/>
        <v>819.52</v>
      </c>
      <c r="K176" s="343">
        <v>1</v>
      </c>
      <c r="L176" s="345">
        <v>0.65</v>
      </c>
      <c r="M176" s="346">
        <f t="shared" si="3"/>
        <v>0.65</v>
      </c>
      <c r="N176" s="338">
        <f t="shared" si="4"/>
        <v>0.54080000000000006</v>
      </c>
      <c r="O176" s="368"/>
      <c r="P176" s="347">
        <f t="shared" si="19"/>
        <v>0</v>
      </c>
      <c r="Q176" s="348"/>
      <c r="R176" s="369"/>
      <c r="S176" s="349">
        <f t="shared" si="20"/>
        <v>0</v>
      </c>
      <c r="T176" s="348"/>
      <c r="U176" s="369"/>
      <c r="V176" s="349">
        <f t="shared" si="5"/>
        <v>0</v>
      </c>
      <c r="W176" s="348"/>
      <c r="X176" s="318" t="str">
        <f t="shared" si="6"/>
        <v/>
      </c>
      <c r="Y176" s="370" t="e">
        <f t="shared" si="7"/>
        <v>#VALUE!</v>
      </c>
      <c r="Z176" s="343" t="s">
        <v>85</v>
      </c>
      <c r="AA176" s="345">
        <v>0.01</v>
      </c>
      <c r="AB176" s="352">
        <f t="shared" si="8"/>
        <v>4.1600000000000005E-3</v>
      </c>
      <c r="AC176" s="353"/>
      <c r="AD176" s="354"/>
      <c r="AE176" s="378" t="str">
        <f t="shared" si="21"/>
        <v/>
      </c>
      <c r="AF176" s="329"/>
      <c r="AG176" s="358"/>
      <c r="AH176" s="356" t="str">
        <f t="shared" si="22"/>
        <v/>
      </c>
      <c r="AI176" s="329"/>
      <c r="AJ176" s="329"/>
      <c r="AK176" s="356">
        <f t="shared" si="11"/>
        <v>0</v>
      </c>
      <c r="AL176" s="357"/>
      <c r="AM176" s="358"/>
      <c r="AN176" s="356">
        <f t="shared" si="12"/>
        <v>0</v>
      </c>
      <c r="AO176" s="329"/>
      <c r="AP176" s="358"/>
      <c r="AQ176" s="359">
        <f t="shared" si="13"/>
        <v>0</v>
      </c>
      <c r="AR176" s="360"/>
      <c r="AS176" s="358"/>
      <c r="AT176" s="356">
        <f t="shared" si="14"/>
        <v>0</v>
      </c>
      <c r="AU176" s="329"/>
      <c r="AV176" s="358"/>
      <c r="AW176" s="359">
        <f t="shared" si="15"/>
        <v>0</v>
      </c>
      <c r="AX176" s="329"/>
      <c r="AY176" s="358"/>
      <c r="AZ176" s="359">
        <f t="shared" si="16"/>
        <v>0</v>
      </c>
      <c r="BA176" s="329">
        <f>IF('Degrémont Entrée'!K176="",,('Degrémont Entrée'!K176-I176)/'Degrémont Entrée'!K176*100)</f>
        <v>45.338512763596007</v>
      </c>
      <c r="BB176" s="329">
        <f>IF('Degrémont Entrée'!G176="",,('Degrémont Entrée'!G176-G176)/'Degrémont Entrée'!G176*100)</f>
        <v>97.111363636363635</v>
      </c>
      <c r="BC176" s="329">
        <f>IF('Degrémont Entrée'!S176="",,('Degrémont Entrée'!S176-M176)/'Degrémont Entrée'!S176*100)</f>
        <v>96.578947368421069</v>
      </c>
      <c r="BD176" s="361" t="str">
        <f ca="1">IFERROR(__xludf.DUMMYFUNCTION("""COMPUTED_VALUE"""),"#DIV/0!")</f>
        <v>#DIV/0!</v>
      </c>
      <c r="BE176" s="362"/>
      <c r="BF176" s="363"/>
      <c r="BG176" s="363"/>
      <c r="BH176" s="338">
        <f t="shared" si="17"/>
        <v>0</v>
      </c>
      <c r="BI176" s="364"/>
      <c r="BJ176" s="365"/>
      <c r="BK176" s="371">
        <f>'Degrémont Entrée'!BH176</f>
        <v>0</v>
      </c>
      <c r="BL176" s="372">
        <f>'Degrémont Entrée'!BI176</f>
        <v>0</v>
      </c>
    </row>
    <row r="177" spans="1:64" ht="15.75" customHeight="1" outlineLevel="1">
      <c r="A177" s="337">
        <f t="shared" si="18"/>
        <v>43629</v>
      </c>
      <c r="B177" s="338">
        <f>'Degrémont Entrée'!B177</f>
        <v>978</v>
      </c>
      <c r="C177" s="339">
        <v>8.3000000000000007</v>
      </c>
      <c r="D177" s="340">
        <v>90.1</v>
      </c>
      <c r="E177" s="341">
        <v>96.1</v>
      </c>
      <c r="F177" s="342">
        <v>200</v>
      </c>
      <c r="G177" s="329">
        <f t="shared" si="0"/>
        <v>30</v>
      </c>
      <c r="H177" s="338"/>
      <c r="I177" s="343">
        <v>529</v>
      </c>
      <c r="J177" s="344">
        <f t="shared" si="2"/>
        <v>517.36199999999997</v>
      </c>
      <c r="K177" s="343">
        <v>1</v>
      </c>
      <c r="L177" s="345">
        <v>0.98</v>
      </c>
      <c r="M177" s="346">
        <f t="shared" si="3"/>
        <v>0.98</v>
      </c>
      <c r="N177" s="338">
        <f t="shared" si="4"/>
        <v>0.95843999999999996</v>
      </c>
      <c r="O177" s="368"/>
      <c r="P177" s="347">
        <f t="shared" si="19"/>
        <v>0</v>
      </c>
      <c r="Q177" s="348"/>
      <c r="R177" s="369"/>
      <c r="S177" s="349">
        <f t="shared" si="20"/>
        <v>0</v>
      </c>
      <c r="T177" s="348"/>
      <c r="U177" s="369"/>
      <c r="V177" s="349">
        <f t="shared" si="5"/>
        <v>0</v>
      </c>
      <c r="W177" s="348"/>
      <c r="X177" s="318" t="str">
        <f t="shared" si="6"/>
        <v/>
      </c>
      <c r="Y177" s="370" t="e">
        <f t="shared" si="7"/>
        <v>#VALUE!</v>
      </c>
      <c r="Z177" s="343" t="s">
        <v>85</v>
      </c>
      <c r="AA177" s="345">
        <v>0.01</v>
      </c>
      <c r="AB177" s="352">
        <f t="shared" si="8"/>
        <v>4.8899999999999994E-3</v>
      </c>
      <c r="AC177" s="353"/>
      <c r="AD177" s="354"/>
      <c r="AE177" s="378" t="str">
        <f t="shared" si="21"/>
        <v/>
      </c>
      <c r="AF177" s="329"/>
      <c r="AG177" s="358"/>
      <c r="AH177" s="356" t="str">
        <f t="shared" si="22"/>
        <v/>
      </c>
      <c r="AI177" s="329"/>
      <c r="AJ177" s="329"/>
      <c r="AK177" s="356">
        <f t="shared" si="11"/>
        <v>0</v>
      </c>
      <c r="AL177" s="357"/>
      <c r="AM177" s="358"/>
      <c r="AN177" s="356">
        <f t="shared" si="12"/>
        <v>0</v>
      </c>
      <c r="AO177" s="329"/>
      <c r="AP177" s="358"/>
      <c r="AQ177" s="359">
        <f t="shared" si="13"/>
        <v>0</v>
      </c>
      <c r="AR177" s="360"/>
      <c r="AS177" s="358"/>
      <c r="AT177" s="356">
        <f t="shared" si="14"/>
        <v>0</v>
      </c>
      <c r="AU177" s="329"/>
      <c r="AV177" s="358"/>
      <c r="AW177" s="359">
        <f t="shared" si="15"/>
        <v>0</v>
      </c>
      <c r="AX177" s="329"/>
      <c r="AY177" s="358"/>
      <c r="AZ177" s="359">
        <f t="shared" si="16"/>
        <v>0</v>
      </c>
      <c r="BA177" s="329">
        <f>IF('Degrémont Entrée'!K177="",,('Degrémont Entrée'!K177-I177)/'Degrémont Entrée'!K177*100)</f>
        <v>84.825014343086636</v>
      </c>
      <c r="BB177" s="329">
        <f>IF('Degrémont Entrée'!G177="",,('Degrémont Entrée'!G177-G177)/'Degrémont Entrée'!G177*100)</f>
        <v>99.004484304932731</v>
      </c>
      <c r="BC177" s="329">
        <f>IF('Degrémont Entrée'!S177="",,('Degrémont Entrée'!S177-M177)/'Degrémont Entrée'!S177*100)</f>
        <v>98.456692913385837</v>
      </c>
      <c r="BD177" s="361" t="str">
        <f ca="1">IFERROR(__xludf.DUMMYFUNCTION("""COMPUTED_VALUE"""),"#DIV/0!")</f>
        <v>#DIV/0!</v>
      </c>
      <c r="BE177" s="362"/>
      <c r="BF177" s="363"/>
      <c r="BG177" s="363"/>
      <c r="BH177" s="338">
        <f t="shared" si="17"/>
        <v>0</v>
      </c>
      <c r="BI177" s="364"/>
      <c r="BJ177" s="365"/>
      <c r="BK177" s="366">
        <f>'Degrémont Entrée'!BH177</f>
        <v>0</v>
      </c>
      <c r="BL177" s="367">
        <f>'Degrémont Entrée'!BI177</f>
        <v>0</v>
      </c>
    </row>
    <row r="178" spans="1:64" ht="14.25" outlineLevel="1">
      <c r="A178" s="337">
        <f t="shared" si="18"/>
        <v>43630</v>
      </c>
      <c r="B178" s="338">
        <f>'Degrémont Entrée'!B178</f>
        <v>943</v>
      </c>
      <c r="C178" s="339">
        <v>8</v>
      </c>
      <c r="D178" s="340">
        <v>89.7</v>
      </c>
      <c r="E178" s="341">
        <v>95.2</v>
      </c>
      <c r="F178" s="342">
        <v>200</v>
      </c>
      <c r="G178" s="329">
        <f t="shared" si="0"/>
        <v>27.5</v>
      </c>
      <c r="H178" s="338"/>
      <c r="I178" s="343">
        <v>353</v>
      </c>
      <c r="J178" s="344">
        <f t="shared" si="2"/>
        <v>332.87900000000002</v>
      </c>
      <c r="K178" s="343">
        <v>1</v>
      </c>
      <c r="L178" s="345">
        <v>1.0900000000000001</v>
      </c>
      <c r="M178" s="346">
        <f t="shared" si="3"/>
        <v>1.0900000000000001</v>
      </c>
      <c r="N178" s="338">
        <f t="shared" si="4"/>
        <v>1.0278700000000001</v>
      </c>
      <c r="O178" s="368"/>
      <c r="P178" s="347">
        <f t="shared" si="19"/>
        <v>0</v>
      </c>
      <c r="Q178" s="348"/>
      <c r="R178" s="369"/>
      <c r="S178" s="349">
        <f t="shared" si="20"/>
        <v>0</v>
      </c>
      <c r="T178" s="348"/>
      <c r="U178" s="369"/>
      <c r="V178" s="349">
        <f t="shared" si="5"/>
        <v>0</v>
      </c>
      <c r="W178" s="348"/>
      <c r="X178" s="318" t="str">
        <f t="shared" si="6"/>
        <v/>
      </c>
      <c r="Y178" s="370" t="e">
        <f t="shared" si="7"/>
        <v>#VALUE!</v>
      </c>
      <c r="Z178" s="343" t="s">
        <v>85</v>
      </c>
      <c r="AA178" s="345">
        <v>0.01</v>
      </c>
      <c r="AB178" s="352">
        <f t="shared" si="8"/>
        <v>4.7149999999999996E-3</v>
      </c>
      <c r="AC178" s="353"/>
      <c r="AD178" s="354"/>
      <c r="AE178" s="378" t="str">
        <f t="shared" si="21"/>
        <v/>
      </c>
      <c r="AF178" s="329"/>
      <c r="AG178" s="358"/>
      <c r="AH178" s="356" t="str">
        <f t="shared" si="22"/>
        <v/>
      </c>
      <c r="AI178" s="329"/>
      <c r="AJ178" s="329"/>
      <c r="AK178" s="356">
        <f t="shared" si="11"/>
        <v>0</v>
      </c>
      <c r="AL178" s="357"/>
      <c r="AM178" s="358"/>
      <c r="AN178" s="356">
        <f t="shared" si="12"/>
        <v>0</v>
      </c>
      <c r="AO178" s="329"/>
      <c r="AP178" s="358"/>
      <c r="AQ178" s="359">
        <f t="shared" si="13"/>
        <v>0</v>
      </c>
      <c r="AR178" s="360"/>
      <c r="AS178" s="358"/>
      <c r="AT178" s="356">
        <f t="shared" si="14"/>
        <v>0</v>
      </c>
      <c r="AU178" s="329"/>
      <c r="AV178" s="358"/>
      <c r="AW178" s="359">
        <f t="shared" si="15"/>
        <v>0</v>
      </c>
      <c r="AX178" s="329"/>
      <c r="AY178" s="358"/>
      <c r="AZ178" s="359">
        <f t="shared" si="16"/>
        <v>0</v>
      </c>
      <c r="BA178" s="329">
        <f>IF('Degrémont Entrée'!K178="",,('Degrémont Entrée'!K178-I178)/'Degrémont Entrée'!K178*100)</f>
        <v>91.815441687920242</v>
      </c>
      <c r="BB178" s="329">
        <f>IF('Degrémont Entrée'!G178="",,('Degrémont Entrée'!G178-G178)/'Degrémont Entrée'!G178*100)</f>
        <v>99.342427958307795</v>
      </c>
      <c r="BC178" s="329">
        <f>IF('Degrémont Entrée'!S178="",,('Degrémont Entrée'!S178-M178)/'Degrémont Entrée'!S178*100)</f>
        <v>99.33536585365853</v>
      </c>
      <c r="BD178" s="361" t="str">
        <f ca="1">IFERROR(__xludf.DUMMYFUNCTION("""COMPUTED_VALUE"""),"#DIV/0!")</f>
        <v>#DIV/0!</v>
      </c>
      <c r="BE178" s="386">
        <v>21.853899999999999</v>
      </c>
      <c r="BF178" s="387">
        <v>40.770699999999998</v>
      </c>
      <c r="BG178" s="387">
        <v>33.185000000000002</v>
      </c>
      <c r="BH178" s="338">
        <f t="shared" si="17"/>
        <v>59.899665905438574</v>
      </c>
      <c r="BI178" s="364"/>
      <c r="BJ178" s="365"/>
      <c r="BK178" s="371">
        <f>'Degrémont Entrée'!BH178</f>
        <v>0</v>
      </c>
      <c r="BL178" s="372">
        <f>'Degrémont Entrée'!BI178</f>
        <v>0</v>
      </c>
    </row>
    <row r="179" spans="1:64" ht="15.75" customHeight="1" outlineLevel="1">
      <c r="A179" s="337">
        <f t="shared" si="18"/>
        <v>43631</v>
      </c>
      <c r="B179" s="338">
        <f>'Degrémont Entrée'!B179</f>
        <v>936</v>
      </c>
      <c r="C179" s="339">
        <v>8.1999999999999993</v>
      </c>
      <c r="D179" s="340">
        <v>90</v>
      </c>
      <c r="E179" s="341">
        <v>100</v>
      </c>
      <c r="F179" s="342">
        <v>200</v>
      </c>
      <c r="G179" s="329">
        <f t="shared" si="0"/>
        <v>50</v>
      </c>
      <c r="H179" s="338"/>
      <c r="I179" s="343">
        <v>1237</v>
      </c>
      <c r="J179" s="344">
        <f t="shared" si="2"/>
        <v>1157.8320000000001</v>
      </c>
      <c r="K179" s="343">
        <v>1</v>
      </c>
      <c r="L179" s="345">
        <v>1.18</v>
      </c>
      <c r="M179" s="346">
        <f t="shared" si="3"/>
        <v>1.18</v>
      </c>
      <c r="N179" s="338">
        <f t="shared" si="4"/>
        <v>1.1044800000000001</v>
      </c>
      <c r="O179" s="368"/>
      <c r="P179" s="347">
        <f t="shared" si="19"/>
        <v>0</v>
      </c>
      <c r="Q179" s="348"/>
      <c r="R179" s="369"/>
      <c r="S179" s="349">
        <f t="shared" si="20"/>
        <v>0</v>
      </c>
      <c r="T179" s="348"/>
      <c r="U179" s="369"/>
      <c r="V179" s="349">
        <f t="shared" si="5"/>
        <v>0</v>
      </c>
      <c r="W179" s="348"/>
      <c r="X179" s="318" t="str">
        <f t="shared" si="6"/>
        <v/>
      </c>
      <c r="Y179" s="370" t="e">
        <f t="shared" si="7"/>
        <v>#VALUE!</v>
      </c>
      <c r="Z179" s="343" t="s">
        <v>85</v>
      </c>
      <c r="AA179" s="345">
        <v>0.01</v>
      </c>
      <c r="AB179" s="352">
        <f t="shared" si="8"/>
        <v>4.6800000000000001E-3</v>
      </c>
      <c r="AC179" s="353"/>
      <c r="AD179" s="354"/>
      <c r="AE179" s="378" t="str">
        <f t="shared" si="21"/>
        <v/>
      </c>
      <c r="AF179" s="329"/>
      <c r="AG179" s="358"/>
      <c r="AH179" s="356" t="str">
        <f t="shared" si="22"/>
        <v/>
      </c>
      <c r="AI179" s="329"/>
      <c r="AJ179" s="329"/>
      <c r="AK179" s="356">
        <f t="shared" si="11"/>
        <v>0</v>
      </c>
      <c r="AL179" s="357"/>
      <c r="AM179" s="358"/>
      <c r="AN179" s="356">
        <f t="shared" si="12"/>
        <v>0</v>
      </c>
      <c r="AO179" s="329"/>
      <c r="AP179" s="358"/>
      <c r="AQ179" s="359">
        <f t="shared" si="13"/>
        <v>0</v>
      </c>
      <c r="AR179" s="360"/>
      <c r="AS179" s="358"/>
      <c r="AT179" s="356">
        <f t="shared" si="14"/>
        <v>0</v>
      </c>
      <c r="AU179" s="329"/>
      <c r="AV179" s="358"/>
      <c r="AW179" s="359">
        <f t="shared" si="15"/>
        <v>0</v>
      </c>
      <c r="AX179" s="329"/>
      <c r="AY179" s="358"/>
      <c r="AZ179" s="359">
        <f t="shared" si="16"/>
        <v>0</v>
      </c>
      <c r="BA179" s="329">
        <f>IF('Degrémont Entrée'!K179="",,('Degrémont Entrée'!K179-I179)/'Degrémont Entrée'!K179*100)</f>
        <v>73.680851063829792</v>
      </c>
      <c r="BB179" s="329">
        <f>IF('Degrémont Entrée'!G179="",,('Degrémont Entrée'!G179-G179)/'Degrémont Entrée'!G179*100)</f>
        <v>98.701690821256037</v>
      </c>
      <c r="BC179" s="329">
        <f>IF('Degrémont Entrée'!S179="",,('Degrémont Entrée'!S179-M179)/'Degrémont Entrée'!S179*100)</f>
        <v>99.092307692307685</v>
      </c>
      <c r="BD179" s="361" t="str">
        <f ca="1">IFERROR(__xludf.DUMMYFUNCTION("""COMPUTED_VALUE"""),"#DIV/0!")</f>
        <v>#DIV/0!</v>
      </c>
      <c r="BE179" s="362"/>
      <c r="BF179" s="363"/>
      <c r="BG179" s="363"/>
      <c r="BH179" s="338">
        <f t="shared" si="17"/>
        <v>0</v>
      </c>
      <c r="BI179" s="364"/>
      <c r="BJ179" s="365"/>
      <c r="BK179" s="366">
        <f>'Degrémont Entrée'!BH179</f>
        <v>0</v>
      </c>
      <c r="BL179" s="367">
        <f>'Degrémont Entrée'!BI179</f>
        <v>0</v>
      </c>
    </row>
    <row r="180" spans="1:64" ht="14.25" outlineLevel="1">
      <c r="A180" s="337">
        <f t="shared" si="18"/>
        <v>43632</v>
      </c>
      <c r="B180" s="338">
        <f>'Degrémont Entrée'!B180</f>
        <v>0</v>
      </c>
      <c r="C180" s="338"/>
      <c r="D180" s="388"/>
      <c r="E180" s="368"/>
      <c r="F180" s="357"/>
      <c r="G180" s="329">
        <f t="shared" si="0"/>
        <v>0</v>
      </c>
      <c r="H180" s="338"/>
      <c r="I180" s="346"/>
      <c r="J180" s="344">
        <f t="shared" si="2"/>
        <v>0</v>
      </c>
      <c r="K180" s="343">
        <v>1</v>
      </c>
      <c r="L180" s="329"/>
      <c r="M180" s="346" t="str">
        <f t="shared" si="3"/>
        <v/>
      </c>
      <c r="N180" s="338" t="e">
        <f t="shared" si="4"/>
        <v>#VALUE!</v>
      </c>
      <c r="O180" s="368"/>
      <c r="P180" s="347">
        <f t="shared" si="19"/>
        <v>0</v>
      </c>
      <c r="Q180" s="348"/>
      <c r="R180" s="369"/>
      <c r="S180" s="349">
        <f t="shared" si="20"/>
        <v>0</v>
      </c>
      <c r="T180" s="348"/>
      <c r="U180" s="369"/>
      <c r="V180" s="349">
        <f t="shared" si="5"/>
        <v>0</v>
      </c>
      <c r="W180" s="348"/>
      <c r="X180" s="318" t="str">
        <f t="shared" si="6"/>
        <v/>
      </c>
      <c r="Y180" s="370" t="e">
        <f t="shared" si="7"/>
        <v>#VALUE!</v>
      </c>
      <c r="Z180" s="346"/>
      <c r="AA180" s="329"/>
      <c r="AB180" s="352">
        <f t="shared" si="8"/>
        <v>0</v>
      </c>
      <c r="AC180" s="353"/>
      <c r="AD180" s="354"/>
      <c r="AE180" s="378" t="str">
        <f t="shared" si="21"/>
        <v/>
      </c>
      <c r="AF180" s="329"/>
      <c r="AG180" s="358"/>
      <c r="AH180" s="356" t="str">
        <f t="shared" si="22"/>
        <v/>
      </c>
      <c r="AI180" s="329"/>
      <c r="AJ180" s="329"/>
      <c r="AK180" s="356">
        <f t="shared" si="11"/>
        <v>0</v>
      </c>
      <c r="AL180" s="357"/>
      <c r="AM180" s="358"/>
      <c r="AN180" s="356">
        <f t="shared" si="12"/>
        <v>0</v>
      </c>
      <c r="AO180" s="329"/>
      <c r="AP180" s="358"/>
      <c r="AQ180" s="359">
        <f t="shared" si="13"/>
        <v>0</v>
      </c>
      <c r="AR180" s="360"/>
      <c r="AS180" s="358"/>
      <c r="AT180" s="356">
        <f t="shared" si="14"/>
        <v>0</v>
      </c>
      <c r="AU180" s="329"/>
      <c r="AV180" s="358"/>
      <c r="AW180" s="359">
        <f t="shared" si="15"/>
        <v>0</v>
      </c>
      <c r="AX180" s="329"/>
      <c r="AY180" s="358"/>
      <c r="AZ180" s="359">
        <f t="shared" si="16"/>
        <v>0</v>
      </c>
      <c r="BA180" s="329" t="e">
        <f>IF('Degrémont Entrée'!K180="",,('Degrémont Entrée'!K180-I180)/'Degrémont Entrée'!K180*100)</f>
        <v>#DIV/0!</v>
      </c>
      <c r="BB180" s="329" t="e">
        <f>IF('Degrémont Entrée'!G180="",,('Degrémont Entrée'!G180-G180)/'Degrémont Entrée'!G180*100)</f>
        <v>#DIV/0!</v>
      </c>
      <c r="BC180" s="329">
        <f>IF('Degrémont Entrée'!S180="",,('Degrémont Entrée'!S180-M180)/'Degrémont Entrée'!S180*100)</f>
        <v>0</v>
      </c>
      <c r="BD180" s="361" t="str">
        <f ca="1">IFERROR(__xludf.DUMMYFUNCTION("""COMPUTED_VALUE"""),"#DIV/0!")</f>
        <v>#DIV/0!</v>
      </c>
      <c r="BE180" s="362"/>
      <c r="BF180" s="363"/>
      <c r="BG180" s="363"/>
      <c r="BH180" s="338">
        <f t="shared" si="17"/>
        <v>0</v>
      </c>
      <c r="BI180" s="364"/>
      <c r="BJ180" s="365"/>
      <c r="BK180" s="371">
        <f>'Degrémont Entrée'!BH180</f>
        <v>0</v>
      </c>
      <c r="BL180" s="372">
        <f>'Degrémont Entrée'!BI180</f>
        <v>0</v>
      </c>
    </row>
    <row r="181" spans="1:64" ht="15.75" customHeight="1" outlineLevel="1">
      <c r="A181" s="337">
        <f t="shared" si="18"/>
        <v>43633</v>
      </c>
      <c r="B181" s="338">
        <f>'Degrémont Entrée'!B181</f>
        <v>977</v>
      </c>
      <c r="C181" s="339">
        <v>8.5</v>
      </c>
      <c r="D181" s="340">
        <v>89.2</v>
      </c>
      <c r="E181" s="341">
        <v>91.5</v>
      </c>
      <c r="F181" s="342">
        <v>100</v>
      </c>
      <c r="G181" s="329">
        <f t="shared" si="0"/>
        <v>22.999999999999972</v>
      </c>
      <c r="H181" s="338"/>
      <c r="I181" s="343">
        <v>910</v>
      </c>
      <c r="J181" s="344">
        <f t="shared" si="2"/>
        <v>889.07</v>
      </c>
      <c r="K181" s="343">
        <v>1</v>
      </c>
      <c r="L181" s="345">
        <v>2.17</v>
      </c>
      <c r="M181" s="346">
        <f t="shared" si="3"/>
        <v>2.17</v>
      </c>
      <c r="N181" s="338">
        <f t="shared" si="4"/>
        <v>2.1200900000000003</v>
      </c>
      <c r="O181" s="368"/>
      <c r="P181" s="347">
        <f t="shared" si="19"/>
        <v>0</v>
      </c>
      <c r="Q181" s="348"/>
      <c r="R181" s="369"/>
      <c r="S181" s="349">
        <f t="shared" si="20"/>
        <v>0</v>
      </c>
      <c r="T181" s="348"/>
      <c r="U181" s="369"/>
      <c r="V181" s="349">
        <f t="shared" si="5"/>
        <v>0</v>
      </c>
      <c r="W181" s="348"/>
      <c r="X181" s="318" t="str">
        <f t="shared" si="6"/>
        <v/>
      </c>
      <c r="Y181" s="370" t="e">
        <f t="shared" si="7"/>
        <v>#VALUE!</v>
      </c>
      <c r="Z181" s="343" t="s">
        <v>85</v>
      </c>
      <c r="AA181" s="345">
        <v>0.01</v>
      </c>
      <c r="AB181" s="352">
        <f t="shared" si="8"/>
        <v>4.8849999999999996E-3</v>
      </c>
      <c r="AC181" s="353"/>
      <c r="AD181" s="354"/>
      <c r="AE181" s="378" t="str">
        <f t="shared" si="21"/>
        <v/>
      </c>
      <c r="AF181" s="329"/>
      <c r="AG181" s="355">
        <v>0.47</v>
      </c>
      <c r="AH181" s="356">
        <f t="shared" si="22"/>
        <v>2.5643199999999999</v>
      </c>
      <c r="AI181" s="329"/>
      <c r="AJ181" s="329"/>
      <c r="AK181" s="356">
        <f t="shared" si="11"/>
        <v>0</v>
      </c>
      <c r="AL181" s="357"/>
      <c r="AM181" s="358"/>
      <c r="AN181" s="356">
        <f t="shared" si="12"/>
        <v>0</v>
      </c>
      <c r="AO181" s="329"/>
      <c r="AP181" s="358"/>
      <c r="AQ181" s="359">
        <f t="shared" si="13"/>
        <v>0</v>
      </c>
      <c r="AR181" s="360"/>
      <c r="AS181" s="358"/>
      <c r="AT181" s="356">
        <f t="shared" si="14"/>
        <v>0</v>
      </c>
      <c r="AU181" s="329"/>
      <c r="AV181" s="358"/>
      <c r="AW181" s="359">
        <f t="shared" si="15"/>
        <v>0</v>
      </c>
      <c r="AX181" s="329"/>
      <c r="AY181" s="358"/>
      <c r="AZ181" s="359">
        <f t="shared" si="16"/>
        <v>0</v>
      </c>
      <c r="BA181" s="329">
        <f>IF('Degrémont Entrée'!K181="",,('Degrémont Entrée'!K181-I181)/'Degrémont Entrée'!K181*100)</f>
        <v>46.185688941454764</v>
      </c>
      <c r="BB181" s="329">
        <f>IF('Degrémont Entrée'!G181="",,('Degrémont Entrée'!G181-G181)/'Degrémont Entrée'!G181*100)</f>
        <v>96.82236842105263</v>
      </c>
      <c r="BC181" s="329">
        <f>IF('Degrémont Entrée'!S181="",,('Degrémont Entrée'!S181-M181)/'Degrémont Entrée'!S181*100)</f>
        <v>85.533333333333346</v>
      </c>
      <c r="BD181" s="361" t="str">
        <f ca="1">IFERROR(__xludf.DUMMYFUNCTION("""COMPUTED_VALUE"""),"#DIV/0!")</f>
        <v>#DIV/0!</v>
      </c>
      <c r="BE181" s="362"/>
      <c r="BF181" s="363"/>
      <c r="BG181" s="363"/>
      <c r="BH181" s="338">
        <f t="shared" si="17"/>
        <v>0</v>
      </c>
      <c r="BI181" s="364"/>
      <c r="BJ181" s="365"/>
      <c r="BK181" s="366">
        <f>'Degrémont Entrée'!BH181</f>
        <v>0</v>
      </c>
      <c r="BL181" s="367">
        <f>'Degrémont Entrée'!BI181</f>
        <v>0</v>
      </c>
    </row>
    <row r="182" spans="1:64" ht="14.25" outlineLevel="1">
      <c r="A182" s="337">
        <f t="shared" si="18"/>
        <v>43634</v>
      </c>
      <c r="B182" s="338">
        <f>'Degrémont Entrée'!B182</f>
        <v>1148</v>
      </c>
      <c r="C182" s="339">
        <v>8.4</v>
      </c>
      <c r="D182" s="340">
        <v>89</v>
      </c>
      <c r="E182" s="341">
        <v>91.8</v>
      </c>
      <c r="F182" s="342">
        <v>200</v>
      </c>
      <c r="G182" s="329">
        <f t="shared" si="0"/>
        <v>13.999999999999986</v>
      </c>
      <c r="H182" s="338"/>
      <c r="I182" s="343">
        <v>489</v>
      </c>
      <c r="J182" s="344">
        <f t="shared" si="2"/>
        <v>561.37199999999996</v>
      </c>
      <c r="K182" s="343">
        <v>1</v>
      </c>
      <c r="L182" s="345">
        <v>0.76</v>
      </c>
      <c r="M182" s="346">
        <f t="shared" si="3"/>
        <v>0.76</v>
      </c>
      <c r="N182" s="338">
        <f t="shared" si="4"/>
        <v>0.87248000000000003</v>
      </c>
      <c r="O182" s="341">
        <v>26.8</v>
      </c>
      <c r="P182" s="347">
        <f t="shared" si="19"/>
        <v>30.766400000000001</v>
      </c>
      <c r="Q182" s="348"/>
      <c r="R182" s="369"/>
      <c r="S182" s="349">
        <f t="shared" si="20"/>
        <v>0</v>
      </c>
      <c r="T182" s="348"/>
      <c r="U182" s="369"/>
      <c r="V182" s="349">
        <f t="shared" si="5"/>
        <v>0</v>
      </c>
      <c r="W182" s="348"/>
      <c r="X182" s="318">
        <f t="shared" si="6"/>
        <v>26.8</v>
      </c>
      <c r="Y182" s="370">
        <f t="shared" si="7"/>
        <v>30.766400000000001</v>
      </c>
      <c r="Z182" s="346"/>
      <c r="AA182" s="345">
        <v>0.01</v>
      </c>
      <c r="AB182" s="352">
        <f t="shared" si="8"/>
        <v>1.1480000000000001E-2</v>
      </c>
      <c r="AC182" s="353"/>
      <c r="AD182" s="354"/>
      <c r="AE182" s="378" t="str">
        <f t="shared" si="21"/>
        <v/>
      </c>
      <c r="AF182" s="329"/>
      <c r="AG182" s="355">
        <v>0.4</v>
      </c>
      <c r="AH182" s="356">
        <f t="shared" si="22"/>
        <v>2.3256000000000001</v>
      </c>
      <c r="AI182" s="329"/>
      <c r="AJ182" s="345">
        <v>0.25</v>
      </c>
      <c r="AK182" s="356">
        <f t="shared" si="11"/>
        <v>0.28699999999999998</v>
      </c>
      <c r="AL182" s="357"/>
      <c r="AM182" s="355">
        <v>0.12</v>
      </c>
      <c r="AN182" s="356">
        <f t="shared" si="12"/>
        <v>0.13775999999999999</v>
      </c>
      <c r="AO182" s="329"/>
      <c r="AP182" s="355">
        <v>0.14000000000000001</v>
      </c>
      <c r="AQ182" s="359">
        <f t="shared" si="13"/>
        <v>0.16072000000000003</v>
      </c>
      <c r="AR182" s="360"/>
      <c r="AS182" s="355">
        <v>0.38</v>
      </c>
      <c r="AT182" s="356">
        <f t="shared" si="14"/>
        <v>0.43624000000000002</v>
      </c>
      <c r="AU182" s="345" t="s">
        <v>85</v>
      </c>
      <c r="AV182" s="355">
        <v>0.15</v>
      </c>
      <c r="AW182" s="359">
        <f t="shared" si="15"/>
        <v>8.6099999999999996E-2</v>
      </c>
      <c r="AX182" s="345" t="s">
        <v>85</v>
      </c>
      <c r="AY182" s="355">
        <v>0.13</v>
      </c>
      <c r="AZ182" s="359">
        <f t="shared" si="16"/>
        <v>7.4620000000000006E-2</v>
      </c>
      <c r="BA182" s="329">
        <f>IF('Degrémont Entrée'!K182="",,('Degrémont Entrée'!K182-I182)/'Degrémont Entrée'!K182*100)</f>
        <v>53.867924528301891</v>
      </c>
      <c r="BB182" s="329">
        <f>IF('Degrémont Entrée'!G182="",,('Degrémont Entrée'!G182-G182)/'Degrémont Entrée'!G182*100)</f>
        <v>96.568627450980387</v>
      </c>
      <c r="BC182" s="329">
        <f>IF('Degrémont Entrée'!S182="",,('Degrémont Entrée'!S182-M182)/'Degrémont Entrée'!S182*100)</f>
        <v>95.913978494623649</v>
      </c>
      <c r="BD182" s="361" t="str">
        <f ca="1">IFERROR(__xludf.DUMMYFUNCTION("""COMPUTED_VALUE"""),"#DIV/0!")</f>
        <v>#DIV/0!</v>
      </c>
      <c r="BE182" s="362"/>
      <c r="BF182" s="363"/>
      <c r="BG182" s="363"/>
      <c r="BH182" s="338">
        <f t="shared" si="17"/>
        <v>0</v>
      </c>
      <c r="BI182" s="364"/>
      <c r="BJ182" s="365"/>
      <c r="BK182" s="371">
        <f>'Degrémont Entrée'!BH182</f>
        <v>0</v>
      </c>
      <c r="BL182" s="372">
        <f>'Degrémont Entrée'!BI182</f>
        <v>0</v>
      </c>
    </row>
    <row r="183" spans="1:64" ht="15.75" customHeight="1" outlineLevel="1">
      <c r="A183" s="337">
        <f t="shared" si="18"/>
        <v>43635</v>
      </c>
      <c r="B183" s="338">
        <f>'Degrémont Entrée'!B183</f>
        <v>1238</v>
      </c>
      <c r="C183" s="339">
        <v>8.6</v>
      </c>
      <c r="D183" s="340">
        <v>88.5</v>
      </c>
      <c r="E183" s="341">
        <v>90.8</v>
      </c>
      <c r="F183" s="342">
        <v>200</v>
      </c>
      <c r="G183" s="329">
        <f t="shared" si="0"/>
        <v>11.499999999999986</v>
      </c>
      <c r="H183" s="338"/>
      <c r="I183" s="343">
        <v>609</v>
      </c>
      <c r="J183" s="344">
        <f t="shared" si="2"/>
        <v>753.94200000000001</v>
      </c>
      <c r="K183" s="343">
        <v>1</v>
      </c>
      <c r="L183" s="345">
        <v>0.59</v>
      </c>
      <c r="M183" s="346">
        <f t="shared" si="3"/>
        <v>0.59</v>
      </c>
      <c r="N183" s="338">
        <f t="shared" si="4"/>
        <v>0.73041999999999996</v>
      </c>
      <c r="O183" s="368"/>
      <c r="P183" s="347">
        <f t="shared" si="19"/>
        <v>0</v>
      </c>
      <c r="Q183" s="348"/>
      <c r="R183" s="369"/>
      <c r="S183" s="349">
        <f t="shared" si="20"/>
        <v>0</v>
      </c>
      <c r="T183" s="348"/>
      <c r="U183" s="369"/>
      <c r="V183" s="349">
        <f t="shared" si="5"/>
        <v>0</v>
      </c>
      <c r="W183" s="348"/>
      <c r="X183" s="318" t="str">
        <f t="shared" si="6"/>
        <v/>
      </c>
      <c r="Y183" s="370" t="e">
        <f t="shared" si="7"/>
        <v>#VALUE!</v>
      </c>
      <c r="Z183" s="343" t="s">
        <v>85</v>
      </c>
      <c r="AA183" s="345">
        <v>0.01</v>
      </c>
      <c r="AB183" s="352">
        <f t="shared" si="8"/>
        <v>6.1900000000000002E-3</v>
      </c>
      <c r="AC183" s="353"/>
      <c r="AD183" s="354"/>
      <c r="AE183" s="378" t="str">
        <f t="shared" si="21"/>
        <v/>
      </c>
      <c r="AF183" s="329"/>
      <c r="AG183" s="358"/>
      <c r="AH183" s="356" t="str">
        <f t="shared" si="22"/>
        <v/>
      </c>
      <c r="AI183" s="329"/>
      <c r="AJ183" s="329"/>
      <c r="AK183" s="356">
        <f t="shared" si="11"/>
        <v>0</v>
      </c>
      <c r="AL183" s="357"/>
      <c r="AM183" s="358"/>
      <c r="AN183" s="356">
        <f t="shared" si="12"/>
        <v>0</v>
      </c>
      <c r="AO183" s="329"/>
      <c r="AP183" s="358"/>
      <c r="AQ183" s="359">
        <f t="shared" si="13"/>
        <v>0</v>
      </c>
      <c r="AR183" s="360"/>
      <c r="AS183" s="358"/>
      <c r="AT183" s="356">
        <f t="shared" si="14"/>
        <v>0</v>
      </c>
      <c r="AU183" s="329"/>
      <c r="AV183" s="358"/>
      <c r="AW183" s="359">
        <f t="shared" si="15"/>
        <v>0</v>
      </c>
      <c r="AX183" s="329"/>
      <c r="AY183" s="358"/>
      <c r="AZ183" s="359">
        <f t="shared" si="16"/>
        <v>0</v>
      </c>
      <c r="BA183" s="329">
        <f>IF('Degrémont Entrée'!K183="",,('Degrémont Entrée'!K183-I183)/'Degrémont Entrée'!K183*100)</f>
        <v>52.235294117647058</v>
      </c>
      <c r="BB183" s="329">
        <f>IF('Degrémont Entrée'!G183="",,('Degrémont Entrée'!G183-G183)/'Degrémont Entrée'!G183*100)</f>
        <v>97.60659898477158</v>
      </c>
      <c r="BC183" s="329">
        <f>IF('Degrémont Entrée'!S183="",,('Degrémont Entrée'!S183-M183)/'Degrémont Entrée'!S183*100)</f>
        <v>97.366071428571431</v>
      </c>
      <c r="BD183" s="361" t="str">
        <f ca="1">IFERROR(__xludf.DUMMYFUNCTION("""COMPUTED_VALUE"""),"#DIV/0!")</f>
        <v>#DIV/0!</v>
      </c>
      <c r="BE183" s="386">
        <v>21.855599999999999</v>
      </c>
      <c r="BF183" s="387">
        <v>25.321999999999999</v>
      </c>
      <c r="BG183" s="387">
        <v>23.875</v>
      </c>
      <c r="BH183" s="338">
        <f t="shared" si="17"/>
        <v>58.256404338795321</v>
      </c>
      <c r="BI183" s="364"/>
      <c r="BJ183" s="365"/>
      <c r="BK183" s="366">
        <f>'Degrémont Entrée'!BH183</f>
        <v>0</v>
      </c>
      <c r="BL183" s="367">
        <f>'Degrémont Entrée'!BI183</f>
        <v>0</v>
      </c>
    </row>
    <row r="184" spans="1:64" ht="14.25" outlineLevel="1">
      <c r="A184" s="337">
        <f t="shared" si="18"/>
        <v>43636</v>
      </c>
      <c r="B184" s="338">
        <f>'Degrémont Entrée'!B184</f>
        <v>877</v>
      </c>
      <c r="C184" s="339">
        <v>8.9</v>
      </c>
      <c r="D184" s="340">
        <v>89.9</v>
      </c>
      <c r="E184" s="341">
        <v>94.5</v>
      </c>
      <c r="F184" s="342">
        <v>200</v>
      </c>
      <c r="G184" s="329">
        <f t="shared" si="0"/>
        <v>22.999999999999972</v>
      </c>
      <c r="H184" s="338"/>
      <c r="I184" s="343">
        <v>293</v>
      </c>
      <c r="J184" s="344">
        <f t="shared" si="2"/>
        <v>256.96100000000001</v>
      </c>
      <c r="K184" s="343">
        <v>1</v>
      </c>
      <c r="L184" s="345">
        <v>1.02</v>
      </c>
      <c r="M184" s="346">
        <f t="shared" si="3"/>
        <v>1.02</v>
      </c>
      <c r="N184" s="338">
        <f t="shared" si="4"/>
        <v>0.89454</v>
      </c>
      <c r="O184" s="368"/>
      <c r="P184" s="347">
        <f t="shared" si="19"/>
        <v>0</v>
      </c>
      <c r="Q184" s="348"/>
      <c r="R184" s="369"/>
      <c r="S184" s="349">
        <f t="shared" si="20"/>
        <v>0</v>
      </c>
      <c r="T184" s="348"/>
      <c r="U184" s="369"/>
      <c r="V184" s="349">
        <f t="shared" si="5"/>
        <v>0</v>
      </c>
      <c r="W184" s="348"/>
      <c r="X184" s="318" t="str">
        <f t="shared" si="6"/>
        <v/>
      </c>
      <c r="Y184" s="370" t="e">
        <f t="shared" si="7"/>
        <v>#VALUE!</v>
      </c>
      <c r="Z184" s="343" t="s">
        <v>85</v>
      </c>
      <c r="AA184" s="345">
        <v>0.01</v>
      </c>
      <c r="AB184" s="352">
        <f t="shared" si="8"/>
        <v>4.385E-3</v>
      </c>
      <c r="AC184" s="353"/>
      <c r="AD184" s="354"/>
      <c r="AE184" s="378" t="str">
        <f t="shared" si="21"/>
        <v/>
      </c>
      <c r="AF184" s="329"/>
      <c r="AG184" s="358"/>
      <c r="AH184" s="356" t="str">
        <f t="shared" si="22"/>
        <v/>
      </c>
      <c r="AI184" s="329"/>
      <c r="AJ184" s="329"/>
      <c r="AK184" s="356">
        <f t="shared" si="11"/>
        <v>0</v>
      </c>
      <c r="AL184" s="357"/>
      <c r="AM184" s="358"/>
      <c r="AN184" s="356">
        <f t="shared" si="12"/>
        <v>0</v>
      </c>
      <c r="AO184" s="329"/>
      <c r="AP184" s="358"/>
      <c r="AQ184" s="359">
        <f t="shared" si="13"/>
        <v>0</v>
      </c>
      <c r="AR184" s="360"/>
      <c r="AS184" s="358"/>
      <c r="AT184" s="356">
        <f t="shared" si="14"/>
        <v>0</v>
      </c>
      <c r="AU184" s="329"/>
      <c r="AV184" s="358"/>
      <c r="AW184" s="359">
        <f t="shared" si="15"/>
        <v>0</v>
      </c>
      <c r="AX184" s="329"/>
      <c r="AY184" s="358"/>
      <c r="AZ184" s="359">
        <f t="shared" si="16"/>
        <v>0</v>
      </c>
      <c r="BA184" s="329">
        <f>IF('Degrémont Entrée'!K184="",,('Degrémont Entrée'!K184-I184)/'Degrémont Entrée'!K184*100)</f>
        <v>67.189249720044799</v>
      </c>
      <c r="BB184" s="329">
        <f>IF('Degrémont Entrée'!G184="",,('Degrémont Entrée'!G184-G184)/'Degrémont Entrée'!G184*100)</f>
        <v>93.575418994413425</v>
      </c>
      <c r="BC184" s="329">
        <f>IF('Degrémont Entrée'!S184="",,('Degrémont Entrée'!S184-M184)/'Degrémont Entrée'!S184*100)</f>
        <v>95.853658536585371</v>
      </c>
      <c r="BD184" s="361" t="str">
        <f ca="1">IFERROR(__xludf.DUMMYFUNCTION("""COMPUTED_VALUE"""),"#DIV/0!")</f>
        <v>#DIV/0!</v>
      </c>
      <c r="BE184" s="362"/>
      <c r="BF184" s="363"/>
      <c r="BG184" s="363"/>
      <c r="BH184" s="338">
        <f t="shared" si="17"/>
        <v>0</v>
      </c>
      <c r="BI184" s="364"/>
      <c r="BJ184" s="365"/>
      <c r="BK184" s="371">
        <f>'Degrémont Entrée'!BH184</f>
        <v>0</v>
      </c>
      <c r="BL184" s="372">
        <f>'Degrémont Entrée'!BI184</f>
        <v>0</v>
      </c>
    </row>
    <row r="185" spans="1:64" ht="15.75" customHeight="1" outlineLevel="1">
      <c r="A185" s="337">
        <f t="shared" si="18"/>
        <v>43637</v>
      </c>
      <c r="B185" s="338">
        <f>'Degrémont Entrée'!B185</f>
        <v>800</v>
      </c>
      <c r="C185" s="339">
        <v>8.1999999999999993</v>
      </c>
      <c r="D185" s="340">
        <v>89</v>
      </c>
      <c r="E185" s="341">
        <v>94.8</v>
      </c>
      <c r="F185" s="342">
        <v>200</v>
      </c>
      <c r="G185" s="329">
        <f t="shared" si="0"/>
        <v>28.999999999999986</v>
      </c>
      <c r="H185" s="338"/>
      <c r="I185" s="343">
        <v>355</v>
      </c>
      <c r="J185" s="344">
        <f t="shared" si="2"/>
        <v>284</v>
      </c>
      <c r="K185" s="343">
        <v>1</v>
      </c>
      <c r="L185" s="345">
        <v>0.93</v>
      </c>
      <c r="M185" s="346">
        <f t="shared" si="3"/>
        <v>0.93</v>
      </c>
      <c r="N185" s="338">
        <f t="shared" si="4"/>
        <v>0.74399999999999999</v>
      </c>
      <c r="O185" s="368"/>
      <c r="P185" s="347">
        <f t="shared" si="19"/>
        <v>0</v>
      </c>
      <c r="Q185" s="348"/>
      <c r="R185" s="369"/>
      <c r="S185" s="349">
        <f t="shared" si="20"/>
        <v>0</v>
      </c>
      <c r="T185" s="348"/>
      <c r="U185" s="369"/>
      <c r="V185" s="349">
        <f t="shared" si="5"/>
        <v>0</v>
      </c>
      <c r="W185" s="348"/>
      <c r="X185" s="318" t="str">
        <f t="shared" si="6"/>
        <v/>
      </c>
      <c r="Y185" s="370" t="e">
        <f t="shared" si="7"/>
        <v>#VALUE!</v>
      </c>
      <c r="Z185" s="343" t="s">
        <v>85</v>
      </c>
      <c r="AA185" s="345">
        <v>0.01</v>
      </c>
      <c r="AB185" s="352">
        <f t="shared" si="8"/>
        <v>4.0000000000000001E-3</v>
      </c>
      <c r="AC185" s="353"/>
      <c r="AD185" s="354"/>
      <c r="AE185" s="378" t="str">
        <f t="shared" si="21"/>
        <v/>
      </c>
      <c r="AF185" s="329"/>
      <c r="AG185" s="358"/>
      <c r="AH185" s="356" t="str">
        <f t="shared" si="22"/>
        <v/>
      </c>
      <c r="AI185" s="329"/>
      <c r="AJ185" s="329"/>
      <c r="AK185" s="356">
        <f t="shared" si="11"/>
        <v>0</v>
      </c>
      <c r="AL185" s="357"/>
      <c r="AM185" s="358"/>
      <c r="AN185" s="356">
        <f t="shared" si="12"/>
        <v>0</v>
      </c>
      <c r="AO185" s="329"/>
      <c r="AP185" s="358"/>
      <c r="AQ185" s="359">
        <f t="shared" si="13"/>
        <v>0</v>
      </c>
      <c r="AR185" s="360"/>
      <c r="AS185" s="358"/>
      <c r="AT185" s="356">
        <f t="shared" si="14"/>
        <v>0</v>
      </c>
      <c r="AU185" s="329"/>
      <c r="AV185" s="358"/>
      <c r="AW185" s="359">
        <f t="shared" si="15"/>
        <v>0</v>
      </c>
      <c r="AX185" s="329"/>
      <c r="AY185" s="358"/>
      <c r="AZ185" s="359">
        <f t="shared" si="16"/>
        <v>0</v>
      </c>
      <c r="BA185" s="329">
        <f>IF('Degrémont Entrée'!K185="",,('Degrémont Entrée'!K185-I185)/'Degrémont Entrée'!K185*100)</f>
        <v>94.338118022328544</v>
      </c>
      <c r="BB185" s="329">
        <f>IF('Degrémont Entrée'!G185="",,('Degrémont Entrée'!G185-G185)/'Degrémont Entrée'!G185*100)</f>
        <v>99.561463414634147</v>
      </c>
      <c r="BC185" s="329">
        <f>IF('Degrémont Entrée'!S185="",,('Degrémont Entrée'!S185-M185)/'Degrémont Entrée'!S185*100)</f>
        <v>99.07</v>
      </c>
      <c r="BD185" s="361" t="str">
        <f ca="1">IFERROR(__xludf.DUMMYFUNCTION("""COMPUTED_VALUE"""),"#DIV/0!")</f>
        <v>#DIV/0!</v>
      </c>
      <c r="BE185" s="362"/>
      <c r="BF185" s="363"/>
      <c r="BG185" s="363"/>
      <c r="BH185" s="338">
        <f t="shared" si="17"/>
        <v>0</v>
      </c>
      <c r="BI185" s="364"/>
      <c r="BJ185" s="365"/>
      <c r="BK185" s="366">
        <f>'Degrémont Entrée'!BH185</f>
        <v>0</v>
      </c>
      <c r="BL185" s="367">
        <f>'Degrémont Entrée'!BI185</f>
        <v>0</v>
      </c>
    </row>
    <row r="186" spans="1:64" ht="14.25" outlineLevel="1">
      <c r="A186" s="337">
        <f t="shared" si="18"/>
        <v>43638</v>
      </c>
      <c r="B186" s="338">
        <f>'Degrémont Entrée'!B186</f>
        <v>0</v>
      </c>
      <c r="C186" s="338"/>
      <c r="D186" s="388"/>
      <c r="E186" s="368"/>
      <c r="F186" s="357"/>
      <c r="G186" s="329">
        <f t="shared" si="0"/>
        <v>0</v>
      </c>
      <c r="H186" s="338"/>
      <c r="I186" s="346"/>
      <c r="J186" s="344">
        <f t="shared" si="2"/>
        <v>0</v>
      </c>
      <c r="K186" s="343">
        <v>1</v>
      </c>
      <c r="L186" s="329"/>
      <c r="M186" s="346" t="str">
        <f t="shared" si="3"/>
        <v/>
      </c>
      <c r="N186" s="338" t="e">
        <f t="shared" si="4"/>
        <v>#VALUE!</v>
      </c>
      <c r="O186" s="368"/>
      <c r="P186" s="347">
        <f t="shared" si="19"/>
        <v>0</v>
      </c>
      <c r="Q186" s="348"/>
      <c r="R186" s="369"/>
      <c r="S186" s="349">
        <f t="shared" si="20"/>
        <v>0</v>
      </c>
      <c r="T186" s="348"/>
      <c r="U186" s="369"/>
      <c r="V186" s="349">
        <f t="shared" si="5"/>
        <v>0</v>
      </c>
      <c r="W186" s="348"/>
      <c r="X186" s="318" t="str">
        <f t="shared" si="6"/>
        <v/>
      </c>
      <c r="Y186" s="370" t="e">
        <f t="shared" si="7"/>
        <v>#VALUE!</v>
      </c>
      <c r="Z186" s="346"/>
      <c r="AA186" s="329"/>
      <c r="AB186" s="352">
        <f t="shared" si="8"/>
        <v>0</v>
      </c>
      <c r="AC186" s="353"/>
      <c r="AD186" s="354"/>
      <c r="AE186" s="378" t="str">
        <f t="shared" si="21"/>
        <v/>
      </c>
      <c r="AF186" s="329"/>
      <c r="AG186" s="358"/>
      <c r="AH186" s="356" t="str">
        <f t="shared" si="22"/>
        <v/>
      </c>
      <c r="AI186" s="329"/>
      <c r="AJ186" s="329"/>
      <c r="AK186" s="356">
        <f t="shared" si="11"/>
        <v>0</v>
      </c>
      <c r="AL186" s="357"/>
      <c r="AM186" s="358"/>
      <c r="AN186" s="356">
        <f t="shared" si="12"/>
        <v>0</v>
      </c>
      <c r="AO186" s="329"/>
      <c r="AP186" s="358"/>
      <c r="AQ186" s="359">
        <f t="shared" si="13"/>
        <v>0</v>
      </c>
      <c r="AR186" s="360"/>
      <c r="AS186" s="358"/>
      <c r="AT186" s="356">
        <f t="shared" si="14"/>
        <v>0</v>
      </c>
      <c r="AU186" s="329"/>
      <c r="AV186" s="358"/>
      <c r="AW186" s="359">
        <f t="shared" si="15"/>
        <v>0</v>
      </c>
      <c r="AX186" s="329"/>
      <c r="AY186" s="358"/>
      <c r="AZ186" s="359">
        <f t="shared" si="16"/>
        <v>0</v>
      </c>
      <c r="BA186" s="329" t="e">
        <f>IF('Degrémont Entrée'!K186="",,('Degrémont Entrée'!K186-I186)/'Degrémont Entrée'!K186*100)</f>
        <v>#DIV/0!</v>
      </c>
      <c r="BB186" s="329" t="e">
        <f>IF('Degrémont Entrée'!G186="",,('Degrémont Entrée'!G186-G186)/'Degrémont Entrée'!G186*100)</f>
        <v>#DIV/0!</v>
      </c>
      <c r="BC186" s="329">
        <f>IF('Degrémont Entrée'!S186="",,('Degrémont Entrée'!S186-M186)/'Degrémont Entrée'!S186*100)</f>
        <v>0</v>
      </c>
      <c r="BD186" s="361" t="str">
        <f ca="1">IFERROR(__xludf.DUMMYFUNCTION("""COMPUTED_VALUE"""),"#DIV/0!")</f>
        <v>#DIV/0!</v>
      </c>
      <c r="BE186" s="362"/>
      <c r="BF186" s="363"/>
      <c r="BG186" s="363"/>
      <c r="BH186" s="338">
        <f t="shared" si="17"/>
        <v>0</v>
      </c>
      <c r="BI186" s="364"/>
      <c r="BJ186" s="365"/>
      <c r="BK186" s="371">
        <f>'Degrémont Entrée'!BH186</f>
        <v>0</v>
      </c>
      <c r="BL186" s="372">
        <f>'Degrémont Entrée'!BI186</f>
        <v>0</v>
      </c>
    </row>
    <row r="187" spans="1:64" ht="15.75" customHeight="1" outlineLevel="1">
      <c r="A187" s="337">
        <f t="shared" si="18"/>
        <v>43639</v>
      </c>
      <c r="B187" s="338">
        <f>'Degrémont Entrée'!B187</f>
        <v>0</v>
      </c>
      <c r="C187" s="338"/>
      <c r="D187" s="388"/>
      <c r="E187" s="368"/>
      <c r="F187" s="357"/>
      <c r="G187" s="329">
        <f t="shared" si="0"/>
        <v>0</v>
      </c>
      <c r="H187" s="338"/>
      <c r="I187" s="346"/>
      <c r="J187" s="344">
        <f t="shared" si="2"/>
        <v>0</v>
      </c>
      <c r="K187" s="343">
        <v>1</v>
      </c>
      <c r="L187" s="329"/>
      <c r="M187" s="346" t="str">
        <f t="shared" si="3"/>
        <v/>
      </c>
      <c r="N187" s="338" t="e">
        <f t="shared" si="4"/>
        <v>#VALUE!</v>
      </c>
      <c r="O187" s="368"/>
      <c r="P187" s="347">
        <f t="shared" si="19"/>
        <v>0</v>
      </c>
      <c r="Q187" s="348"/>
      <c r="R187" s="369"/>
      <c r="S187" s="349">
        <f t="shared" si="20"/>
        <v>0</v>
      </c>
      <c r="T187" s="348"/>
      <c r="U187" s="369"/>
      <c r="V187" s="349">
        <f t="shared" si="5"/>
        <v>0</v>
      </c>
      <c r="W187" s="348"/>
      <c r="X187" s="318" t="str">
        <f t="shared" si="6"/>
        <v/>
      </c>
      <c r="Y187" s="370" t="e">
        <f t="shared" si="7"/>
        <v>#VALUE!</v>
      </c>
      <c r="Z187" s="346"/>
      <c r="AA187" s="329"/>
      <c r="AB187" s="352">
        <f t="shared" si="8"/>
        <v>0</v>
      </c>
      <c r="AC187" s="353"/>
      <c r="AD187" s="354"/>
      <c r="AE187" s="378" t="str">
        <f t="shared" si="21"/>
        <v/>
      </c>
      <c r="AF187" s="329"/>
      <c r="AG187" s="358"/>
      <c r="AH187" s="356" t="str">
        <f t="shared" si="22"/>
        <v/>
      </c>
      <c r="AI187" s="329"/>
      <c r="AJ187" s="329"/>
      <c r="AK187" s="356">
        <f t="shared" si="11"/>
        <v>0</v>
      </c>
      <c r="AL187" s="357"/>
      <c r="AM187" s="358"/>
      <c r="AN187" s="356">
        <f t="shared" si="12"/>
        <v>0</v>
      </c>
      <c r="AO187" s="329"/>
      <c r="AP187" s="358"/>
      <c r="AQ187" s="359">
        <f t="shared" si="13"/>
        <v>0</v>
      </c>
      <c r="AR187" s="360"/>
      <c r="AS187" s="358"/>
      <c r="AT187" s="356">
        <f t="shared" si="14"/>
        <v>0</v>
      </c>
      <c r="AU187" s="329"/>
      <c r="AV187" s="358"/>
      <c r="AW187" s="359">
        <f t="shared" si="15"/>
        <v>0</v>
      </c>
      <c r="AX187" s="329"/>
      <c r="AY187" s="358"/>
      <c r="AZ187" s="359">
        <f t="shared" si="16"/>
        <v>0</v>
      </c>
      <c r="BA187" s="329" t="e">
        <f>IF('Degrémont Entrée'!K187="",,('Degrémont Entrée'!K187-I187)/'Degrémont Entrée'!K187*100)</f>
        <v>#DIV/0!</v>
      </c>
      <c r="BB187" s="329" t="e">
        <f>IF('Degrémont Entrée'!G187="",,('Degrémont Entrée'!G187-G187)/'Degrémont Entrée'!G187*100)</f>
        <v>#DIV/0!</v>
      </c>
      <c r="BC187" s="329">
        <f>IF('Degrémont Entrée'!S187="",,('Degrémont Entrée'!S187-M187)/'Degrémont Entrée'!S187*100)</f>
        <v>0</v>
      </c>
      <c r="BD187" s="361" t="str">
        <f ca="1">IFERROR(__xludf.DUMMYFUNCTION("""COMPUTED_VALUE"""),"#DIV/0!")</f>
        <v>#DIV/0!</v>
      </c>
      <c r="BE187" s="362"/>
      <c r="BF187" s="363"/>
      <c r="BG187" s="363"/>
      <c r="BH187" s="338">
        <f t="shared" si="17"/>
        <v>0</v>
      </c>
      <c r="BI187" s="364"/>
      <c r="BJ187" s="365"/>
      <c r="BK187" s="366">
        <f>'Degrémont Entrée'!BH187</f>
        <v>0</v>
      </c>
      <c r="BL187" s="367">
        <f>'Degrémont Entrée'!BI187</f>
        <v>0</v>
      </c>
    </row>
    <row r="188" spans="1:64" ht="14.25" outlineLevel="1">
      <c r="A188" s="337">
        <f t="shared" si="18"/>
        <v>43640</v>
      </c>
      <c r="B188" s="338">
        <f>'Degrémont Entrée'!B188</f>
        <v>869</v>
      </c>
      <c r="C188" s="339">
        <v>8.1999999999999993</v>
      </c>
      <c r="D188" s="340">
        <v>90.6</v>
      </c>
      <c r="E188" s="341">
        <v>94.6</v>
      </c>
      <c r="F188" s="342">
        <v>200</v>
      </c>
      <c r="G188" s="329">
        <f t="shared" si="0"/>
        <v>20</v>
      </c>
      <c r="H188" s="338"/>
      <c r="I188" s="343">
        <v>527</v>
      </c>
      <c r="J188" s="344">
        <f t="shared" si="2"/>
        <v>457.96300000000002</v>
      </c>
      <c r="K188" s="343">
        <v>1</v>
      </c>
      <c r="L188" s="345">
        <v>0.99</v>
      </c>
      <c r="M188" s="346">
        <f t="shared" si="3"/>
        <v>0.99</v>
      </c>
      <c r="N188" s="338">
        <f t="shared" si="4"/>
        <v>0.86030999999999991</v>
      </c>
      <c r="O188" s="368"/>
      <c r="P188" s="347">
        <f t="shared" si="19"/>
        <v>0</v>
      </c>
      <c r="Q188" s="348"/>
      <c r="R188" s="369"/>
      <c r="S188" s="349">
        <f t="shared" si="20"/>
        <v>0</v>
      </c>
      <c r="T188" s="348"/>
      <c r="U188" s="369"/>
      <c r="V188" s="349">
        <f t="shared" si="5"/>
        <v>0</v>
      </c>
      <c r="W188" s="348"/>
      <c r="X188" s="318" t="str">
        <f t="shared" si="6"/>
        <v/>
      </c>
      <c r="Y188" s="370" t="e">
        <f t="shared" si="7"/>
        <v>#VALUE!</v>
      </c>
      <c r="Z188" s="343" t="s">
        <v>85</v>
      </c>
      <c r="AA188" s="345">
        <v>0.01</v>
      </c>
      <c r="AB188" s="352">
        <f t="shared" si="8"/>
        <v>4.3449999999999999E-3</v>
      </c>
      <c r="AC188" s="353"/>
      <c r="AD188" s="354"/>
      <c r="AE188" s="378" t="str">
        <f t="shared" si="21"/>
        <v/>
      </c>
      <c r="AF188" s="329"/>
      <c r="AG188" s="358"/>
      <c r="AH188" s="356" t="str">
        <f t="shared" si="22"/>
        <v/>
      </c>
      <c r="AI188" s="329"/>
      <c r="AJ188" s="329"/>
      <c r="AK188" s="356">
        <f t="shared" si="11"/>
        <v>0</v>
      </c>
      <c r="AL188" s="357"/>
      <c r="AM188" s="358"/>
      <c r="AN188" s="356">
        <f t="shared" si="12"/>
        <v>0</v>
      </c>
      <c r="AO188" s="329"/>
      <c r="AP188" s="358"/>
      <c r="AQ188" s="359">
        <f t="shared" si="13"/>
        <v>0</v>
      </c>
      <c r="AR188" s="360"/>
      <c r="AS188" s="358"/>
      <c r="AT188" s="356">
        <f t="shared" si="14"/>
        <v>0</v>
      </c>
      <c r="AU188" s="329"/>
      <c r="AV188" s="358"/>
      <c r="AW188" s="359">
        <f t="shared" si="15"/>
        <v>0</v>
      </c>
      <c r="AX188" s="329"/>
      <c r="AY188" s="358"/>
      <c r="AZ188" s="359">
        <f t="shared" si="16"/>
        <v>0</v>
      </c>
      <c r="BA188" s="329">
        <f>IF('Degrémont Entrée'!K188="",,('Degrémont Entrée'!K188-I188)/'Degrémont Entrée'!K188*100)</f>
        <v>82.497509133178355</v>
      </c>
      <c r="BB188" s="329">
        <f>IF('Degrémont Entrée'!G188="",,('Degrémont Entrée'!G188-G188)/'Degrémont Entrée'!G188*100)</f>
        <v>99.22444183313749</v>
      </c>
      <c r="BC188" s="329">
        <f>IF('Degrémont Entrée'!S188="",,('Degrémont Entrée'!S188-M188)/'Degrémont Entrée'!S188*100)</f>
        <v>98.35</v>
      </c>
      <c r="BD188" s="361" t="str">
        <f ca="1">IFERROR(__xludf.DUMMYFUNCTION("""COMPUTED_VALUE"""),"#DIV/0!")</f>
        <v>#DIV/0!</v>
      </c>
      <c r="BE188" s="362"/>
      <c r="BF188" s="363"/>
      <c r="BG188" s="363"/>
      <c r="BH188" s="338">
        <f t="shared" si="17"/>
        <v>0</v>
      </c>
      <c r="BI188" s="364"/>
      <c r="BJ188" s="365"/>
      <c r="BK188" s="371">
        <f>'Degrémont Entrée'!BH188</f>
        <v>0</v>
      </c>
      <c r="BL188" s="372">
        <f>'Degrémont Entrée'!BI188</f>
        <v>0</v>
      </c>
    </row>
    <row r="189" spans="1:64" ht="15.75" customHeight="1" outlineLevel="1">
      <c r="A189" s="337">
        <f t="shared" si="18"/>
        <v>43641</v>
      </c>
      <c r="B189" s="338">
        <f>'Degrémont Entrée'!B189</f>
        <v>0</v>
      </c>
      <c r="C189" s="339">
        <v>8.6</v>
      </c>
      <c r="D189" s="340">
        <v>90.3</v>
      </c>
      <c r="E189" s="341">
        <v>90.8</v>
      </c>
      <c r="F189" s="342">
        <v>100</v>
      </c>
      <c r="G189" s="329">
        <f t="shared" si="0"/>
        <v>5</v>
      </c>
      <c r="H189" s="338"/>
      <c r="I189" s="343">
        <v>225</v>
      </c>
      <c r="J189" s="344">
        <f t="shared" si="2"/>
        <v>0</v>
      </c>
      <c r="K189" s="343">
        <v>1</v>
      </c>
      <c r="L189" s="345">
        <v>0.93</v>
      </c>
      <c r="M189" s="346">
        <f t="shared" si="3"/>
        <v>0.93</v>
      </c>
      <c r="N189" s="338">
        <f t="shared" si="4"/>
        <v>0</v>
      </c>
      <c r="O189" s="341">
        <v>8.6</v>
      </c>
      <c r="P189" s="347">
        <f t="shared" si="19"/>
        <v>0</v>
      </c>
      <c r="Q189" s="348"/>
      <c r="R189" s="369"/>
      <c r="S189" s="349">
        <f t="shared" si="20"/>
        <v>0</v>
      </c>
      <c r="T189" s="348"/>
      <c r="U189" s="369"/>
      <c r="V189" s="349">
        <f t="shared" si="5"/>
        <v>0</v>
      </c>
      <c r="W189" s="348"/>
      <c r="X189" s="318">
        <f t="shared" si="6"/>
        <v>8.6</v>
      </c>
      <c r="Y189" s="370">
        <f t="shared" si="7"/>
        <v>0</v>
      </c>
      <c r="Z189" s="343" t="s">
        <v>85</v>
      </c>
      <c r="AA189" s="345">
        <v>0.01</v>
      </c>
      <c r="AB189" s="352">
        <f t="shared" si="8"/>
        <v>0</v>
      </c>
      <c r="AC189" s="353"/>
      <c r="AD189" s="354"/>
      <c r="AE189" s="378" t="str">
        <f t="shared" si="21"/>
        <v/>
      </c>
      <c r="AF189" s="329"/>
      <c r="AG189" s="355">
        <v>0.52</v>
      </c>
      <c r="AH189" s="356">
        <f t="shared" si="22"/>
        <v>1.9676799999999999</v>
      </c>
      <c r="AI189" s="329"/>
      <c r="AJ189" s="345">
        <v>0.47</v>
      </c>
      <c r="AK189" s="356">
        <f t="shared" si="11"/>
        <v>0</v>
      </c>
      <c r="AL189" s="357"/>
      <c r="AM189" s="355">
        <v>0.12</v>
      </c>
      <c r="AN189" s="356">
        <f t="shared" si="12"/>
        <v>0</v>
      </c>
      <c r="AO189" s="329"/>
      <c r="AP189" s="355">
        <v>0.15</v>
      </c>
      <c r="AQ189" s="359">
        <f t="shared" si="13"/>
        <v>0</v>
      </c>
      <c r="AR189" s="360"/>
      <c r="AS189" s="355">
        <v>0.32</v>
      </c>
      <c r="AT189" s="356">
        <f t="shared" si="14"/>
        <v>0</v>
      </c>
      <c r="AU189" s="345" t="s">
        <v>85</v>
      </c>
      <c r="AV189" s="355">
        <v>0.15</v>
      </c>
      <c r="AW189" s="359">
        <f t="shared" si="15"/>
        <v>0</v>
      </c>
      <c r="AX189" s="345" t="s">
        <v>85</v>
      </c>
      <c r="AY189" s="355">
        <v>0.13</v>
      </c>
      <c r="AZ189" s="359">
        <f t="shared" si="16"/>
        <v>0</v>
      </c>
      <c r="BA189" s="329">
        <f>IF('Degrémont Entrée'!K189="",,('Degrémont Entrée'!K189-I189)/'Degrémont Entrée'!K189*100)</f>
        <v>89.446529080675418</v>
      </c>
      <c r="BB189" s="329">
        <f>IF('Degrémont Entrée'!G189="",,('Degrémont Entrée'!G189-G189)/'Degrémont Entrée'!G189*100)</f>
        <v>99.757609921082306</v>
      </c>
      <c r="BC189" s="329">
        <f>IF('Degrémont Entrée'!S189="",,('Degrémont Entrée'!S189-M189)/'Degrémont Entrée'!S189*100)</f>
        <v>98.81074168797953</v>
      </c>
      <c r="BD189" s="361" t="str">
        <f ca="1">IFERROR(__xludf.DUMMYFUNCTION("""COMPUTED_VALUE"""),"#DIV/0!")</f>
        <v>#DIV/0!</v>
      </c>
      <c r="BE189" s="386">
        <v>21.853999999999999</v>
      </c>
      <c r="BF189" s="387">
        <v>34.457599999999999</v>
      </c>
      <c r="BG189" s="387">
        <v>29.4084</v>
      </c>
      <c r="BH189" s="338">
        <f t="shared" si="17"/>
        <v>59.938430289758486</v>
      </c>
      <c r="BI189" s="364"/>
      <c r="BJ189" s="365"/>
      <c r="BK189" s="366">
        <f>'Degrémont Entrée'!BH189</f>
        <v>0</v>
      </c>
      <c r="BL189" s="367">
        <f>'Degrémont Entrée'!BI189</f>
        <v>0</v>
      </c>
    </row>
    <row r="190" spans="1:64" ht="14.25" outlineLevel="1">
      <c r="A190" s="337">
        <f t="shared" si="18"/>
        <v>43642</v>
      </c>
      <c r="B190" s="338">
        <f>'Degrémont Entrée'!B190</f>
        <v>0</v>
      </c>
      <c r="C190" s="339">
        <v>8.5</v>
      </c>
      <c r="D190" s="340">
        <v>88.8</v>
      </c>
      <c r="E190" s="341">
        <v>94.3</v>
      </c>
      <c r="F190" s="342">
        <v>200</v>
      </c>
      <c r="G190" s="329">
        <f t="shared" si="0"/>
        <v>27.5</v>
      </c>
      <c r="H190" s="338"/>
      <c r="I190" s="343">
        <v>254</v>
      </c>
      <c r="J190" s="344">
        <f t="shared" si="2"/>
        <v>0</v>
      </c>
      <c r="K190" s="343">
        <v>1</v>
      </c>
      <c r="L190" s="345">
        <v>1.18</v>
      </c>
      <c r="M190" s="346">
        <f t="shared" si="3"/>
        <v>1.18</v>
      </c>
      <c r="N190" s="338">
        <f t="shared" si="4"/>
        <v>0</v>
      </c>
      <c r="O190" s="368"/>
      <c r="P190" s="347">
        <f t="shared" si="19"/>
        <v>0</v>
      </c>
      <c r="Q190" s="348"/>
      <c r="R190" s="369"/>
      <c r="S190" s="349">
        <f t="shared" si="20"/>
        <v>0</v>
      </c>
      <c r="T190" s="348"/>
      <c r="U190" s="369"/>
      <c r="V190" s="349">
        <f t="shared" si="5"/>
        <v>0</v>
      </c>
      <c r="W190" s="348"/>
      <c r="X190" s="318" t="str">
        <f t="shared" si="6"/>
        <v/>
      </c>
      <c r="Y190" s="370" t="e">
        <f t="shared" si="7"/>
        <v>#VALUE!</v>
      </c>
      <c r="Z190" s="343" t="s">
        <v>85</v>
      </c>
      <c r="AA190" s="345">
        <v>0.01</v>
      </c>
      <c r="AB190" s="352">
        <f t="shared" si="8"/>
        <v>0</v>
      </c>
      <c r="AC190" s="353"/>
      <c r="AD190" s="354"/>
      <c r="AE190" s="378" t="str">
        <f t="shared" si="21"/>
        <v/>
      </c>
      <c r="AF190" s="329"/>
      <c r="AG190" s="358"/>
      <c r="AH190" s="356" t="str">
        <f t="shared" si="22"/>
        <v/>
      </c>
      <c r="AI190" s="329"/>
      <c r="AJ190" s="329"/>
      <c r="AK190" s="356">
        <f t="shared" si="11"/>
        <v>0</v>
      </c>
      <c r="AL190" s="357"/>
      <c r="AM190" s="358"/>
      <c r="AN190" s="356">
        <f t="shared" si="12"/>
        <v>0</v>
      </c>
      <c r="AO190" s="329"/>
      <c r="AP190" s="358"/>
      <c r="AQ190" s="359">
        <f t="shared" si="13"/>
        <v>0</v>
      </c>
      <c r="AR190" s="360"/>
      <c r="AS190" s="358"/>
      <c r="AT190" s="356">
        <f t="shared" si="14"/>
        <v>0</v>
      </c>
      <c r="AU190" s="329"/>
      <c r="AV190" s="358"/>
      <c r="AW190" s="359">
        <f t="shared" si="15"/>
        <v>0</v>
      </c>
      <c r="AX190" s="329"/>
      <c r="AY190" s="358"/>
      <c r="AZ190" s="359">
        <f t="shared" si="16"/>
        <v>0</v>
      </c>
      <c r="BA190" s="329">
        <f>IF('Degrémont Entrée'!K190="",,('Degrémont Entrée'!K190-I190)/'Degrémont Entrée'!K190*100)</f>
        <v>95.381818181818176</v>
      </c>
      <c r="BB190" s="329">
        <f>IF('Degrémont Entrée'!G190="",,('Degrémont Entrée'!G190-G190)/'Degrémont Entrée'!G190*100)</f>
        <v>99.598256361922708</v>
      </c>
      <c r="BC190" s="329">
        <f>IF('Degrémont Entrée'!S190="",,('Degrémont Entrée'!S190-M190)/'Degrémont Entrée'!S190*100)</f>
        <v>99.463636363636368</v>
      </c>
      <c r="BD190" s="361" t="str">
        <f ca="1">IFERROR(__xludf.DUMMYFUNCTION("""COMPUTED_VALUE"""),"#DIV/0!")</f>
        <v>#DIV/0!</v>
      </c>
      <c r="BE190" s="362"/>
      <c r="BF190" s="363"/>
      <c r="BG190" s="363"/>
      <c r="BH190" s="338">
        <f t="shared" si="17"/>
        <v>0</v>
      </c>
      <c r="BI190" s="364"/>
      <c r="BJ190" s="365"/>
      <c r="BK190" s="371">
        <f>'Degrémont Entrée'!BH190</f>
        <v>0</v>
      </c>
      <c r="BL190" s="372">
        <f>'Degrémont Entrée'!BI190</f>
        <v>0</v>
      </c>
    </row>
    <row r="191" spans="1:64" ht="15.75" customHeight="1" outlineLevel="1">
      <c r="A191" s="337">
        <f t="shared" si="18"/>
        <v>43643</v>
      </c>
      <c r="B191" s="338">
        <f>'Degrémont Entrée'!B191</f>
        <v>0</v>
      </c>
      <c r="C191" s="339">
        <v>8.5</v>
      </c>
      <c r="D191" s="340">
        <v>89.3</v>
      </c>
      <c r="E191" s="341">
        <v>93.1</v>
      </c>
      <c r="F191" s="342">
        <v>200</v>
      </c>
      <c r="G191" s="329">
        <f t="shared" si="0"/>
        <v>18.999999999999986</v>
      </c>
      <c r="H191" s="338"/>
      <c r="I191" s="343">
        <v>183</v>
      </c>
      <c r="J191" s="344">
        <f t="shared" si="2"/>
        <v>0</v>
      </c>
      <c r="K191" s="343">
        <v>1</v>
      </c>
      <c r="L191" s="345">
        <v>1.1100000000000001</v>
      </c>
      <c r="M191" s="346">
        <f t="shared" si="3"/>
        <v>1.1100000000000001</v>
      </c>
      <c r="N191" s="338">
        <f t="shared" si="4"/>
        <v>0</v>
      </c>
      <c r="O191" s="368"/>
      <c r="P191" s="347">
        <f t="shared" si="19"/>
        <v>0</v>
      </c>
      <c r="Q191" s="348"/>
      <c r="R191" s="369"/>
      <c r="S191" s="349">
        <f t="shared" si="20"/>
        <v>0</v>
      </c>
      <c r="T191" s="348"/>
      <c r="U191" s="369"/>
      <c r="V191" s="349">
        <f t="shared" si="5"/>
        <v>0</v>
      </c>
      <c r="W191" s="348"/>
      <c r="X191" s="318" t="str">
        <f t="shared" si="6"/>
        <v/>
      </c>
      <c r="Y191" s="370" t="e">
        <f t="shared" si="7"/>
        <v>#VALUE!</v>
      </c>
      <c r="Z191" s="343" t="s">
        <v>85</v>
      </c>
      <c r="AA191" s="345">
        <v>0.01</v>
      </c>
      <c r="AB191" s="352">
        <f t="shared" si="8"/>
        <v>0</v>
      </c>
      <c r="AC191" s="353"/>
      <c r="AD191" s="354"/>
      <c r="AE191" s="378" t="str">
        <f t="shared" si="21"/>
        <v/>
      </c>
      <c r="AF191" s="329"/>
      <c r="AG191" s="358"/>
      <c r="AH191" s="356" t="str">
        <f t="shared" si="22"/>
        <v/>
      </c>
      <c r="AI191" s="329"/>
      <c r="AJ191" s="329"/>
      <c r="AK191" s="356">
        <f t="shared" si="11"/>
        <v>0</v>
      </c>
      <c r="AL191" s="357"/>
      <c r="AM191" s="358"/>
      <c r="AN191" s="356">
        <f t="shared" si="12"/>
        <v>0</v>
      </c>
      <c r="AO191" s="329"/>
      <c r="AP191" s="358"/>
      <c r="AQ191" s="359">
        <f t="shared" si="13"/>
        <v>0</v>
      </c>
      <c r="AR191" s="360"/>
      <c r="AS191" s="358"/>
      <c r="AT191" s="356">
        <f t="shared" si="14"/>
        <v>0</v>
      </c>
      <c r="AU191" s="329"/>
      <c r="AV191" s="358"/>
      <c r="AW191" s="359">
        <f t="shared" si="15"/>
        <v>0</v>
      </c>
      <c r="AX191" s="329"/>
      <c r="AY191" s="358"/>
      <c r="AZ191" s="359">
        <f t="shared" si="16"/>
        <v>0</v>
      </c>
      <c r="BA191" s="329">
        <f>IF('Degrémont Entrée'!K191="",,('Degrémont Entrée'!K191-I191)/'Degrémont Entrée'!K191*100)</f>
        <v>97.022453628376184</v>
      </c>
      <c r="BB191" s="329">
        <f>IF('Degrémont Entrée'!G191="",,('Degrémont Entrée'!G191-G191)/'Degrémont Entrée'!G191*100)</f>
        <v>99.745682210708125</v>
      </c>
      <c r="BC191" s="329">
        <f>IF('Degrémont Entrée'!S191="",,('Degrémont Entrée'!S191-M191)/'Degrémont Entrée'!S191*100)</f>
        <v>99.555999999999997</v>
      </c>
      <c r="BD191" s="361" t="str">
        <f ca="1">IFERROR(__xludf.DUMMYFUNCTION("""COMPUTED_VALUE"""),"#DIV/0!")</f>
        <v>#DIV/0!</v>
      </c>
      <c r="BE191" s="362"/>
      <c r="BF191" s="363"/>
      <c r="BG191" s="363"/>
      <c r="BH191" s="338">
        <f t="shared" si="17"/>
        <v>0</v>
      </c>
      <c r="BI191" s="364"/>
      <c r="BJ191" s="365"/>
      <c r="BK191" s="366">
        <f>'Degrémont Entrée'!BH191</f>
        <v>0</v>
      </c>
      <c r="BL191" s="367">
        <f>'Degrémont Entrée'!BI191</f>
        <v>0</v>
      </c>
    </row>
    <row r="192" spans="1:64" ht="14.25" outlineLevel="1">
      <c r="A192" s="337">
        <f t="shared" si="18"/>
        <v>43644</v>
      </c>
      <c r="B192" s="338">
        <f>'Degrémont Entrée'!B192</f>
        <v>0</v>
      </c>
      <c r="C192" s="339">
        <v>8.5</v>
      </c>
      <c r="D192" s="340">
        <v>90.3</v>
      </c>
      <c r="E192" s="341">
        <v>93.3</v>
      </c>
      <c r="F192" s="342">
        <v>100</v>
      </c>
      <c r="G192" s="329">
        <f t="shared" si="0"/>
        <v>30</v>
      </c>
      <c r="H192" s="338"/>
      <c r="I192" s="343">
        <v>352</v>
      </c>
      <c r="J192" s="344">
        <f t="shared" si="2"/>
        <v>0</v>
      </c>
      <c r="K192" s="343">
        <v>1</v>
      </c>
      <c r="L192" s="345">
        <v>2.6</v>
      </c>
      <c r="M192" s="346">
        <f t="shared" si="3"/>
        <v>2.6</v>
      </c>
      <c r="N192" s="338">
        <f t="shared" si="4"/>
        <v>0</v>
      </c>
      <c r="O192" s="368"/>
      <c r="P192" s="347">
        <f t="shared" si="19"/>
        <v>0</v>
      </c>
      <c r="Q192" s="348"/>
      <c r="R192" s="369"/>
      <c r="S192" s="349">
        <f t="shared" si="20"/>
        <v>0</v>
      </c>
      <c r="T192" s="348"/>
      <c r="U192" s="369"/>
      <c r="V192" s="349">
        <f t="shared" si="5"/>
        <v>0</v>
      </c>
      <c r="W192" s="348"/>
      <c r="X192" s="318" t="str">
        <f t="shared" si="6"/>
        <v/>
      </c>
      <c r="Y192" s="370" t="e">
        <f t="shared" si="7"/>
        <v>#VALUE!</v>
      </c>
      <c r="Z192" s="343" t="s">
        <v>85</v>
      </c>
      <c r="AA192" s="345">
        <v>0.01</v>
      </c>
      <c r="AB192" s="352">
        <f t="shared" si="8"/>
        <v>0</v>
      </c>
      <c r="AC192" s="353"/>
      <c r="AD192" s="354"/>
      <c r="AE192" s="378" t="str">
        <f t="shared" si="21"/>
        <v/>
      </c>
      <c r="AF192" s="329"/>
      <c r="AG192" s="358"/>
      <c r="AH192" s="356" t="str">
        <f t="shared" si="22"/>
        <v/>
      </c>
      <c r="AI192" s="329"/>
      <c r="AJ192" s="329"/>
      <c r="AK192" s="356">
        <f t="shared" si="11"/>
        <v>0</v>
      </c>
      <c r="AL192" s="357"/>
      <c r="AM192" s="358"/>
      <c r="AN192" s="356">
        <f t="shared" si="12"/>
        <v>0</v>
      </c>
      <c r="AO192" s="329"/>
      <c r="AP192" s="358"/>
      <c r="AQ192" s="359">
        <f t="shared" si="13"/>
        <v>0</v>
      </c>
      <c r="AR192" s="360"/>
      <c r="AS192" s="358"/>
      <c r="AT192" s="356">
        <f t="shared" si="14"/>
        <v>0</v>
      </c>
      <c r="AU192" s="329"/>
      <c r="AV192" s="358"/>
      <c r="AW192" s="359">
        <f t="shared" si="15"/>
        <v>0</v>
      </c>
      <c r="AX192" s="329"/>
      <c r="AY192" s="358"/>
      <c r="AZ192" s="359">
        <f t="shared" si="16"/>
        <v>0</v>
      </c>
      <c r="BA192" s="329">
        <f>IF('Degrémont Entrée'!K192="",,('Degrémont Entrée'!K192-I192)/'Degrémont Entrée'!K192*100)</f>
        <v>90.205898720089039</v>
      </c>
      <c r="BB192" s="329">
        <f>IF('Degrémont Entrée'!G192="",,('Degrémont Entrée'!G192-G192)/'Degrémont Entrée'!G192*100)</f>
        <v>99.154545454545456</v>
      </c>
      <c r="BC192" s="329">
        <f>IF('Degrémont Entrée'!S192="",,('Degrémont Entrée'!S192-M192)/'Degrémont Entrée'!S192*100)</f>
        <v>98.300653594771248</v>
      </c>
      <c r="BD192" s="361" t="str">
        <f ca="1">IFERROR(__xludf.DUMMYFUNCTION("""COMPUTED_VALUE"""),"#DIV/0!")</f>
        <v>#DIV/0!</v>
      </c>
      <c r="BE192" s="362"/>
      <c r="BF192" s="363"/>
      <c r="BG192" s="363"/>
      <c r="BH192" s="338">
        <f t="shared" si="17"/>
        <v>0</v>
      </c>
      <c r="BI192" s="364"/>
      <c r="BJ192" s="365"/>
      <c r="BK192" s="371">
        <f>'Degrémont Entrée'!BH192</f>
        <v>0</v>
      </c>
      <c r="BL192" s="372">
        <f>'Degrémont Entrée'!BI192</f>
        <v>0</v>
      </c>
    </row>
    <row r="193" spans="1:64" ht="15.75" customHeight="1" outlineLevel="1">
      <c r="A193" s="337">
        <f t="shared" si="18"/>
        <v>43645</v>
      </c>
      <c r="B193" s="338">
        <f>'Degrémont Entrée'!B193</f>
        <v>0</v>
      </c>
      <c r="C193" s="339">
        <v>8.6999999999999993</v>
      </c>
      <c r="D193" s="340">
        <v>90.2</v>
      </c>
      <c r="E193" s="341">
        <v>90.5</v>
      </c>
      <c r="F193" s="342">
        <v>100</v>
      </c>
      <c r="G193" s="329">
        <f t="shared" si="0"/>
        <v>2.9999999999999716</v>
      </c>
      <c r="H193" s="338"/>
      <c r="I193" s="343">
        <v>1190</v>
      </c>
      <c r="J193" s="344">
        <f t="shared" si="2"/>
        <v>0</v>
      </c>
      <c r="K193" s="343">
        <v>1</v>
      </c>
      <c r="L193" s="345">
        <v>0.69</v>
      </c>
      <c r="M193" s="346">
        <f t="shared" si="3"/>
        <v>0.69</v>
      </c>
      <c r="N193" s="338">
        <f t="shared" si="4"/>
        <v>0</v>
      </c>
      <c r="O193" s="368"/>
      <c r="P193" s="347">
        <f t="shared" si="19"/>
        <v>0</v>
      </c>
      <c r="Q193" s="348"/>
      <c r="R193" s="369"/>
      <c r="S193" s="349">
        <f t="shared" si="20"/>
        <v>0</v>
      </c>
      <c r="T193" s="348"/>
      <c r="U193" s="369"/>
      <c r="V193" s="349">
        <f t="shared" si="5"/>
        <v>0</v>
      </c>
      <c r="W193" s="348"/>
      <c r="X193" s="318" t="str">
        <f t="shared" si="6"/>
        <v/>
      </c>
      <c r="Y193" s="370" t="e">
        <f t="shared" si="7"/>
        <v>#VALUE!</v>
      </c>
      <c r="Z193" s="346"/>
      <c r="AA193" s="329"/>
      <c r="AB193" s="352">
        <f t="shared" si="8"/>
        <v>0</v>
      </c>
      <c r="AC193" s="353"/>
      <c r="AD193" s="354"/>
      <c r="AE193" s="378" t="str">
        <f t="shared" si="21"/>
        <v/>
      </c>
      <c r="AF193" s="329"/>
      <c r="AG193" s="358"/>
      <c r="AH193" s="356" t="str">
        <f t="shared" si="22"/>
        <v/>
      </c>
      <c r="AI193" s="329"/>
      <c r="AJ193" s="329"/>
      <c r="AK193" s="356">
        <f t="shared" si="11"/>
        <v>0</v>
      </c>
      <c r="AL193" s="357"/>
      <c r="AM193" s="358"/>
      <c r="AN193" s="356">
        <f t="shared" si="12"/>
        <v>0</v>
      </c>
      <c r="AO193" s="329"/>
      <c r="AP193" s="358"/>
      <c r="AQ193" s="359">
        <f t="shared" si="13"/>
        <v>0</v>
      </c>
      <c r="AR193" s="360"/>
      <c r="AS193" s="358"/>
      <c r="AT193" s="356">
        <f t="shared" si="14"/>
        <v>0</v>
      </c>
      <c r="AU193" s="329"/>
      <c r="AV193" s="358"/>
      <c r="AW193" s="359">
        <f t="shared" si="15"/>
        <v>0</v>
      </c>
      <c r="AX193" s="329"/>
      <c r="AY193" s="358"/>
      <c r="AZ193" s="359">
        <f t="shared" si="16"/>
        <v>0</v>
      </c>
      <c r="BA193" s="329" t="e">
        <f>IF('Degrémont Entrée'!K193="",,('Degrémont Entrée'!K193-I193)/'Degrémont Entrée'!K193*100)</f>
        <v>#DIV/0!</v>
      </c>
      <c r="BB193" s="329" t="e">
        <f>IF('Degrémont Entrée'!G193="",,('Degrémont Entrée'!G193-G193)/'Degrémont Entrée'!G193*100)</f>
        <v>#DIV/0!</v>
      </c>
      <c r="BC193" s="329">
        <f>IF('Degrémont Entrée'!S193="",,('Degrémont Entrée'!S193-M193)/'Degrémont Entrée'!S193*100)</f>
        <v>0</v>
      </c>
      <c r="BD193" s="361" t="str">
        <f ca="1">IFERROR(__xludf.DUMMYFUNCTION("""COMPUTED_VALUE"""),"#DIV/0!")</f>
        <v>#DIV/0!</v>
      </c>
      <c r="BE193" s="362"/>
      <c r="BF193" s="363"/>
      <c r="BG193" s="363"/>
      <c r="BH193" s="338">
        <f t="shared" si="17"/>
        <v>0</v>
      </c>
      <c r="BI193" s="364"/>
      <c r="BJ193" s="365"/>
      <c r="BK193" s="366">
        <f>'Degrémont Entrée'!BH193</f>
        <v>0</v>
      </c>
      <c r="BL193" s="367">
        <f>'Degrémont Entrée'!BI193</f>
        <v>0</v>
      </c>
    </row>
    <row r="194" spans="1:64" ht="14.25" outlineLevel="1">
      <c r="A194" s="337">
        <f t="shared" si="18"/>
        <v>43646</v>
      </c>
      <c r="B194" s="338">
        <f>'Degrémont Entrée'!B194</f>
        <v>0</v>
      </c>
      <c r="C194" s="338"/>
      <c r="D194" s="388"/>
      <c r="E194" s="368"/>
      <c r="F194" s="357"/>
      <c r="G194" s="329">
        <f t="shared" si="0"/>
        <v>0</v>
      </c>
      <c r="H194" s="338"/>
      <c r="I194" s="346"/>
      <c r="J194" s="344">
        <f t="shared" si="2"/>
        <v>0</v>
      </c>
      <c r="K194" s="343">
        <v>1</v>
      </c>
      <c r="L194" s="329"/>
      <c r="M194" s="346" t="str">
        <f t="shared" si="3"/>
        <v/>
      </c>
      <c r="N194" s="338" t="e">
        <f t="shared" si="4"/>
        <v>#VALUE!</v>
      </c>
      <c r="O194" s="368"/>
      <c r="P194" s="347">
        <f t="shared" si="19"/>
        <v>0</v>
      </c>
      <c r="Q194" s="348"/>
      <c r="R194" s="369"/>
      <c r="S194" s="349">
        <f t="shared" si="20"/>
        <v>0</v>
      </c>
      <c r="T194" s="348"/>
      <c r="U194" s="369"/>
      <c r="V194" s="349">
        <f t="shared" si="5"/>
        <v>0</v>
      </c>
      <c r="W194" s="348"/>
      <c r="X194" s="318" t="str">
        <f t="shared" si="6"/>
        <v/>
      </c>
      <c r="Y194" s="370" t="e">
        <f t="shared" si="7"/>
        <v>#VALUE!</v>
      </c>
      <c r="Z194" s="346"/>
      <c r="AA194" s="329"/>
      <c r="AB194" s="352">
        <f t="shared" si="8"/>
        <v>0</v>
      </c>
      <c r="AC194" s="353"/>
      <c r="AD194" s="354"/>
      <c r="AE194" s="378" t="str">
        <f t="shared" si="21"/>
        <v/>
      </c>
      <c r="AF194" s="329"/>
      <c r="AG194" s="358"/>
      <c r="AH194" s="356" t="str">
        <f t="shared" si="22"/>
        <v/>
      </c>
      <c r="AI194" s="329"/>
      <c r="AJ194" s="329"/>
      <c r="AK194" s="356">
        <f t="shared" si="11"/>
        <v>0</v>
      </c>
      <c r="AL194" s="357"/>
      <c r="AM194" s="358"/>
      <c r="AN194" s="356">
        <f t="shared" si="12"/>
        <v>0</v>
      </c>
      <c r="AO194" s="329"/>
      <c r="AP194" s="358"/>
      <c r="AQ194" s="359">
        <f t="shared" si="13"/>
        <v>0</v>
      </c>
      <c r="AR194" s="360"/>
      <c r="AS194" s="358"/>
      <c r="AT194" s="356">
        <f t="shared" si="14"/>
        <v>0</v>
      </c>
      <c r="AU194" s="329"/>
      <c r="AV194" s="358"/>
      <c r="AW194" s="359">
        <f t="shared" si="15"/>
        <v>0</v>
      </c>
      <c r="AX194" s="329"/>
      <c r="AY194" s="358"/>
      <c r="AZ194" s="359">
        <f t="shared" si="16"/>
        <v>0</v>
      </c>
      <c r="BA194" s="329" t="e">
        <f>IF('Degrémont Entrée'!K194="",,('Degrémont Entrée'!K194-I194)/'Degrémont Entrée'!K194*100)</f>
        <v>#DIV/0!</v>
      </c>
      <c r="BB194" s="329" t="e">
        <f>IF('Degrémont Entrée'!G194="",,('Degrémont Entrée'!G194-G194)/'Degrémont Entrée'!G194*100)</f>
        <v>#DIV/0!</v>
      </c>
      <c r="BC194" s="329">
        <f>IF('Degrémont Entrée'!S194="",,('Degrémont Entrée'!S194-M194)/'Degrémont Entrée'!S194*100)</f>
        <v>0</v>
      </c>
      <c r="BD194" s="361" t="str">
        <f ca="1">IFERROR(__xludf.DUMMYFUNCTION("""COMPUTED_VALUE"""),"#DIV/0!")</f>
        <v>#DIV/0!</v>
      </c>
      <c r="BE194" s="362"/>
      <c r="BF194" s="363"/>
      <c r="BG194" s="363"/>
      <c r="BH194" s="338">
        <f t="shared" si="17"/>
        <v>0</v>
      </c>
      <c r="BI194" s="364"/>
      <c r="BJ194" s="365"/>
      <c r="BK194" s="371">
        <f>'Degrémont Entrée'!BH194</f>
        <v>0</v>
      </c>
      <c r="BL194" s="372">
        <f>'Degrémont Entrée'!BI194</f>
        <v>0</v>
      </c>
    </row>
    <row r="195" spans="1:64" ht="15.75" customHeight="1" outlineLevel="1">
      <c r="A195" s="337">
        <f t="shared" si="18"/>
        <v>43647</v>
      </c>
      <c r="B195" s="338">
        <f>'Degrémont Entrée'!B195</f>
        <v>0</v>
      </c>
      <c r="C195" s="339">
        <v>8.6</v>
      </c>
      <c r="D195" s="340">
        <v>89.9</v>
      </c>
      <c r="E195" s="341">
        <v>92.7</v>
      </c>
      <c r="F195" s="342">
        <v>100</v>
      </c>
      <c r="G195" s="329">
        <f t="shared" si="0"/>
        <v>27.999999999999972</v>
      </c>
      <c r="H195" s="338"/>
      <c r="I195" s="343">
        <v>847</v>
      </c>
      <c r="J195" s="344">
        <f t="shared" si="2"/>
        <v>0</v>
      </c>
      <c r="K195" s="343">
        <v>1</v>
      </c>
      <c r="L195" s="345">
        <v>1.39</v>
      </c>
      <c r="M195" s="346">
        <f t="shared" si="3"/>
        <v>1.39</v>
      </c>
      <c r="N195" s="338">
        <f t="shared" si="4"/>
        <v>0</v>
      </c>
      <c r="O195" s="368"/>
      <c r="P195" s="347">
        <f t="shared" si="19"/>
        <v>0</v>
      </c>
      <c r="Q195" s="348"/>
      <c r="R195" s="369"/>
      <c r="S195" s="349">
        <f t="shared" si="20"/>
        <v>0</v>
      </c>
      <c r="T195" s="348"/>
      <c r="U195" s="369"/>
      <c r="V195" s="349">
        <f t="shared" si="5"/>
        <v>0</v>
      </c>
      <c r="W195" s="348"/>
      <c r="X195" s="318" t="str">
        <f t="shared" si="6"/>
        <v/>
      </c>
      <c r="Y195" s="370" t="e">
        <f t="shared" si="7"/>
        <v>#VALUE!</v>
      </c>
      <c r="Z195" s="343" t="s">
        <v>85</v>
      </c>
      <c r="AA195" s="345">
        <v>0.01</v>
      </c>
      <c r="AB195" s="352">
        <f t="shared" si="8"/>
        <v>0</v>
      </c>
      <c r="AC195" s="353"/>
      <c r="AD195" s="354"/>
      <c r="AE195" s="378" t="str">
        <f t="shared" si="21"/>
        <v/>
      </c>
      <c r="AF195" s="329"/>
      <c r="AG195" s="358"/>
      <c r="AH195" s="356" t="str">
        <f t="shared" si="22"/>
        <v/>
      </c>
      <c r="AI195" s="329"/>
      <c r="AJ195" s="329"/>
      <c r="AK195" s="356">
        <f t="shared" si="11"/>
        <v>0</v>
      </c>
      <c r="AL195" s="357"/>
      <c r="AM195" s="358"/>
      <c r="AN195" s="356">
        <f t="shared" si="12"/>
        <v>0</v>
      </c>
      <c r="AO195" s="329"/>
      <c r="AP195" s="358"/>
      <c r="AQ195" s="359">
        <f t="shared" si="13"/>
        <v>0</v>
      </c>
      <c r="AR195" s="360"/>
      <c r="AS195" s="358"/>
      <c r="AT195" s="356">
        <f t="shared" si="14"/>
        <v>0</v>
      </c>
      <c r="AU195" s="329"/>
      <c r="AV195" s="358"/>
      <c r="AW195" s="359">
        <f t="shared" si="15"/>
        <v>0</v>
      </c>
      <c r="AX195" s="329"/>
      <c r="AY195" s="358"/>
      <c r="AZ195" s="359">
        <f t="shared" si="16"/>
        <v>0</v>
      </c>
      <c r="BA195" s="329">
        <f>IF('Degrémont Entrée'!K195="",,('Degrémont Entrée'!K195-I195)/'Degrémont Entrée'!K195*100)</f>
        <v>50.698486612339934</v>
      </c>
      <c r="BB195" s="329">
        <f>IF('Degrémont Entrée'!G195="",,('Degrémont Entrée'!G195-G195)/'Degrémont Entrée'!G195*100)</f>
        <v>94.615384615384613</v>
      </c>
      <c r="BC195" s="329">
        <f>IF('Degrémont Entrée'!S195="",,('Degrémont Entrée'!S195-M195)/'Degrémont Entrée'!S195*100)</f>
        <v>95.95930232558139</v>
      </c>
      <c r="BD195" s="361" t="str">
        <f ca="1">IFERROR(__xludf.DUMMYFUNCTION("""COMPUTED_VALUE"""),"#DIV/0!")</f>
        <v>#DIV/0!</v>
      </c>
      <c r="BE195" s="362"/>
      <c r="BF195" s="363"/>
      <c r="BG195" s="363"/>
      <c r="BH195" s="338">
        <f t="shared" si="17"/>
        <v>0</v>
      </c>
      <c r="BI195" s="364"/>
      <c r="BJ195" s="365"/>
      <c r="BK195" s="366">
        <f>'Degrémont Entrée'!BH195</f>
        <v>0</v>
      </c>
      <c r="BL195" s="367">
        <f>'Degrémont Entrée'!BI195</f>
        <v>0</v>
      </c>
    </row>
    <row r="196" spans="1:64" ht="14.25" outlineLevel="1">
      <c r="A196" s="337">
        <f t="shared" si="18"/>
        <v>43648</v>
      </c>
      <c r="B196" s="338">
        <f>'Degrémont Entrée'!B196</f>
        <v>0</v>
      </c>
      <c r="C196" s="339">
        <v>8.6999999999999993</v>
      </c>
      <c r="D196" s="340">
        <v>90.2</v>
      </c>
      <c r="E196" s="341">
        <v>90.5</v>
      </c>
      <c r="F196" s="342">
        <v>100</v>
      </c>
      <c r="G196" s="329">
        <f t="shared" si="0"/>
        <v>2.9999999999999716</v>
      </c>
      <c r="H196" s="338"/>
      <c r="I196" s="343">
        <v>1190</v>
      </c>
      <c r="J196" s="344">
        <f t="shared" si="2"/>
        <v>0</v>
      </c>
      <c r="K196" s="343">
        <v>1</v>
      </c>
      <c r="L196" s="345">
        <v>0.69</v>
      </c>
      <c r="M196" s="346">
        <f t="shared" si="3"/>
        <v>0.69</v>
      </c>
      <c r="N196" s="338">
        <f t="shared" si="4"/>
        <v>0</v>
      </c>
      <c r="O196" s="341">
        <v>16.8</v>
      </c>
      <c r="P196" s="347">
        <f t="shared" si="19"/>
        <v>0</v>
      </c>
      <c r="Q196" s="348"/>
      <c r="R196" s="369"/>
      <c r="S196" s="349">
        <f t="shared" si="20"/>
        <v>0</v>
      </c>
      <c r="T196" s="348"/>
      <c r="U196" s="369"/>
      <c r="V196" s="349">
        <f t="shared" si="5"/>
        <v>0</v>
      </c>
      <c r="W196" s="348"/>
      <c r="X196" s="318">
        <f t="shared" si="6"/>
        <v>16.8</v>
      </c>
      <c r="Y196" s="370">
        <f t="shared" si="7"/>
        <v>0</v>
      </c>
      <c r="Z196" s="343" t="s">
        <v>85</v>
      </c>
      <c r="AA196" s="345">
        <v>0.01</v>
      </c>
      <c r="AB196" s="352">
        <f t="shared" si="8"/>
        <v>0</v>
      </c>
      <c r="AC196" s="353"/>
      <c r="AD196" s="354"/>
      <c r="AE196" s="378" t="str">
        <f t="shared" si="21"/>
        <v/>
      </c>
      <c r="AF196" s="329"/>
      <c r="AG196" s="355">
        <v>0.71</v>
      </c>
      <c r="AH196" s="356">
        <f t="shared" si="22"/>
        <v>0</v>
      </c>
      <c r="AI196" s="329"/>
      <c r="AJ196" s="345">
        <v>0.62</v>
      </c>
      <c r="AK196" s="356">
        <f t="shared" si="11"/>
        <v>0</v>
      </c>
      <c r="AL196" s="357"/>
      <c r="AM196" s="355">
        <v>0.02</v>
      </c>
      <c r="AN196" s="356">
        <f t="shared" si="12"/>
        <v>0</v>
      </c>
      <c r="AO196" s="329"/>
      <c r="AP196" s="355">
        <v>0.22</v>
      </c>
      <c r="AQ196" s="359">
        <f t="shared" si="13"/>
        <v>0</v>
      </c>
      <c r="AR196" s="360"/>
      <c r="AS196" s="355">
        <v>0.48</v>
      </c>
      <c r="AT196" s="356">
        <f t="shared" si="14"/>
        <v>0</v>
      </c>
      <c r="AU196" s="345" t="s">
        <v>85</v>
      </c>
      <c r="AV196" s="355">
        <v>0.15</v>
      </c>
      <c r="AW196" s="359">
        <f t="shared" si="15"/>
        <v>0</v>
      </c>
      <c r="AX196" s="345" t="s">
        <v>85</v>
      </c>
      <c r="AY196" s="355">
        <v>0.13</v>
      </c>
      <c r="AZ196" s="359">
        <f t="shared" si="16"/>
        <v>0</v>
      </c>
      <c r="BA196" s="329">
        <f>IF('Degrémont Entrée'!K196="",,('Degrémont Entrée'!K196-I196)/'Degrémont Entrée'!K196*100)</f>
        <v>46.372239747634069</v>
      </c>
      <c r="BB196" s="329">
        <f>IF('Degrémont Entrée'!G196="",,('Degrémont Entrée'!G196-G196)/'Degrémont Entrée'!G196*100)</f>
        <v>99.580204778156997</v>
      </c>
      <c r="BC196" s="329">
        <f>IF('Degrémont Entrée'!S196="",,('Degrémont Entrée'!S196-M196)/'Degrémont Entrée'!S196*100)</f>
        <v>98.349282296650713</v>
      </c>
      <c r="BD196" s="361" t="str">
        <f ca="1">IFERROR(__xludf.DUMMYFUNCTION("""COMPUTED_VALUE"""),"#DIV/0!")</f>
        <v>#DIV/0!</v>
      </c>
      <c r="BE196" s="362"/>
      <c r="BF196" s="363"/>
      <c r="BG196" s="363"/>
      <c r="BH196" s="338">
        <f t="shared" si="17"/>
        <v>0</v>
      </c>
      <c r="BI196" s="364"/>
      <c r="BJ196" s="365"/>
      <c r="BK196" s="371">
        <f>'Degrémont Entrée'!BH196</f>
        <v>0</v>
      </c>
      <c r="BL196" s="372">
        <f>'Degrémont Entrée'!BI196</f>
        <v>0</v>
      </c>
    </row>
    <row r="197" spans="1:64" ht="15.75" customHeight="1" outlineLevel="1">
      <c r="A197" s="337">
        <f t="shared" si="18"/>
        <v>43649</v>
      </c>
      <c r="B197" s="338">
        <f>'Degrémont Entrée'!B197</f>
        <v>0</v>
      </c>
      <c r="C197" s="339">
        <v>8.9</v>
      </c>
      <c r="D197" s="340">
        <v>89</v>
      </c>
      <c r="E197" s="341">
        <v>91.8</v>
      </c>
      <c r="F197" s="342">
        <v>200</v>
      </c>
      <c r="G197" s="329">
        <f t="shared" si="0"/>
        <v>13.999999999999986</v>
      </c>
      <c r="H197" s="338"/>
      <c r="I197" s="343">
        <v>789</v>
      </c>
      <c r="J197" s="344">
        <f t="shared" si="2"/>
        <v>0</v>
      </c>
      <c r="K197" s="343">
        <v>1</v>
      </c>
      <c r="L197" s="345">
        <v>0.74</v>
      </c>
      <c r="M197" s="346">
        <f t="shared" si="3"/>
        <v>0.74</v>
      </c>
      <c r="N197" s="338">
        <f t="shared" si="4"/>
        <v>0</v>
      </c>
      <c r="O197" s="368"/>
      <c r="P197" s="347">
        <f t="shared" si="19"/>
        <v>0</v>
      </c>
      <c r="Q197" s="348"/>
      <c r="R197" s="369"/>
      <c r="S197" s="349">
        <f t="shared" si="20"/>
        <v>0</v>
      </c>
      <c r="T197" s="348"/>
      <c r="U197" s="369"/>
      <c r="V197" s="349">
        <f t="shared" si="5"/>
        <v>0</v>
      </c>
      <c r="W197" s="348"/>
      <c r="X197" s="318" t="str">
        <f t="shared" si="6"/>
        <v/>
      </c>
      <c r="Y197" s="370" t="e">
        <f t="shared" si="7"/>
        <v>#VALUE!</v>
      </c>
      <c r="Z197" s="343" t="s">
        <v>85</v>
      </c>
      <c r="AA197" s="345">
        <v>0.01</v>
      </c>
      <c r="AB197" s="352">
        <f t="shared" si="8"/>
        <v>0</v>
      </c>
      <c r="AC197" s="353"/>
      <c r="AD197" s="354"/>
      <c r="AE197" s="378" t="str">
        <f t="shared" si="21"/>
        <v/>
      </c>
      <c r="AF197" s="329"/>
      <c r="AG197" s="358"/>
      <c r="AH197" s="356" t="str">
        <f t="shared" si="22"/>
        <v/>
      </c>
      <c r="AI197" s="329"/>
      <c r="AJ197" s="329"/>
      <c r="AK197" s="356">
        <f t="shared" si="11"/>
        <v>0</v>
      </c>
      <c r="AL197" s="357"/>
      <c r="AM197" s="358"/>
      <c r="AN197" s="356">
        <f t="shared" si="12"/>
        <v>0</v>
      </c>
      <c r="AO197" s="329"/>
      <c r="AP197" s="358"/>
      <c r="AQ197" s="359">
        <f t="shared" si="13"/>
        <v>0</v>
      </c>
      <c r="AR197" s="360"/>
      <c r="AS197" s="358"/>
      <c r="AT197" s="356">
        <f t="shared" si="14"/>
        <v>0</v>
      </c>
      <c r="AU197" s="329"/>
      <c r="AV197" s="358"/>
      <c r="AW197" s="359">
        <f t="shared" si="15"/>
        <v>0</v>
      </c>
      <c r="AX197" s="329"/>
      <c r="AY197" s="358"/>
      <c r="AZ197" s="359">
        <f t="shared" si="16"/>
        <v>0</v>
      </c>
      <c r="BA197" s="329">
        <f>IF('Degrémont Entrée'!K197="",,('Degrémont Entrée'!K197-I197)/'Degrémont Entrée'!K197*100)</f>
        <v>26.808905380333954</v>
      </c>
      <c r="BB197" s="329">
        <f>IF('Degrémont Entrée'!G197="",,('Degrémont Entrée'!G197-G197)/'Degrémont Entrée'!G197*100)</f>
        <v>96.818181818181813</v>
      </c>
      <c r="BC197" s="329">
        <f>IF('Degrémont Entrée'!S197="",,('Degrémont Entrée'!S197-M197)/'Degrémont Entrée'!S197*100)</f>
        <v>95.316455696202524</v>
      </c>
      <c r="BD197" s="361" t="str">
        <f ca="1">IFERROR(__xludf.DUMMYFUNCTION("""COMPUTED_VALUE"""),"#DIV/0!")</f>
        <v>#DIV/0!</v>
      </c>
      <c r="BE197" s="386">
        <v>21.854399999999998</v>
      </c>
      <c r="BF197" s="387">
        <v>32.6922</v>
      </c>
      <c r="BG197" s="387">
        <v>26.871400000000001</v>
      </c>
      <c r="BH197" s="338">
        <f t="shared" si="17"/>
        <v>46.291682813855232</v>
      </c>
      <c r="BI197" s="364"/>
      <c r="BJ197" s="365"/>
      <c r="BK197" s="366">
        <f>'Degrémont Entrée'!BH197</f>
        <v>0</v>
      </c>
      <c r="BL197" s="367">
        <f>'Degrémont Entrée'!BI197</f>
        <v>0</v>
      </c>
    </row>
    <row r="198" spans="1:64" ht="14.25" outlineLevel="1">
      <c r="A198" s="337">
        <f t="shared" si="18"/>
        <v>43650</v>
      </c>
      <c r="B198" s="338">
        <f>'Degrémont Entrée'!B198</f>
        <v>0</v>
      </c>
      <c r="C198" s="339">
        <v>8.51</v>
      </c>
      <c r="D198" s="340">
        <v>88.8</v>
      </c>
      <c r="E198" s="341">
        <v>91</v>
      </c>
      <c r="F198" s="342">
        <v>200</v>
      </c>
      <c r="G198" s="329">
        <f t="shared" si="0"/>
        <v>11.000000000000014</v>
      </c>
      <c r="H198" s="338"/>
      <c r="I198" s="343">
        <v>528</v>
      </c>
      <c r="J198" s="344">
        <f t="shared" si="2"/>
        <v>0</v>
      </c>
      <c r="K198" s="343">
        <v>1</v>
      </c>
      <c r="L198" s="345">
        <v>0.63</v>
      </c>
      <c r="M198" s="346">
        <f t="shared" si="3"/>
        <v>0.63</v>
      </c>
      <c r="N198" s="338">
        <f t="shared" si="4"/>
        <v>0</v>
      </c>
      <c r="O198" s="368"/>
      <c r="P198" s="347">
        <f t="shared" si="19"/>
        <v>0</v>
      </c>
      <c r="Q198" s="348"/>
      <c r="R198" s="369"/>
      <c r="S198" s="349">
        <f t="shared" si="20"/>
        <v>0</v>
      </c>
      <c r="T198" s="348"/>
      <c r="U198" s="369"/>
      <c r="V198" s="349">
        <f t="shared" si="5"/>
        <v>0</v>
      </c>
      <c r="W198" s="348"/>
      <c r="X198" s="318" t="str">
        <f t="shared" si="6"/>
        <v/>
      </c>
      <c r="Y198" s="370" t="e">
        <f t="shared" si="7"/>
        <v>#VALUE!</v>
      </c>
      <c r="Z198" s="343" t="s">
        <v>85</v>
      </c>
      <c r="AA198" s="345">
        <v>0.01</v>
      </c>
      <c r="AB198" s="352">
        <f t="shared" si="8"/>
        <v>0</v>
      </c>
      <c r="AC198" s="353"/>
      <c r="AD198" s="354"/>
      <c r="AE198" s="378" t="str">
        <f t="shared" si="21"/>
        <v/>
      </c>
      <c r="AF198" s="329"/>
      <c r="AG198" s="358"/>
      <c r="AH198" s="356" t="str">
        <f t="shared" si="22"/>
        <v/>
      </c>
      <c r="AI198" s="329"/>
      <c r="AJ198" s="329"/>
      <c r="AK198" s="356">
        <f t="shared" si="11"/>
        <v>0</v>
      </c>
      <c r="AL198" s="357"/>
      <c r="AM198" s="358"/>
      <c r="AN198" s="356">
        <f t="shared" si="12"/>
        <v>0</v>
      </c>
      <c r="AO198" s="329"/>
      <c r="AP198" s="358"/>
      <c r="AQ198" s="359">
        <f t="shared" si="13"/>
        <v>0</v>
      </c>
      <c r="AR198" s="360"/>
      <c r="AS198" s="358"/>
      <c r="AT198" s="356">
        <f t="shared" si="14"/>
        <v>0</v>
      </c>
      <c r="AU198" s="329"/>
      <c r="AV198" s="358"/>
      <c r="AW198" s="359">
        <f t="shared" si="15"/>
        <v>0</v>
      </c>
      <c r="AX198" s="329"/>
      <c r="AY198" s="358"/>
      <c r="AZ198" s="359">
        <f t="shared" si="16"/>
        <v>0</v>
      </c>
      <c r="BA198" s="329">
        <f>IF('Degrémont Entrée'!K198="",,('Degrémont Entrée'!K198-I198)/'Degrémont Entrée'!K198*100)</f>
        <v>65.869424692954098</v>
      </c>
      <c r="BB198" s="329">
        <f>IF('Degrémont Entrée'!G198="",,('Degrémont Entrée'!G198-G198)/'Degrémont Entrée'!G198*100)</f>
        <v>98.720930232558132</v>
      </c>
      <c r="BC198" s="329">
        <f>IF('Degrémont Entrée'!S198="",,('Degrémont Entrée'!S198-M198)/'Degrémont Entrée'!S198*100)</f>
        <v>98.125</v>
      </c>
      <c r="BD198" s="361" t="str">
        <f ca="1">IFERROR(__xludf.DUMMYFUNCTION("""COMPUTED_VALUE"""),"#DIV/0!")</f>
        <v>#DIV/0!</v>
      </c>
      <c r="BE198" s="362"/>
      <c r="BF198" s="363"/>
      <c r="BG198" s="363"/>
      <c r="BH198" s="338">
        <f t="shared" si="17"/>
        <v>0</v>
      </c>
      <c r="BI198" s="364"/>
      <c r="BJ198" s="365"/>
      <c r="BK198" s="371">
        <f>'Degrémont Entrée'!BH198</f>
        <v>0</v>
      </c>
      <c r="BL198" s="372">
        <f>'Degrémont Entrée'!BI198</f>
        <v>0</v>
      </c>
    </row>
    <row r="199" spans="1:64" ht="15.75" customHeight="1" outlineLevel="1">
      <c r="A199" s="337">
        <f t="shared" si="18"/>
        <v>43651</v>
      </c>
      <c r="B199" s="338">
        <f>'Degrémont Entrée'!B199</f>
        <v>0</v>
      </c>
      <c r="C199" s="339">
        <v>8.1999999999999993</v>
      </c>
      <c r="D199" s="340">
        <v>90.1</v>
      </c>
      <c r="E199" s="341">
        <v>95</v>
      </c>
      <c r="F199" s="342">
        <v>200</v>
      </c>
      <c r="G199" s="329">
        <f t="shared" si="0"/>
        <v>24.500000000000028</v>
      </c>
      <c r="H199" s="338"/>
      <c r="I199" s="343">
        <v>1132</v>
      </c>
      <c r="J199" s="344">
        <f t="shared" si="2"/>
        <v>0</v>
      </c>
      <c r="K199" s="343">
        <v>1</v>
      </c>
      <c r="L199" s="345">
        <v>1.58</v>
      </c>
      <c r="M199" s="346">
        <f t="shared" si="3"/>
        <v>1.58</v>
      </c>
      <c r="N199" s="338">
        <f t="shared" si="4"/>
        <v>0</v>
      </c>
      <c r="O199" s="368"/>
      <c r="P199" s="347">
        <f t="shared" si="19"/>
        <v>0</v>
      </c>
      <c r="Q199" s="348"/>
      <c r="R199" s="369"/>
      <c r="S199" s="349">
        <f t="shared" si="20"/>
        <v>0</v>
      </c>
      <c r="T199" s="348"/>
      <c r="U199" s="369"/>
      <c r="V199" s="349">
        <f t="shared" si="5"/>
        <v>0</v>
      </c>
      <c r="W199" s="348"/>
      <c r="X199" s="318" t="str">
        <f t="shared" si="6"/>
        <v/>
      </c>
      <c r="Y199" s="370" t="e">
        <f t="shared" si="7"/>
        <v>#VALUE!</v>
      </c>
      <c r="Z199" s="343" t="s">
        <v>85</v>
      </c>
      <c r="AA199" s="345">
        <v>0.01</v>
      </c>
      <c r="AB199" s="352">
        <f t="shared" si="8"/>
        <v>0</v>
      </c>
      <c r="AC199" s="353"/>
      <c r="AD199" s="354"/>
      <c r="AE199" s="378" t="str">
        <f t="shared" si="21"/>
        <v/>
      </c>
      <c r="AF199" s="329"/>
      <c r="AG199" s="358"/>
      <c r="AH199" s="356" t="str">
        <f t="shared" si="22"/>
        <v/>
      </c>
      <c r="AI199" s="329"/>
      <c r="AJ199" s="329"/>
      <c r="AK199" s="356">
        <f t="shared" si="11"/>
        <v>0</v>
      </c>
      <c r="AL199" s="357"/>
      <c r="AM199" s="358"/>
      <c r="AN199" s="356">
        <f t="shared" si="12"/>
        <v>0</v>
      </c>
      <c r="AO199" s="329"/>
      <c r="AP199" s="358"/>
      <c r="AQ199" s="359">
        <f t="shared" si="13"/>
        <v>0</v>
      </c>
      <c r="AR199" s="360"/>
      <c r="AS199" s="358"/>
      <c r="AT199" s="356">
        <f t="shared" si="14"/>
        <v>0</v>
      </c>
      <c r="AU199" s="329"/>
      <c r="AV199" s="358"/>
      <c r="AW199" s="359">
        <f t="shared" si="15"/>
        <v>0</v>
      </c>
      <c r="AX199" s="329"/>
      <c r="AY199" s="358"/>
      <c r="AZ199" s="359">
        <f t="shared" si="16"/>
        <v>0</v>
      </c>
      <c r="BA199" s="329">
        <f>IF('Degrémont Entrée'!K199="",,('Degrémont Entrée'!K199-I199)/'Degrémont Entrée'!K199*100)</f>
        <v>32.215568862275454</v>
      </c>
      <c r="BB199" s="329">
        <f>IF('Degrémont Entrée'!G199="",,('Degrémont Entrée'!G199-G199)/'Degrémont Entrée'!G199*100)</f>
        <v>95.968354430379748</v>
      </c>
      <c r="BC199" s="329">
        <f>IF('Degrémont Entrée'!S199="",,('Degrémont Entrée'!S199-M199)/'Degrémont Entrée'!S199*100)</f>
        <v>92.752293577981646</v>
      </c>
      <c r="BD199" s="361" t="str">
        <f ca="1">IFERROR(__xludf.DUMMYFUNCTION("""COMPUTED_VALUE"""),"#DIV/0!")</f>
        <v>#DIV/0!</v>
      </c>
      <c r="BE199" s="362"/>
      <c r="BF199" s="363"/>
      <c r="BG199" s="363"/>
      <c r="BH199" s="338">
        <f t="shared" si="17"/>
        <v>0</v>
      </c>
      <c r="BI199" s="364"/>
      <c r="BJ199" s="365"/>
      <c r="BK199" s="366">
        <f>'Degrémont Entrée'!BH199</f>
        <v>0</v>
      </c>
      <c r="BL199" s="367">
        <f>'Degrémont Entrée'!BI199</f>
        <v>0</v>
      </c>
    </row>
    <row r="200" spans="1:64" ht="14.25" outlineLevel="1">
      <c r="A200" s="337">
        <f t="shared" si="18"/>
        <v>43652</v>
      </c>
      <c r="B200" s="338">
        <f>'Degrémont Entrée'!B200</f>
        <v>0</v>
      </c>
      <c r="C200" s="339">
        <v>8.3000000000000007</v>
      </c>
      <c r="D200" s="340">
        <v>89.8</v>
      </c>
      <c r="E200" s="341">
        <v>92.1</v>
      </c>
      <c r="F200" s="342">
        <v>200</v>
      </c>
      <c r="G200" s="329">
        <f t="shared" si="0"/>
        <v>11.499999999999986</v>
      </c>
      <c r="H200" s="338"/>
      <c r="I200" s="343">
        <v>668</v>
      </c>
      <c r="J200" s="344">
        <f t="shared" si="2"/>
        <v>0</v>
      </c>
      <c r="K200" s="343">
        <v>1</v>
      </c>
      <c r="L200" s="345">
        <v>0.43</v>
      </c>
      <c r="M200" s="346">
        <f t="shared" si="3"/>
        <v>0.43</v>
      </c>
      <c r="N200" s="338">
        <f t="shared" si="4"/>
        <v>0</v>
      </c>
      <c r="O200" s="368"/>
      <c r="P200" s="347">
        <f t="shared" si="19"/>
        <v>0</v>
      </c>
      <c r="Q200" s="348"/>
      <c r="R200" s="369"/>
      <c r="S200" s="349">
        <f t="shared" si="20"/>
        <v>0</v>
      </c>
      <c r="T200" s="348"/>
      <c r="U200" s="369"/>
      <c r="V200" s="349">
        <f t="shared" si="5"/>
        <v>0</v>
      </c>
      <c r="W200" s="348"/>
      <c r="X200" s="318" t="str">
        <f t="shared" si="6"/>
        <v/>
      </c>
      <c r="Y200" s="370" t="e">
        <f t="shared" si="7"/>
        <v>#VALUE!</v>
      </c>
      <c r="Z200" s="343" t="s">
        <v>85</v>
      </c>
      <c r="AA200" s="345">
        <v>0.01</v>
      </c>
      <c r="AB200" s="352">
        <f t="shared" si="8"/>
        <v>0</v>
      </c>
      <c r="AC200" s="353"/>
      <c r="AD200" s="354"/>
      <c r="AE200" s="378" t="str">
        <f t="shared" si="21"/>
        <v/>
      </c>
      <c r="AF200" s="329"/>
      <c r="AG200" s="358"/>
      <c r="AH200" s="356" t="str">
        <f t="shared" si="22"/>
        <v/>
      </c>
      <c r="AI200" s="329"/>
      <c r="AJ200" s="329"/>
      <c r="AK200" s="356">
        <f t="shared" si="11"/>
        <v>0</v>
      </c>
      <c r="AL200" s="357"/>
      <c r="AM200" s="358"/>
      <c r="AN200" s="356">
        <f t="shared" si="12"/>
        <v>0</v>
      </c>
      <c r="AO200" s="329"/>
      <c r="AP200" s="358"/>
      <c r="AQ200" s="359">
        <f t="shared" si="13"/>
        <v>0</v>
      </c>
      <c r="AR200" s="360"/>
      <c r="AS200" s="358"/>
      <c r="AT200" s="356">
        <f t="shared" si="14"/>
        <v>0</v>
      </c>
      <c r="AU200" s="329"/>
      <c r="AV200" s="358"/>
      <c r="AW200" s="359">
        <f t="shared" si="15"/>
        <v>0</v>
      </c>
      <c r="AX200" s="329"/>
      <c r="AY200" s="358"/>
      <c r="AZ200" s="359">
        <f t="shared" si="16"/>
        <v>0</v>
      </c>
      <c r="BA200" s="329">
        <f>IF('Degrémont Entrée'!K200="",,('Degrémont Entrée'!K200-I200)/'Degrémont Entrée'!K200*100)</f>
        <v>64.618644067796609</v>
      </c>
      <c r="BB200" s="329">
        <f>IF('Degrémont Entrée'!G200="",,('Degrémont Entrée'!G200-G200)/'Degrémont Entrée'!G200*100)</f>
        <v>98.120622568093381</v>
      </c>
      <c r="BC200" s="329">
        <f>IF('Degrémont Entrée'!S200="",,('Degrémont Entrée'!S200-M200)/'Degrémont Entrée'!S200*100)</f>
        <v>98.30708661417323</v>
      </c>
      <c r="BD200" s="361" t="str">
        <f ca="1">IFERROR(__xludf.DUMMYFUNCTION("""COMPUTED_VALUE"""),"#DIV/0!")</f>
        <v>#DIV/0!</v>
      </c>
      <c r="BE200" s="362"/>
      <c r="BF200" s="363"/>
      <c r="BG200" s="363"/>
      <c r="BH200" s="338">
        <f t="shared" si="17"/>
        <v>0</v>
      </c>
      <c r="BI200" s="364"/>
      <c r="BJ200" s="365"/>
      <c r="BK200" s="371">
        <f>'Degrémont Entrée'!BH200</f>
        <v>0</v>
      </c>
      <c r="BL200" s="372">
        <f>'Degrémont Entrée'!BI200</f>
        <v>0</v>
      </c>
    </row>
    <row r="201" spans="1:64" ht="15.75" customHeight="1" outlineLevel="1">
      <c r="A201" s="337">
        <f t="shared" si="18"/>
        <v>43653</v>
      </c>
      <c r="B201" s="338">
        <f>'Degrémont Entrée'!B201</f>
        <v>0</v>
      </c>
      <c r="C201" s="338"/>
      <c r="D201" s="388"/>
      <c r="E201" s="368"/>
      <c r="F201" s="357"/>
      <c r="G201" s="329">
        <f t="shared" si="0"/>
        <v>0</v>
      </c>
      <c r="H201" s="338"/>
      <c r="I201" s="346"/>
      <c r="J201" s="344">
        <f t="shared" si="2"/>
        <v>0</v>
      </c>
      <c r="K201" s="343">
        <v>1</v>
      </c>
      <c r="L201" s="329"/>
      <c r="M201" s="346" t="str">
        <f t="shared" si="3"/>
        <v/>
      </c>
      <c r="N201" s="338" t="e">
        <f t="shared" si="4"/>
        <v>#VALUE!</v>
      </c>
      <c r="O201" s="368"/>
      <c r="P201" s="347">
        <f t="shared" si="19"/>
        <v>0</v>
      </c>
      <c r="Q201" s="348"/>
      <c r="R201" s="369"/>
      <c r="S201" s="349">
        <f t="shared" si="20"/>
        <v>0</v>
      </c>
      <c r="T201" s="348"/>
      <c r="U201" s="369"/>
      <c r="V201" s="349">
        <f t="shared" si="5"/>
        <v>0</v>
      </c>
      <c r="W201" s="348"/>
      <c r="X201" s="318" t="str">
        <f t="shared" si="6"/>
        <v/>
      </c>
      <c r="Y201" s="370" t="e">
        <f t="shared" si="7"/>
        <v>#VALUE!</v>
      </c>
      <c r="Z201" s="346"/>
      <c r="AA201" s="329"/>
      <c r="AB201" s="352">
        <f t="shared" si="8"/>
        <v>0</v>
      </c>
      <c r="AC201" s="353"/>
      <c r="AD201" s="354"/>
      <c r="AE201" s="378" t="str">
        <f t="shared" si="21"/>
        <v/>
      </c>
      <c r="AF201" s="329"/>
      <c r="AG201" s="358"/>
      <c r="AH201" s="356" t="str">
        <f t="shared" si="22"/>
        <v/>
      </c>
      <c r="AI201" s="329"/>
      <c r="AJ201" s="329"/>
      <c r="AK201" s="356">
        <f t="shared" si="11"/>
        <v>0</v>
      </c>
      <c r="AL201" s="357"/>
      <c r="AM201" s="358"/>
      <c r="AN201" s="356">
        <f t="shared" si="12"/>
        <v>0</v>
      </c>
      <c r="AO201" s="329"/>
      <c r="AP201" s="358"/>
      <c r="AQ201" s="359">
        <f t="shared" si="13"/>
        <v>0</v>
      </c>
      <c r="AR201" s="360"/>
      <c r="AS201" s="358"/>
      <c r="AT201" s="356">
        <f t="shared" si="14"/>
        <v>0</v>
      </c>
      <c r="AU201" s="329"/>
      <c r="AV201" s="358"/>
      <c r="AW201" s="359">
        <f t="shared" si="15"/>
        <v>0</v>
      </c>
      <c r="AX201" s="329"/>
      <c r="AY201" s="358"/>
      <c r="AZ201" s="359">
        <f t="shared" si="16"/>
        <v>0</v>
      </c>
      <c r="BA201" s="329" t="e">
        <f>IF('Degrémont Entrée'!K201="",,('Degrémont Entrée'!K201-I201)/'Degrémont Entrée'!K201*100)</f>
        <v>#DIV/0!</v>
      </c>
      <c r="BB201" s="329" t="e">
        <f>IF('Degrémont Entrée'!G201="",,('Degrémont Entrée'!G201-G201)/'Degrémont Entrée'!G201*100)</f>
        <v>#DIV/0!</v>
      </c>
      <c r="BC201" s="329">
        <f>IF('Degrémont Entrée'!S201="",,('Degrémont Entrée'!S201-M201)/'Degrémont Entrée'!S201*100)</f>
        <v>0</v>
      </c>
      <c r="BD201" s="361" t="str">
        <f ca="1">IFERROR(__xludf.DUMMYFUNCTION("""COMPUTED_VALUE"""),"#DIV/0!")</f>
        <v>#DIV/0!</v>
      </c>
      <c r="BE201" s="362"/>
      <c r="BF201" s="363"/>
      <c r="BG201" s="363"/>
      <c r="BH201" s="338">
        <f t="shared" si="17"/>
        <v>0</v>
      </c>
      <c r="BI201" s="364"/>
      <c r="BJ201" s="365"/>
      <c r="BK201" s="366">
        <f>'Degrémont Entrée'!BH201</f>
        <v>0</v>
      </c>
      <c r="BL201" s="367">
        <f>'Degrémont Entrée'!BI201</f>
        <v>0</v>
      </c>
    </row>
    <row r="202" spans="1:64" ht="14.25" outlineLevel="1">
      <c r="A202" s="337">
        <f t="shared" si="18"/>
        <v>43654</v>
      </c>
      <c r="B202" s="338">
        <f>'Degrémont Entrée'!B202</f>
        <v>0</v>
      </c>
      <c r="C202" s="339">
        <v>8.1999999999999993</v>
      </c>
      <c r="D202" s="340">
        <v>89.2</v>
      </c>
      <c r="E202" s="341">
        <v>92.4</v>
      </c>
      <c r="F202" s="342">
        <v>100</v>
      </c>
      <c r="G202" s="329">
        <f t="shared" si="0"/>
        <v>32.000000000000028</v>
      </c>
      <c r="H202" s="338"/>
      <c r="I202" s="343">
        <v>784</v>
      </c>
      <c r="J202" s="344">
        <f t="shared" si="2"/>
        <v>0</v>
      </c>
      <c r="K202" s="343">
        <v>1</v>
      </c>
      <c r="L202" s="345">
        <v>1.24</v>
      </c>
      <c r="M202" s="346">
        <f t="shared" si="3"/>
        <v>1.24</v>
      </c>
      <c r="N202" s="338">
        <f t="shared" si="4"/>
        <v>0</v>
      </c>
      <c r="O202" s="368"/>
      <c r="P202" s="347">
        <f t="shared" si="19"/>
        <v>0</v>
      </c>
      <c r="Q202" s="348"/>
      <c r="R202" s="369"/>
      <c r="S202" s="349">
        <f t="shared" si="20"/>
        <v>0</v>
      </c>
      <c r="T202" s="348"/>
      <c r="U202" s="369"/>
      <c r="V202" s="349">
        <f t="shared" si="5"/>
        <v>0</v>
      </c>
      <c r="W202" s="348"/>
      <c r="X202" s="318" t="str">
        <f t="shared" si="6"/>
        <v/>
      </c>
      <c r="Y202" s="370" t="e">
        <f t="shared" si="7"/>
        <v>#VALUE!</v>
      </c>
      <c r="Z202" s="343" t="s">
        <v>85</v>
      </c>
      <c r="AA202" s="345">
        <v>0.01</v>
      </c>
      <c r="AB202" s="352">
        <f t="shared" si="8"/>
        <v>0</v>
      </c>
      <c r="AC202" s="353"/>
      <c r="AD202" s="354"/>
      <c r="AE202" s="378" t="str">
        <f t="shared" si="21"/>
        <v/>
      </c>
      <c r="AF202" s="329"/>
      <c r="AG202" s="358"/>
      <c r="AH202" s="356" t="str">
        <f t="shared" si="22"/>
        <v/>
      </c>
      <c r="AI202" s="329"/>
      <c r="AJ202" s="329"/>
      <c r="AK202" s="356">
        <f t="shared" si="11"/>
        <v>0</v>
      </c>
      <c r="AL202" s="357"/>
      <c r="AM202" s="358"/>
      <c r="AN202" s="356">
        <f t="shared" si="12"/>
        <v>0</v>
      </c>
      <c r="AO202" s="329"/>
      <c r="AP202" s="358"/>
      <c r="AQ202" s="359">
        <f t="shared" si="13"/>
        <v>0</v>
      </c>
      <c r="AR202" s="360"/>
      <c r="AS202" s="358"/>
      <c r="AT202" s="356">
        <f t="shared" si="14"/>
        <v>0</v>
      </c>
      <c r="AU202" s="329"/>
      <c r="AV202" s="358"/>
      <c r="AW202" s="359">
        <f t="shared" si="15"/>
        <v>0</v>
      </c>
      <c r="AX202" s="329"/>
      <c r="AY202" s="358"/>
      <c r="AZ202" s="359">
        <f t="shared" si="16"/>
        <v>0</v>
      </c>
      <c r="BA202" s="329">
        <f>IF('Degrémont Entrée'!K202="",,('Degrémont Entrée'!K202-I202)/'Degrémont Entrée'!K202*100)</f>
        <v>80.864046863558698</v>
      </c>
      <c r="BB202" s="329">
        <f>IF('Degrémont Entrée'!G202="",,('Degrémont Entrée'!G202-G202)/'Degrémont Entrée'!G202*100)</f>
        <v>99.123887748117724</v>
      </c>
      <c r="BC202" s="329">
        <f>IF('Degrémont Entrée'!S202="",,('Degrémont Entrée'!S202-M202)/'Degrémont Entrée'!S202*100)</f>
        <v>99.119318181818173</v>
      </c>
      <c r="BD202" s="361" t="str">
        <f ca="1">IFERROR(__xludf.DUMMYFUNCTION("""COMPUTED_VALUE"""),"#DIV/0!")</f>
        <v>#DIV/0!</v>
      </c>
      <c r="BE202" s="362"/>
      <c r="BF202" s="363"/>
      <c r="BG202" s="363"/>
      <c r="BH202" s="338">
        <f t="shared" si="17"/>
        <v>0</v>
      </c>
      <c r="BI202" s="364"/>
      <c r="BJ202" s="365"/>
      <c r="BK202" s="371">
        <f>'Degrémont Entrée'!BH202</f>
        <v>0</v>
      </c>
      <c r="BL202" s="372">
        <f>'Degrémont Entrée'!BI202</f>
        <v>0</v>
      </c>
    </row>
    <row r="203" spans="1:64" ht="15.75" customHeight="1" outlineLevel="1">
      <c r="A203" s="337">
        <f t="shared" si="18"/>
        <v>43655</v>
      </c>
      <c r="B203" s="338">
        <f>'Degrémont Entrée'!B203</f>
        <v>0</v>
      </c>
      <c r="C203" s="339">
        <v>8.4</v>
      </c>
      <c r="D203" s="340">
        <v>89.3</v>
      </c>
      <c r="E203" s="341">
        <v>97</v>
      </c>
      <c r="F203" s="342">
        <v>200</v>
      </c>
      <c r="G203" s="329">
        <f t="shared" si="0"/>
        <v>38.500000000000014</v>
      </c>
      <c r="H203" s="338"/>
      <c r="I203" s="343">
        <v>306</v>
      </c>
      <c r="J203" s="344">
        <f t="shared" si="2"/>
        <v>0</v>
      </c>
      <c r="K203" s="343">
        <v>1</v>
      </c>
      <c r="L203" s="345">
        <v>1.45</v>
      </c>
      <c r="M203" s="346">
        <f t="shared" si="3"/>
        <v>1.45</v>
      </c>
      <c r="N203" s="338">
        <f t="shared" si="4"/>
        <v>0</v>
      </c>
      <c r="O203" s="341">
        <v>15.8</v>
      </c>
      <c r="P203" s="347">
        <f t="shared" si="19"/>
        <v>0</v>
      </c>
      <c r="Q203" s="348"/>
      <c r="R203" s="369"/>
      <c r="S203" s="349">
        <f t="shared" si="20"/>
        <v>0</v>
      </c>
      <c r="T203" s="348"/>
      <c r="U203" s="369"/>
      <c r="V203" s="349">
        <f t="shared" si="5"/>
        <v>0</v>
      </c>
      <c r="W203" s="348"/>
      <c r="X203" s="318">
        <f t="shared" si="6"/>
        <v>15.8</v>
      </c>
      <c r="Y203" s="370">
        <f t="shared" si="7"/>
        <v>0</v>
      </c>
      <c r="Z203" s="343" t="s">
        <v>85</v>
      </c>
      <c r="AA203" s="345">
        <v>0.01</v>
      </c>
      <c r="AB203" s="352">
        <f t="shared" si="8"/>
        <v>0</v>
      </c>
      <c r="AC203" s="353"/>
      <c r="AD203" s="354"/>
      <c r="AE203" s="378" t="str">
        <f t="shared" si="21"/>
        <v/>
      </c>
      <c r="AF203" s="329"/>
      <c r="AG203" s="355">
        <v>0.5</v>
      </c>
      <c r="AH203" s="356">
        <f t="shared" si="22"/>
        <v>0</v>
      </c>
      <c r="AI203" s="329"/>
      <c r="AJ203" s="345">
        <v>0.47</v>
      </c>
      <c r="AK203" s="356">
        <f t="shared" si="11"/>
        <v>0</v>
      </c>
      <c r="AL203" s="357"/>
      <c r="AM203" s="355">
        <v>0.04</v>
      </c>
      <c r="AN203" s="356">
        <f t="shared" si="12"/>
        <v>0</v>
      </c>
      <c r="AO203" s="329"/>
      <c r="AP203" s="355">
        <v>0.25</v>
      </c>
      <c r="AQ203" s="359">
        <f t="shared" si="13"/>
        <v>0</v>
      </c>
      <c r="AR203" s="360"/>
      <c r="AS203" s="355">
        <v>0.41</v>
      </c>
      <c r="AT203" s="356">
        <f t="shared" si="14"/>
        <v>0</v>
      </c>
      <c r="AU203" s="345" t="s">
        <v>85</v>
      </c>
      <c r="AV203" s="355">
        <v>0.15</v>
      </c>
      <c r="AW203" s="359">
        <f t="shared" si="15"/>
        <v>0</v>
      </c>
      <c r="AX203" s="345" t="s">
        <v>85</v>
      </c>
      <c r="AY203" s="355">
        <v>0.13</v>
      </c>
      <c r="AZ203" s="359">
        <f t="shared" si="16"/>
        <v>0</v>
      </c>
      <c r="BA203" s="329">
        <f>IF('Degrémont Entrée'!K203="",,('Degrémont Entrée'!K203-I203)/'Degrémont Entrée'!K203*100)</f>
        <v>95.761772853185605</v>
      </c>
      <c r="BB203" s="329">
        <f>IF('Degrémont Entrée'!G203="",,('Degrémont Entrée'!G203-G203)/'Degrémont Entrée'!G203*100)</f>
        <v>99.531593406593416</v>
      </c>
      <c r="BC203" s="329">
        <f>IF('Degrémont Entrée'!S203="",,('Degrémont Entrée'!S203-M203)/'Degrémont Entrée'!S203*100)</f>
        <v>99.470802919708035</v>
      </c>
      <c r="BD203" s="361" t="str">
        <f ca="1">IFERROR(__xludf.DUMMYFUNCTION("""COMPUTED_VALUE"""),"#DIV/0!")</f>
        <v>#DIV/0!</v>
      </c>
      <c r="BE203" s="362"/>
      <c r="BF203" s="363"/>
      <c r="BG203" s="363"/>
      <c r="BH203" s="338">
        <f t="shared" si="17"/>
        <v>0</v>
      </c>
      <c r="BI203" s="364"/>
      <c r="BJ203" s="365"/>
      <c r="BK203" s="366">
        <f>'Degrémont Entrée'!BH203</f>
        <v>0</v>
      </c>
      <c r="BL203" s="367">
        <f>'Degrémont Entrée'!BI203</f>
        <v>0</v>
      </c>
    </row>
    <row r="204" spans="1:64" ht="14.25" outlineLevel="1">
      <c r="A204" s="337">
        <f t="shared" si="18"/>
        <v>43656</v>
      </c>
      <c r="B204" s="338">
        <f>'Degrémont Entrée'!B204</f>
        <v>0</v>
      </c>
      <c r="C204" s="339">
        <v>8.4</v>
      </c>
      <c r="D204" s="340">
        <v>88.1</v>
      </c>
      <c r="E204" s="341">
        <v>93.9</v>
      </c>
      <c r="F204" s="342">
        <v>200</v>
      </c>
      <c r="G204" s="329">
        <f t="shared" si="0"/>
        <v>29.000000000000053</v>
      </c>
      <c r="H204" s="338"/>
      <c r="I204" s="343">
        <v>321</v>
      </c>
      <c r="J204" s="344">
        <f t="shared" si="2"/>
        <v>0</v>
      </c>
      <c r="K204" s="343">
        <v>1</v>
      </c>
      <c r="L204" s="345">
        <v>0.95</v>
      </c>
      <c r="M204" s="346">
        <f t="shared" si="3"/>
        <v>0.95</v>
      </c>
      <c r="N204" s="338">
        <f t="shared" si="4"/>
        <v>0</v>
      </c>
      <c r="O204" s="368"/>
      <c r="P204" s="347">
        <f t="shared" si="19"/>
        <v>0</v>
      </c>
      <c r="Q204" s="348"/>
      <c r="R204" s="369"/>
      <c r="S204" s="349">
        <f t="shared" si="20"/>
        <v>0</v>
      </c>
      <c r="T204" s="348"/>
      <c r="U204" s="369"/>
      <c r="V204" s="349">
        <f t="shared" si="5"/>
        <v>0</v>
      </c>
      <c r="W204" s="348"/>
      <c r="X204" s="318" t="str">
        <f t="shared" si="6"/>
        <v/>
      </c>
      <c r="Y204" s="370" t="e">
        <f t="shared" si="7"/>
        <v>#VALUE!</v>
      </c>
      <c r="Z204" s="343" t="s">
        <v>85</v>
      </c>
      <c r="AA204" s="345">
        <v>0.01</v>
      </c>
      <c r="AB204" s="352">
        <f t="shared" si="8"/>
        <v>0</v>
      </c>
      <c r="AC204" s="353"/>
      <c r="AD204" s="354"/>
      <c r="AE204" s="378" t="str">
        <f t="shared" si="21"/>
        <v/>
      </c>
      <c r="AF204" s="329"/>
      <c r="AG204" s="358"/>
      <c r="AH204" s="356" t="str">
        <f t="shared" si="22"/>
        <v/>
      </c>
      <c r="AI204" s="329"/>
      <c r="AJ204" s="329"/>
      <c r="AK204" s="356">
        <f t="shared" si="11"/>
        <v>0</v>
      </c>
      <c r="AL204" s="357"/>
      <c r="AM204" s="358"/>
      <c r="AN204" s="356">
        <f t="shared" si="12"/>
        <v>0</v>
      </c>
      <c r="AO204" s="329"/>
      <c r="AP204" s="358"/>
      <c r="AQ204" s="359">
        <f t="shared" si="13"/>
        <v>0</v>
      </c>
      <c r="AR204" s="360"/>
      <c r="AS204" s="358"/>
      <c r="AT204" s="356">
        <f t="shared" si="14"/>
        <v>0</v>
      </c>
      <c r="AU204" s="329"/>
      <c r="AV204" s="358"/>
      <c r="AW204" s="359">
        <f t="shared" si="15"/>
        <v>0</v>
      </c>
      <c r="AX204" s="329"/>
      <c r="AY204" s="358"/>
      <c r="AZ204" s="359">
        <f t="shared" si="16"/>
        <v>0</v>
      </c>
      <c r="BA204" s="329">
        <f>IF('Degrémont Entrée'!K204="",,('Degrémont Entrée'!K204-I204)/'Degrémont Entrée'!K204*100)</f>
        <v>94.653564290473014</v>
      </c>
      <c r="BB204" s="329">
        <f>IF('Degrémont Entrée'!G204="",,('Degrémont Entrée'!G204-G204)/'Degrémont Entrée'!G204*100)</f>
        <v>99.586666666666673</v>
      </c>
      <c r="BC204" s="329">
        <f>IF('Degrémont Entrée'!S204="",,('Degrémont Entrée'!S204-M204)/'Degrémont Entrée'!S204*100)</f>
        <v>99.62890625</v>
      </c>
      <c r="BD204" s="361" t="str">
        <f ca="1">IFERROR(__xludf.DUMMYFUNCTION("""COMPUTED_VALUE"""),"#DIV/0!")</f>
        <v>#DIV/0!</v>
      </c>
      <c r="BE204" s="362"/>
      <c r="BF204" s="363"/>
      <c r="BG204" s="363"/>
      <c r="BH204" s="338">
        <f t="shared" si="17"/>
        <v>0</v>
      </c>
      <c r="BI204" s="364"/>
      <c r="BJ204" s="365"/>
      <c r="BK204" s="371">
        <f>'Degrémont Entrée'!BH204</f>
        <v>0</v>
      </c>
      <c r="BL204" s="372">
        <f>'Degrémont Entrée'!BI204</f>
        <v>0</v>
      </c>
    </row>
    <row r="205" spans="1:64" ht="15.75" customHeight="1" outlineLevel="1">
      <c r="A205" s="337">
        <f t="shared" si="18"/>
        <v>43657</v>
      </c>
      <c r="B205" s="338">
        <f>'Degrémont Entrée'!B205</f>
        <v>0</v>
      </c>
      <c r="C205" s="339">
        <v>8.5</v>
      </c>
      <c r="D205" s="340">
        <v>87.5</v>
      </c>
      <c r="E205" s="341">
        <v>92.9</v>
      </c>
      <c r="F205" s="342">
        <v>200</v>
      </c>
      <c r="G205" s="329">
        <f t="shared" si="0"/>
        <v>27.000000000000028</v>
      </c>
      <c r="H205" s="338"/>
      <c r="I205" s="343">
        <v>257</v>
      </c>
      <c r="J205" s="344">
        <f t="shared" si="2"/>
        <v>0</v>
      </c>
      <c r="K205" s="343">
        <v>1</v>
      </c>
      <c r="L205" s="345">
        <v>0.81</v>
      </c>
      <c r="M205" s="346">
        <f t="shared" si="3"/>
        <v>0.81</v>
      </c>
      <c r="N205" s="338">
        <f t="shared" si="4"/>
        <v>0</v>
      </c>
      <c r="O205" s="368"/>
      <c r="P205" s="347">
        <f t="shared" si="19"/>
        <v>0</v>
      </c>
      <c r="Q205" s="348"/>
      <c r="R205" s="369"/>
      <c r="S205" s="349">
        <f t="shared" si="20"/>
        <v>0</v>
      </c>
      <c r="T205" s="348"/>
      <c r="U205" s="369"/>
      <c r="V205" s="349">
        <f t="shared" si="5"/>
        <v>0</v>
      </c>
      <c r="W205" s="348"/>
      <c r="X205" s="318" t="str">
        <f t="shared" si="6"/>
        <v/>
      </c>
      <c r="Y205" s="370" t="e">
        <f t="shared" si="7"/>
        <v>#VALUE!</v>
      </c>
      <c r="Z205" s="343" t="s">
        <v>85</v>
      </c>
      <c r="AA205" s="345">
        <v>0.01</v>
      </c>
      <c r="AB205" s="352">
        <f t="shared" si="8"/>
        <v>0</v>
      </c>
      <c r="AC205" s="353"/>
      <c r="AD205" s="354"/>
      <c r="AE205" s="378" t="str">
        <f t="shared" si="21"/>
        <v/>
      </c>
      <c r="AF205" s="329"/>
      <c r="AG205" s="358"/>
      <c r="AH205" s="356" t="str">
        <f t="shared" si="22"/>
        <v/>
      </c>
      <c r="AI205" s="329"/>
      <c r="AJ205" s="329"/>
      <c r="AK205" s="356">
        <f t="shared" si="11"/>
        <v>0</v>
      </c>
      <c r="AL205" s="357"/>
      <c r="AM205" s="358"/>
      <c r="AN205" s="356">
        <f t="shared" si="12"/>
        <v>0</v>
      </c>
      <c r="AO205" s="329"/>
      <c r="AP205" s="358"/>
      <c r="AQ205" s="359">
        <f t="shared" si="13"/>
        <v>0</v>
      </c>
      <c r="AR205" s="360"/>
      <c r="AS205" s="358"/>
      <c r="AT205" s="356">
        <f t="shared" si="14"/>
        <v>0</v>
      </c>
      <c r="AU205" s="329"/>
      <c r="AV205" s="358"/>
      <c r="AW205" s="359">
        <f t="shared" si="15"/>
        <v>0</v>
      </c>
      <c r="AX205" s="329"/>
      <c r="AY205" s="358"/>
      <c r="AZ205" s="359">
        <f t="shared" si="16"/>
        <v>0</v>
      </c>
      <c r="BA205" s="329">
        <f>IF('Degrémont Entrée'!K205="",,('Degrémont Entrée'!K205-I205)/'Degrémont Entrée'!K205*100)</f>
        <v>97.680714736937105</v>
      </c>
      <c r="BB205" s="329">
        <f>IF('Degrémont Entrée'!G205="",,('Degrémont Entrée'!G205-G205)/'Degrémont Entrée'!G205*100)</f>
        <v>99.830598455598448</v>
      </c>
      <c r="BC205" s="329">
        <f>IF('Degrémont Entrée'!S205="",,('Degrémont Entrée'!S205-M205)/'Degrémont Entrée'!S205*100)</f>
        <v>99.825431034482762</v>
      </c>
      <c r="BD205" s="361" t="str">
        <f ca="1">IFERROR(__xludf.DUMMYFUNCTION("""COMPUTED_VALUE"""),"#DIV/0!")</f>
        <v>#DIV/0!</v>
      </c>
      <c r="BE205" s="362"/>
      <c r="BF205" s="363"/>
      <c r="BG205" s="363"/>
      <c r="BH205" s="338">
        <f t="shared" si="17"/>
        <v>0</v>
      </c>
      <c r="BI205" s="364"/>
      <c r="BJ205" s="365"/>
      <c r="BK205" s="366">
        <f>'Degrémont Entrée'!BH205</f>
        <v>0</v>
      </c>
      <c r="BL205" s="367">
        <f>'Degrémont Entrée'!BI205</f>
        <v>0</v>
      </c>
    </row>
    <row r="206" spans="1:64" ht="14.25" outlineLevel="1">
      <c r="A206" s="337">
        <f t="shared" si="18"/>
        <v>43658</v>
      </c>
      <c r="B206" s="338">
        <f>'Degrémont Entrée'!B206</f>
        <v>0</v>
      </c>
      <c r="C206" s="339">
        <v>8.3000000000000007</v>
      </c>
      <c r="D206" s="340">
        <v>92.9</v>
      </c>
      <c r="E206" s="341">
        <v>97.5</v>
      </c>
      <c r="F206" s="342">
        <v>200</v>
      </c>
      <c r="G206" s="329">
        <f t="shared" si="0"/>
        <v>22.999999999999972</v>
      </c>
      <c r="H206" s="338"/>
      <c r="I206" s="343">
        <v>433</v>
      </c>
      <c r="J206" s="344">
        <f t="shared" si="2"/>
        <v>0</v>
      </c>
      <c r="K206" s="343">
        <v>1</v>
      </c>
      <c r="L206" s="345">
        <v>0.65</v>
      </c>
      <c r="M206" s="346">
        <f t="shared" si="3"/>
        <v>0.65</v>
      </c>
      <c r="N206" s="338">
        <f t="shared" si="4"/>
        <v>0</v>
      </c>
      <c r="O206" s="368"/>
      <c r="P206" s="347">
        <f t="shared" si="19"/>
        <v>0</v>
      </c>
      <c r="Q206" s="348"/>
      <c r="R206" s="369"/>
      <c r="S206" s="349">
        <f t="shared" si="20"/>
        <v>0</v>
      </c>
      <c r="T206" s="348"/>
      <c r="U206" s="369"/>
      <c r="V206" s="349">
        <f t="shared" si="5"/>
        <v>0</v>
      </c>
      <c r="W206" s="348"/>
      <c r="X206" s="318" t="str">
        <f t="shared" si="6"/>
        <v/>
      </c>
      <c r="Y206" s="370" t="e">
        <f t="shared" si="7"/>
        <v>#VALUE!</v>
      </c>
      <c r="Z206" s="343" t="s">
        <v>85</v>
      </c>
      <c r="AA206" s="345">
        <v>0.01</v>
      </c>
      <c r="AB206" s="352">
        <f t="shared" si="8"/>
        <v>0</v>
      </c>
      <c r="AC206" s="353"/>
      <c r="AD206" s="354"/>
      <c r="AE206" s="378" t="str">
        <f t="shared" si="21"/>
        <v/>
      </c>
      <c r="AF206" s="329"/>
      <c r="AG206" s="358"/>
      <c r="AH206" s="356" t="str">
        <f t="shared" si="22"/>
        <v/>
      </c>
      <c r="AI206" s="329"/>
      <c r="AJ206" s="329"/>
      <c r="AK206" s="356">
        <f t="shared" si="11"/>
        <v>0</v>
      </c>
      <c r="AL206" s="357"/>
      <c r="AM206" s="358"/>
      <c r="AN206" s="356">
        <f t="shared" si="12"/>
        <v>0</v>
      </c>
      <c r="AO206" s="329"/>
      <c r="AP206" s="358"/>
      <c r="AQ206" s="359">
        <f t="shared" si="13"/>
        <v>0</v>
      </c>
      <c r="AR206" s="360"/>
      <c r="AS206" s="358"/>
      <c r="AT206" s="356">
        <f t="shared" si="14"/>
        <v>0</v>
      </c>
      <c r="AU206" s="329"/>
      <c r="AV206" s="358"/>
      <c r="AW206" s="359">
        <f t="shared" si="15"/>
        <v>0</v>
      </c>
      <c r="AX206" s="329"/>
      <c r="AY206" s="358"/>
      <c r="AZ206" s="359">
        <f t="shared" si="16"/>
        <v>0</v>
      </c>
      <c r="BA206" s="329">
        <f>IF('Degrémont Entrée'!K206="",,('Degrémont Entrée'!K206-I206)/'Degrémont Entrée'!K206*100)</f>
        <v>97.887804878048783</v>
      </c>
      <c r="BB206" s="329">
        <f>IF('Degrémont Entrée'!G206="",,('Degrémont Entrée'!G206-G206)/'Degrémont Entrée'!G206*100)</f>
        <v>99.8900128747471</v>
      </c>
      <c r="BC206" s="329">
        <f>IF('Degrémont Entrée'!S206="",,('Degrémont Entrée'!S206-M206)/'Degrémont Entrée'!S206*100)</f>
        <v>99.895666131621198</v>
      </c>
      <c r="BD206" s="361" t="str">
        <f ca="1">IFERROR(__xludf.DUMMYFUNCTION("""COMPUTED_VALUE"""),"#DIV/0!")</f>
        <v>#DIV/0!</v>
      </c>
      <c r="BE206" s="386">
        <v>21.853400000000001</v>
      </c>
      <c r="BF206" s="387">
        <v>33.045699999999997</v>
      </c>
      <c r="BG206" s="387">
        <v>26.137</v>
      </c>
      <c r="BH206" s="338">
        <f t="shared" si="17"/>
        <v>38.272741080921719</v>
      </c>
      <c r="BI206" s="364"/>
      <c r="BJ206" s="365"/>
      <c r="BK206" s="371">
        <f>'Degrémont Entrée'!BH206</f>
        <v>0</v>
      </c>
      <c r="BL206" s="372">
        <f>'Degrémont Entrée'!BI206</f>
        <v>0</v>
      </c>
    </row>
    <row r="207" spans="1:64" ht="15.75" customHeight="1" outlineLevel="1">
      <c r="A207" s="337">
        <f t="shared" si="18"/>
        <v>43659</v>
      </c>
      <c r="B207" s="338">
        <f>'Degrémont Entrée'!B207</f>
        <v>0</v>
      </c>
      <c r="C207" s="339">
        <v>7.7</v>
      </c>
      <c r="D207" s="340">
        <v>93.5</v>
      </c>
      <c r="E207" s="341">
        <v>97.5</v>
      </c>
      <c r="F207" s="342">
        <v>100</v>
      </c>
      <c r="G207" s="329">
        <f t="shared" si="0"/>
        <v>40</v>
      </c>
      <c r="H207" s="338"/>
      <c r="I207" s="343">
        <v>1085</v>
      </c>
      <c r="J207" s="344">
        <f t="shared" si="2"/>
        <v>0</v>
      </c>
      <c r="K207" s="343">
        <v>1</v>
      </c>
      <c r="L207" s="345">
        <v>1.39</v>
      </c>
      <c r="M207" s="346">
        <f t="shared" si="3"/>
        <v>1.39</v>
      </c>
      <c r="N207" s="338">
        <f t="shared" si="4"/>
        <v>0</v>
      </c>
      <c r="O207" s="368"/>
      <c r="P207" s="347">
        <f t="shared" si="19"/>
        <v>0</v>
      </c>
      <c r="Q207" s="348"/>
      <c r="R207" s="369"/>
      <c r="S207" s="349">
        <f t="shared" si="20"/>
        <v>0</v>
      </c>
      <c r="T207" s="348"/>
      <c r="U207" s="369"/>
      <c r="V207" s="349">
        <f t="shared" si="5"/>
        <v>0</v>
      </c>
      <c r="W207" s="348"/>
      <c r="X207" s="318" t="str">
        <f t="shared" si="6"/>
        <v/>
      </c>
      <c r="Y207" s="370" t="e">
        <f t="shared" si="7"/>
        <v>#VALUE!</v>
      </c>
      <c r="Z207" s="343" t="s">
        <v>85</v>
      </c>
      <c r="AA207" s="345">
        <v>0.01</v>
      </c>
      <c r="AB207" s="352">
        <f t="shared" si="8"/>
        <v>0</v>
      </c>
      <c r="AC207" s="353"/>
      <c r="AD207" s="354"/>
      <c r="AE207" s="378" t="str">
        <f t="shared" si="21"/>
        <v/>
      </c>
      <c r="AF207" s="329"/>
      <c r="AG207" s="358"/>
      <c r="AH207" s="356" t="str">
        <f t="shared" si="22"/>
        <v/>
      </c>
      <c r="AI207" s="329"/>
      <c r="AJ207" s="329"/>
      <c r="AK207" s="356">
        <f t="shared" si="11"/>
        <v>0</v>
      </c>
      <c r="AL207" s="357"/>
      <c r="AM207" s="358"/>
      <c r="AN207" s="356">
        <f t="shared" si="12"/>
        <v>0</v>
      </c>
      <c r="AO207" s="329"/>
      <c r="AP207" s="358"/>
      <c r="AQ207" s="359">
        <f t="shared" si="13"/>
        <v>0</v>
      </c>
      <c r="AR207" s="360"/>
      <c r="AS207" s="358"/>
      <c r="AT207" s="356">
        <f t="shared" si="14"/>
        <v>0</v>
      </c>
      <c r="AU207" s="329"/>
      <c r="AV207" s="358"/>
      <c r="AW207" s="359">
        <f t="shared" si="15"/>
        <v>0</v>
      </c>
      <c r="AX207" s="329"/>
      <c r="AY207" s="358"/>
      <c r="AZ207" s="359">
        <f t="shared" si="16"/>
        <v>0</v>
      </c>
      <c r="BA207" s="329">
        <f>IF('Degrémont Entrée'!K207="",,('Degrémont Entrée'!K207-I207)/'Degrémont Entrée'!K207*100)</f>
        <v>77.201092666526577</v>
      </c>
      <c r="BB207" s="329">
        <f>IF('Degrémont Entrée'!G207="",,('Degrémont Entrée'!G207-G207)/'Degrémont Entrée'!G207*100)</f>
        <v>99.003690036900366</v>
      </c>
      <c r="BC207" s="329">
        <f>IF('Degrémont Entrée'!S207="",,('Degrémont Entrée'!S207-M207)/'Degrémont Entrée'!S207*100)</f>
        <v>99.165666266506619</v>
      </c>
      <c r="BD207" s="361" t="str">
        <f ca="1">IFERROR(__xludf.DUMMYFUNCTION("""COMPUTED_VALUE"""),"#DIV/0!")</f>
        <v>#DIV/0!</v>
      </c>
      <c r="BE207" s="362"/>
      <c r="BF207" s="363"/>
      <c r="BG207" s="363"/>
      <c r="BH207" s="338">
        <f t="shared" si="17"/>
        <v>0</v>
      </c>
      <c r="BI207" s="364"/>
      <c r="BJ207" s="365"/>
      <c r="BK207" s="366">
        <f>'Degrémont Entrée'!BH207</f>
        <v>0</v>
      </c>
      <c r="BL207" s="367">
        <f>'Degrémont Entrée'!BI207</f>
        <v>0</v>
      </c>
    </row>
    <row r="208" spans="1:64" ht="14.25" outlineLevel="1">
      <c r="A208" s="337">
        <f t="shared" si="18"/>
        <v>43660</v>
      </c>
      <c r="B208" s="338">
        <f>'Degrémont Entrée'!B208</f>
        <v>0</v>
      </c>
      <c r="C208" s="339">
        <v>8.1</v>
      </c>
      <c r="D208" s="340">
        <v>93.7</v>
      </c>
      <c r="E208" s="341">
        <v>96.9</v>
      </c>
      <c r="F208" s="342">
        <v>100</v>
      </c>
      <c r="G208" s="329">
        <f t="shared" si="0"/>
        <v>32.000000000000028</v>
      </c>
      <c r="H208" s="338"/>
      <c r="I208" s="343">
        <v>915</v>
      </c>
      <c r="J208" s="344">
        <f t="shared" si="2"/>
        <v>0</v>
      </c>
      <c r="K208" s="343">
        <v>1</v>
      </c>
      <c r="L208" s="345">
        <v>1.21</v>
      </c>
      <c r="M208" s="346">
        <f t="shared" si="3"/>
        <v>1.21</v>
      </c>
      <c r="N208" s="338">
        <f t="shared" si="4"/>
        <v>0</v>
      </c>
      <c r="O208" s="368"/>
      <c r="P208" s="347">
        <f t="shared" si="19"/>
        <v>0</v>
      </c>
      <c r="Q208" s="348"/>
      <c r="R208" s="369"/>
      <c r="S208" s="349">
        <f t="shared" si="20"/>
        <v>0</v>
      </c>
      <c r="T208" s="348"/>
      <c r="U208" s="369"/>
      <c r="V208" s="349">
        <f t="shared" si="5"/>
        <v>0</v>
      </c>
      <c r="W208" s="348"/>
      <c r="X208" s="318" t="str">
        <f t="shared" si="6"/>
        <v/>
      </c>
      <c r="Y208" s="370" t="e">
        <f t="shared" si="7"/>
        <v>#VALUE!</v>
      </c>
      <c r="Z208" s="343" t="s">
        <v>85</v>
      </c>
      <c r="AA208" s="345">
        <v>0.01</v>
      </c>
      <c r="AB208" s="352">
        <f t="shared" si="8"/>
        <v>0</v>
      </c>
      <c r="AC208" s="353"/>
      <c r="AD208" s="354"/>
      <c r="AE208" s="378" t="str">
        <f t="shared" si="21"/>
        <v/>
      </c>
      <c r="AF208" s="329"/>
      <c r="AG208" s="358"/>
      <c r="AH208" s="356" t="str">
        <f t="shared" si="22"/>
        <v/>
      </c>
      <c r="AI208" s="329"/>
      <c r="AJ208" s="329"/>
      <c r="AK208" s="356">
        <f t="shared" si="11"/>
        <v>0</v>
      </c>
      <c r="AL208" s="357"/>
      <c r="AM208" s="358"/>
      <c r="AN208" s="356">
        <f t="shared" si="12"/>
        <v>0</v>
      </c>
      <c r="AO208" s="329"/>
      <c r="AP208" s="358"/>
      <c r="AQ208" s="359">
        <f t="shared" si="13"/>
        <v>0</v>
      </c>
      <c r="AR208" s="360"/>
      <c r="AS208" s="358"/>
      <c r="AT208" s="356">
        <f t="shared" si="14"/>
        <v>0</v>
      </c>
      <c r="AU208" s="329"/>
      <c r="AV208" s="358"/>
      <c r="AW208" s="359">
        <f t="shared" si="15"/>
        <v>0</v>
      </c>
      <c r="AX208" s="329"/>
      <c r="AY208" s="358"/>
      <c r="AZ208" s="359">
        <f t="shared" si="16"/>
        <v>0</v>
      </c>
      <c r="BA208" s="329">
        <f>IF('Degrémont Entrée'!K208="",,('Degrémont Entrée'!K208-I208)/'Degrémont Entrée'!K208*100)</f>
        <v>97.201834862385311</v>
      </c>
      <c r="BB208" s="329">
        <f>IF('Degrémont Entrée'!G208="",,('Degrémont Entrée'!G208-G208)/'Degrémont Entrée'!G208*100)</f>
        <v>99.901804345157728</v>
      </c>
      <c r="BC208" s="329">
        <f>IF('Degrémont Entrée'!S208="",,('Degrémont Entrée'!S208-M208)/'Degrémont Entrée'!S208*100)</f>
        <v>99.883653846153848</v>
      </c>
      <c r="BD208" s="361" t="str">
        <f ca="1">IFERROR(__xludf.DUMMYFUNCTION("""COMPUTED_VALUE"""),"#DIV/0!")</f>
        <v>#DIV/0!</v>
      </c>
      <c r="BE208" s="362"/>
      <c r="BF208" s="363"/>
      <c r="BG208" s="363"/>
      <c r="BH208" s="338">
        <f t="shared" si="17"/>
        <v>0</v>
      </c>
      <c r="BI208" s="364"/>
      <c r="BJ208" s="365"/>
      <c r="BK208" s="371">
        <f>'Degrémont Entrée'!BH208</f>
        <v>0</v>
      </c>
      <c r="BL208" s="372">
        <f>'Degrémont Entrée'!BI208</f>
        <v>0</v>
      </c>
    </row>
    <row r="209" spans="1:64" ht="15.75" customHeight="1" outlineLevel="1">
      <c r="A209" s="337">
        <f t="shared" si="18"/>
        <v>43661</v>
      </c>
      <c r="B209" s="338">
        <f>'Degrémont Entrée'!B209</f>
        <v>0</v>
      </c>
      <c r="C209" s="339">
        <v>8.6999999999999993</v>
      </c>
      <c r="D209" s="340">
        <v>93.6</v>
      </c>
      <c r="E209" s="341">
        <v>96</v>
      </c>
      <c r="F209" s="342">
        <v>200</v>
      </c>
      <c r="G209" s="329">
        <f t="shared" si="0"/>
        <v>12.000000000000027</v>
      </c>
      <c r="H209" s="338"/>
      <c r="I209" s="343">
        <v>582</v>
      </c>
      <c r="J209" s="344">
        <f t="shared" si="2"/>
        <v>0</v>
      </c>
      <c r="K209" s="343">
        <v>1</v>
      </c>
      <c r="L209" s="345">
        <v>0.65</v>
      </c>
      <c r="M209" s="346">
        <f t="shared" si="3"/>
        <v>0.65</v>
      </c>
      <c r="N209" s="338">
        <f t="shared" si="4"/>
        <v>0</v>
      </c>
      <c r="O209" s="368"/>
      <c r="P209" s="347">
        <f t="shared" si="19"/>
        <v>0</v>
      </c>
      <c r="Q209" s="348"/>
      <c r="R209" s="369"/>
      <c r="S209" s="349">
        <f t="shared" si="20"/>
        <v>0</v>
      </c>
      <c r="T209" s="348"/>
      <c r="U209" s="369"/>
      <c r="V209" s="349">
        <f t="shared" si="5"/>
        <v>0</v>
      </c>
      <c r="W209" s="348"/>
      <c r="X209" s="318" t="str">
        <f t="shared" si="6"/>
        <v/>
      </c>
      <c r="Y209" s="370" t="e">
        <f t="shared" si="7"/>
        <v>#VALUE!</v>
      </c>
      <c r="Z209" s="343" t="s">
        <v>85</v>
      </c>
      <c r="AA209" s="345">
        <v>0.01</v>
      </c>
      <c r="AB209" s="352">
        <f t="shared" si="8"/>
        <v>0</v>
      </c>
      <c r="AC209" s="353"/>
      <c r="AD209" s="354"/>
      <c r="AE209" s="378" t="str">
        <f t="shared" si="21"/>
        <v/>
      </c>
      <c r="AF209" s="329"/>
      <c r="AG209" s="358"/>
      <c r="AH209" s="356" t="str">
        <f t="shared" si="22"/>
        <v/>
      </c>
      <c r="AI209" s="329"/>
      <c r="AJ209" s="329"/>
      <c r="AK209" s="356">
        <f t="shared" si="11"/>
        <v>0</v>
      </c>
      <c r="AL209" s="357"/>
      <c r="AM209" s="358"/>
      <c r="AN209" s="356">
        <f t="shared" si="12"/>
        <v>0</v>
      </c>
      <c r="AO209" s="329"/>
      <c r="AP209" s="358"/>
      <c r="AQ209" s="359">
        <f t="shared" si="13"/>
        <v>0</v>
      </c>
      <c r="AR209" s="360"/>
      <c r="AS209" s="358"/>
      <c r="AT209" s="356">
        <f t="shared" si="14"/>
        <v>0</v>
      </c>
      <c r="AU209" s="329"/>
      <c r="AV209" s="358"/>
      <c r="AW209" s="359">
        <f t="shared" si="15"/>
        <v>0</v>
      </c>
      <c r="AX209" s="329"/>
      <c r="AY209" s="358"/>
      <c r="AZ209" s="359">
        <f t="shared" si="16"/>
        <v>0</v>
      </c>
      <c r="BA209" s="329">
        <f>IF('Degrémont Entrée'!K209="",,('Degrémont Entrée'!K209-I209)/'Degrémont Entrée'!K209*100)</f>
        <v>91.278285628652782</v>
      </c>
      <c r="BB209" s="329">
        <f>IF('Degrémont Entrée'!G209="",,('Degrémont Entrée'!G209-G209)/'Degrémont Entrée'!G209*100)</f>
        <v>99.835164835164832</v>
      </c>
      <c r="BC209" s="329">
        <f>IF('Degrémont Entrée'!S209="",,('Degrémont Entrée'!S209-M209)/'Degrémont Entrée'!S209*100)</f>
        <v>99.74609375</v>
      </c>
      <c r="BD209" s="361" t="str">
        <f ca="1">IFERROR(__xludf.DUMMYFUNCTION("""COMPUTED_VALUE"""),"#DIV/0!")</f>
        <v>#DIV/0!</v>
      </c>
      <c r="BE209" s="386">
        <v>21.8584</v>
      </c>
      <c r="BF209" s="387">
        <v>31.085699999999999</v>
      </c>
      <c r="BG209" s="387">
        <v>26.622199999999999</v>
      </c>
      <c r="BH209" s="338">
        <f t="shared" si="17"/>
        <v>51.627236569744127</v>
      </c>
      <c r="BI209" s="364"/>
      <c r="BJ209" s="365"/>
      <c r="BK209" s="366">
        <f>'Degrémont Entrée'!BH209</f>
        <v>0</v>
      </c>
      <c r="BL209" s="367">
        <f>'Degrémont Entrée'!BI209</f>
        <v>0</v>
      </c>
    </row>
    <row r="210" spans="1:64" ht="14.25" outlineLevel="1">
      <c r="A210" s="337">
        <f t="shared" si="18"/>
        <v>43662</v>
      </c>
      <c r="B210" s="338">
        <f>'Degrémont Entrée'!B210</f>
        <v>1149</v>
      </c>
      <c r="C210" s="339">
        <v>8.8000000000000007</v>
      </c>
      <c r="D210" s="340">
        <v>89.9</v>
      </c>
      <c r="E210" s="341">
        <v>92.1</v>
      </c>
      <c r="F210" s="342">
        <v>200</v>
      </c>
      <c r="G210" s="329">
        <f t="shared" si="0"/>
        <v>10.999999999999943</v>
      </c>
      <c r="H210" s="338"/>
      <c r="I210" s="343">
        <v>359</v>
      </c>
      <c r="J210" s="344">
        <f t="shared" si="2"/>
        <v>412.49099999999999</v>
      </c>
      <c r="K210" s="343">
        <v>1</v>
      </c>
      <c r="L210" s="345">
        <v>1.54</v>
      </c>
      <c r="M210" s="346">
        <f t="shared" si="3"/>
        <v>1.54</v>
      </c>
      <c r="N210" s="338">
        <f t="shared" si="4"/>
        <v>1.76946</v>
      </c>
      <c r="O210" s="341">
        <v>8.5</v>
      </c>
      <c r="P210" s="347">
        <f t="shared" si="19"/>
        <v>9.7665000000000006</v>
      </c>
      <c r="Q210" s="348"/>
      <c r="R210" s="369"/>
      <c r="S210" s="349">
        <f t="shared" si="20"/>
        <v>0</v>
      </c>
      <c r="T210" s="348"/>
      <c r="U210" s="369"/>
      <c r="V210" s="349">
        <f t="shared" si="5"/>
        <v>0</v>
      </c>
      <c r="W210" s="348"/>
      <c r="X210" s="318">
        <f t="shared" si="6"/>
        <v>8.5</v>
      </c>
      <c r="Y210" s="370">
        <f t="shared" si="7"/>
        <v>9.7665000000000006</v>
      </c>
      <c r="Z210" s="343" t="s">
        <v>85</v>
      </c>
      <c r="AA210" s="345">
        <v>0.01</v>
      </c>
      <c r="AB210" s="352">
        <f t="shared" si="8"/>
        <v>5.7450000000000001E-3</v>
      </c>
      <c r="AC210" s="353"/>
      <c r="AD210" s="354"/>
      <c r="AE210" s="378" t="str">
        <f t="shared" si="21"/>
        <v/>
      </c>
      <c r="AF210" s="329"/>
      <c r="AG210" s="355">
        <v>0.56999999999999995</v>
      </c>
      <c r="AH210" s="356">
        <f t="shared" si="22"/>
        <v>0.6549299999999999</v>
      </c>
      <c r="AI210" s="329"/>
      <c r="AJ210" s="345">
        <v>0.85</v>
      </c>
      <c r="AK210" s="356">
        <f t="shared" si="11"/>
        <v>0.97665000000000002</v>
      </c>
      <c r="AL210" s="357"/>
      <c r="AM210" s="355">
        <v>0.02</v>
      </c>
      <c r="AN210" s="356">
        <f t="shared" si="12"/>
        <v>2.298E-2</v>
      </c>
      <c r="AO210" s="329"/>
      <c r="AP210" s="355">
        <v>0.34</v>
      </c>
      <c r="AQ210" s="359">
        <f t="shared" si="13"/>
        <v>0.39066000000000001</v>
      </c>
      <c r="AR210" s="360"/>
      <c r="AS210" s="355">
        <v>0.45</v>
      </c>
      <c r="AT210" s="356">
        <f t="shared" si="14"/>
        <v>0.51705000000000012</v>
      </c>
      <c r="AU210" s="345" t="s">
        <v>85</v>
      </c>
      <c r="AV210" s="355">
        <v>0.15</v>
      </c>
      <c r="AW210" s="359">
        <f t="shared" si="15"/>
        <v>8.6175000000000002E-2</v>
      </c>
      <c r="AX210" s="345" t="s">
        <v>85</v>
      </c>
      <c r="AY210" s="355">
        <v>0.13</v>
      </c>
      <c r="AZ210" s="359">
        <f t="shared" si="16"/>
        <v>7.4685000000000001E-2</v>
      </c>
      <c r="BA210" s="329">
        <f>IF('Degrémont Entrée'!K210="",,('Degrémont Entrée'!K210-I210)/'Degrémont Entrée'!K210*100)</f>
        <v>93.93990546927752</v>
      </c>
      <c r="BB210" s="329">
        <f>IF('Degrémont Entrée'!G210="",,('Degrémont Entrée'!G210-G210)/'Degrémont Entrée'!G210*100)</f>
        <v>99.83314606741574</v>
      </c>
      <c r="BC210" s="329">
        <f>IF('Degrémont Entrée'!S210="",,('Degrémont Entrée'!S210-M210)/'Degrémont Entrée'!S210*100)</f>
        <v>99.809876543209882</v>
      </c>
      <c r="BD210" s="425">
        <f ca="1">IFERROR(__xludf.DUMMYFUNCTION("""COMPUTED_VALUE"""),53.33)</f>
        <v>53.33</v>
      </c>
      <c r="BE210" s="362"/>
      <c r="BF210" s="363"/>
      <c r="BG210" s="363"/>
      <c r="BH210" s="338">
        <f t="shared" si="17"/>
        <v>0</v>
      </c>
      <c r="BI210" s="364"/>
      <c r="BJ210" s="365"/>
      <c r="BK210" s="371">
        <f>'Degrémont Entrée'!BH210</f>
        <v>0</v>
      </c>
      <c r="BL210" s="372">
        <f>'Degrémont Entrée'!BI210</f>
        <v>0</v>
      </c>
    </row>
    <row r="211" spans="1:64" ht="15.75" customHeight="1" outlineLevel="1">
      <c r="A211" s="337">
        <f t="shared" si="18"/>
        <v>43663</v>
      </c>
      <c r="B211" s="338">
        <f>'Degrémont Entrée'!B211</f>
        <v>1065</v>
      </c>
      <c r="C211" s="339">
        <v>8.1999999999999993</v>
      </c>
      <c r="D211" s="340">
        <v>90.3</v>
      </c>
      <c r="E211" s="341">
        <v>92.9</v>
      </c>
      <c r="F211" s="342">
        <v>200</v>
      </c>
      <c r="G211" s="329">
        <f t="shared" si="0"/>
        <v>13.000000000000043</v>
      </c>
      <c r="H211" s="338"/>
      <c r="I211" s="343">
        <v>350</v>
      </c>
      <c r="J211" s="344">
        <f t="shared" si="2"/>
        <v>372.75</v>
      </c>
      <c r="K211" s="343">
        <v>1</v>
      </c>
      <c r="L211" s="345">
        <v>0.43</v>
      </c>
      <c r="M211" s="346">
        <f t="shared" si="3"/>
        <v>0.43</v>
      </c>
      <c r="N211" s="338">
        <f t="shared" si="4"/>
        <v>0.45794999999999997</v>
      </c>
      <c r="O211" s="368"/>
      <c r="P211" s="347">
        <f t="shared" si="19"/>
        <v>0</v>
      </c>
      <c r="Q211" s="348"/>
      <c r="R211" s="369"/>
      <c r="S211" s="349">
        <f t="shared" si="20"/>
        <v>0</v>
      </c>
      <c r="T211" s="348"/>
      <c r="U211" s="369"/>
      <c r="V211" s="349">
        <f t="shared" si="5"/>
        <v>0</v>
      </c>
      <c r="W211" s="348"/>
      <c r="X211" s="318" t="str">
        <f t="shared" si="6"/>
        <v/>
      </c>
      <c r="Y211" s="370" t="e">
        <f t="shared" si="7"/>
        <v>#VALUE!</v>
      </c>
      <c r="Z211" s="343" t="s">
        <v>85</v>
      </c>
      <c r="AA211" s="345">
        <v>0.01</v>
      </c>
      <c r="AB211" s="352">
        <f t="shared" si="8"/>
        <v>5.3249999999999999E-3</v>
      </c>
      <c r="AC211" s="353"/>
      <c r="AD211" s="354"/>
      <c r="AE211" s="378" t="str">
        <f t="shared" si="21"/>
        <v/>
      </c>
      <c r="AF211" s="329"/>
      <c r="AG211" s="358"/>
      <c r="AH211" s="356" t="str">
        <f t="shared" si="22"/>
        <v/>
      </c>
      <c r="AI211" s="329"/>
      <c r="AJ211" s="329"/>
      <c r="AK211" s="356">
        <f t="shared" si="11"/>
        <v>0</v>
      </c>
      <c r="AL211" s="357"/>
      <c r="AM211" s="358"/>
      <c r="AN211" s="356">
        <f t="shared" si="12"/>
        <v>0</v>
      </c>
      <c r="AO211" s="329"/>
      <c r="AP211" s="358"/>
      <c r="AQ211" s="359">
        <f t="shared" si="13"/>
        <v>0</v>
      </c>
      <c r="AR211" s="360"/>
      <c r="AS211" s="358"/>
      <c r="AT211" s="356">
        <f t="shared" si="14"/>
        <v>0</v>
      </c>
      <c r="AU211" s="329"/>
      <c r="AV211" s="358"/>
      <c r="AW211" s="359">
        <f t="shared" si="15"/>
        <v>0</v>
      </c>
      <c r="AX211" s="329"/>
      <c r="AY211" s="358"/>
      <c r="AZ211" s="359">
        <f t="shared" si="16"/>
        <v>0</v>
      </c>
      <c r="BA211" s="329">
        <f>IF('Degrémont Entrée'!K211="",,('Degrémont Entrée'!K211-I211)/'Degrémont Entrée'!K211*100)</f>
        <v>94.725738396624465</v>
      </c>
      <c r="BB211" s="329">
        <f>IF('Degrémont Entrée'!G211="",,('Degrémont Entrée'!G211-G211)/'Degrémont Entrée'!G211*100)</f>
        <v>99.831090487238981</v>
      </c>
      <c r="BC211" s="329">
        <f>IF('Degrémont Entrée'!S211="",,('Degrémont Entrée'!S211-M211)/'Degrémont Entrée'!S211*100)</f>
        <v>99.820833333333326</v>
      </c>
      <c r="BD211" s="425">
        <f ca="1">IFERROR(__xludf.DUMMYFUNCTION("""COMPUTED_VALUE"""),52.7599999999999)</f>
        <v>52.759999999999899</v>
      </c>
      <c r="BE211" s="362"/>
      <c r="BF211" s="363"/>
      <c r="BG211" s="363"/>
      <c r="BH211" s="338">
        <f t="shared" si="17"/>
        <v>0</v>
      </c>
      <c r="BI211" s="364"/>
      <c r="BJ211" s="365"/>
      <c r="BK211" s="366">
        <f>'Degrémont Entrée'!BH211</f>
        <v>0</v>
      </c>
      <c r="BL211" s="367">
        <f>'Degrémont Entrée'!BI211</f>
        <v>0</v>
      </c>
    </row>
    <row r="212" spans="1:64" ht="14.25" outlineLevel="1">
      <c r="A212" s="337">
        <f t="shared" si="18"/>
        <v>43664</v>
      </c>
      <c r="B212" s="338">
        <f>'Degrémont Entrée'!B212</f>
        <v>1028</v>
      </c>
      <c r="C212" s="339">
        <v>8.6999999999999993</v>
      </c>
      <c r="D212" s="340">
        <v>88.9</v>
      </c>
      <c r="E212" s="341">
        <v>90.8</v>
      </c>
      <c r="F212" s="342">
        <v>200</v>
      </c>
      <c r="G212" s="329">
        <f t="shared" si="0"/>
        <v>9.4999999999999574</v>
      </c>
      <c r="H212" s="338"/>
      <c r="I212" s="343">
        <v>384</v>
      </c>
      <c r="J212" s="344">
        <f t="shared" si="2"/>
        <v>394.75200000000001</v>
      </c>
      <c r="K212" s="343">
        <v>1</v>
      </c>
      <c r="L212" s="345">
        <v>0.41</v>
      </c>
      <c r="M212" s="346">
        <f t="shared" si="3"/>
        <v>0.41</v>
      </c>
      <c r="N212" s="338">
        <f t="shared" si="4"/>
        <v>0.42147999999999997</v>
      </c>
      <c r="O212" s="368"/>
      <c r="P212" s="347">
        <f t="shared" si="19"/>
        <v>0</v>
      </c>
      <c r="Q212" s="348"/>
      <c r="R212" s="369"/>
      <c r="S212" s="349">
        <f t="shared" si="20"/>
        <v>0</v>
      </c>
      <c r="T212" s="348"/>
      <c r="U212" s="369"/>
      <c r="V212" s="349">
        <f t="shared" si="5"/>
        <v>0</v>
      </c>
      <c r="W212" s="348"/>
      <c r="X212" s="318" t="str">
        <f t="shared" si="6"/>
        <v/>
      </c>
      <c r="Y212" s="370" t="e">
        <f t="shared" si="7"/>
        <v>#VALUE!</v>
      </c>
      <c r="Z212" s="343" t="s">
        <v>85</v>
      </c>
      <c r="AA212" s="345">
        <v>0.01</v>
      </c>
      <c r="AB212" s="352">
        <f t="shared" si="8"/>
        <v>5.1399999999999996E-3</v>
      </c>
      <c r="AC212" s="353"/>
      <c r="AD212" s="354"/>
      <c r="AE212" s="378" t="str">
        <f t="shared" si="21"/>
        <v/>
      </c>
      <c r="AF212" s="329"/>
      <c r="AG212" s="358"/>
      <c r="AH212" s="356" t="str">
        <f t="shared" si="22"/>
        <v/>
      </c>
      <c r="AI212" s="329"/>
      <c r="AJ212" s="329"/>
      <c r="AK212" s="356">
        <f t="shared" si="11"/>
        <v>0</v>
      </c>
      <c r="AL212" s="357"/>
      <c r="AM212" s="358"/>
      <c r="AN212" s="356">
        <f t="shared" si="12"/>
        <v>0</v>
      </c>
      <c r="AO212" s="329"/>
      <c r="AP212" s="358"/>
      <c r="AQ212" s="359">
        <f t="shared" si="13"/>
        <v>0</v>
      </c>
      <c r="AR212" s="360"/>
      <c r="AS212" s="358"/>
      <c r="AT212" s="356">
        <f t="shared" si="14"/>
        <v>0</v>
      </c>
      <c r="AU212" s="329"/>
      <c r="AV212" s="358"/>
      <c r="AW212" s="359">
        <f t="shared" si="15"/>
        <v>0</v>
      </c>
      <c r="AX212" s="329"/>
      <c r="AY212" s="358"/>
      <c r="AZ212" s="359">
        <f t="shared" si="16"/>
        <v>0</v>
      </c>
      <c r="BA212" s="329">
        <f>IF('Degrémont Entrée'!K212="",,('Degrémont Entrée'!K212-I212)/'Degrémont Entrée'!K212*100)</f>
        <v>93.945127719962159</v>
      </c>
      <c r="BB212" s="329">
        <f>IF('Degrémont Entrée'!G212="",,('Degrémont Entrée'!G212-G212)/'Degrémont Entrée'!G212*100)</f>
        <v>99.868617021276592</v>
      </c>
      <c r="BC212" s="329">
        <f>IF('Degrémont Entrée'!S212="",,('Degrémont Entrée'!S212-M212)/'Degrémont Entrée'!S212*100)</f>
        <v>99.813636363636363</v>
      </c>
      <c r="BD212" s="425">
        <f ca="1">IFERROR(__xludf.DUMMYFUNCTION("""COMPUTED_VALUE"""),53.790909090909)</f>
        <v>53.790909090908997</v>
      </c>
      <c r="BE212" s="362"/>
      <c r="BF212" s="363"/>
      <c r="BG212" s="363"/>
      <c r="BH212" s="338">
        <f t="shared" si="17"/>
        <v>0</v>
      </c>
      <c r="BI212" s="364"/>
      <c r="BJ212" s="365"/>
      <c r="BK212" s="371">
        <f>'Degrémont Entrée'!BH212</f>
        <v>0</v>
      </c>
      <c r="BL212" s="372">
        <f>'Degrémont Entrée'!BI212</f>
        <v>0</v>
      </c>
    </row>
    <row r="213" spans="1:64" ht="15.75" customHeight="1" outlineLevel="1">
      <c r="A213" s="337">
        <f t="shared" si="18"/>
        <v>43665</v>
      </c>
      <c r="B213" s="338">
        <f>'Degrémont Entrée'!B213</f>
        <v>1014</v>
      </c>
      <c r="C213" s="339">
        <v>8.5</v>
      </c>
      <c r="D213" s="340">
        <v>96.1</v>
      </c>
      <c r="E213" s="341">
        <v>98.7</v>
      </c>
      <c r="F213" s="342">
        <v>200</v>
      </c>
      <c r="G213" s="329">
        <f t="shared" si="0"/>
        <v>13.000000000000043</v>
      </c>
      <c r="H213" s="338"/>
      <c r="I213" s="343">
        <v>473</v>
      </c>
      <c r="J213" s="344">
        <f t="shared" si="2"/>
        <v>479.62200000000001</v>
      </c>
      <c r="K213" s="343">
        <v>1</v>
      </c>
      <c r="L213" s="345">
        <v>0.46</v>
      </c>
      <c r="M213" s="346">
        <f t="shared" si="3"/>
        <v>0.46</v>
      </c>
      <c r="N213" s="338">
        <f t="shared" si="4"/>
        <v>0.46644000000000002</v>
      </c>
      <c r="O213" s="368"/>
      <c r="P213" s="347">
        <f t="shared" si="19"/>
        <v>0</v>
      </c>
      <c r="Q213" s="348"/>
      <c r="R213" s="369"/>
      <c r="S213" s="349">
        <f t="shared" si="20"/>
        <v>0</v>
      </c>
      <c r="T213" s="348"/>
      <c r="U213" s="369"/>
      <c r="V213" s="349">
        <f t="shared" si="5"/>
        <v>0</v>
      </c>
      <c r="W213" s="348"/>
      <c r="X213" s="318" t="str">
        <f t="shared" si="6"/>
        <v/>
      </c>
      <c r="Y213" s="370" t="e">
        <f t="shared" si="7"/>
        <v>#VALUE!</v>
      </c>
      <c r="Z213" s="343" t="s">
        <v>85</v>
      </c>
      <c r="AA213" s="345">
        <v>0.01</v>
      </c>
      <c r="AB213" s="352">
        <f t="shared" si="8"/>
        <v>5.0699999999999999E-3</v>
      </c>
      <c r="AC213" s="353"/>
      <c r="AD213" s="354"/>
      <c r="AE213" s="378" t="str">
        <f t="shared" si="21"/>
        <v/>
      </c>
      <c r="AF213" s="329"/>
      <c r="AG213" s="358"/>
      <c r="AH213" s="356" t="str">
        <f t="shared" si="22"/>
        <v/>
      </c>
      <c r="AI213" s="329"/>
      <c r="AJ213" s="329"/>
      <c r="AK213" s="356">
        <f t="shared" si="11"/>
        <v>0</v>
      </c>
      <c r="AL213" s="357"/>
      <c r="AM213" s="358"/>
      <c r="AN213" s="356">
        <f t="shared" si="12"/>
        <v>0</v>
      </c>
      <c r="AO213" s="329"/>
      <c r="AP213" s="358"/>
      <c r="AQ213" s="359">
        <f t="shared" si="13"/>
        <v>0</v>
      </c>
      <c r="AR213" s="360"/>
      <c r="AS213" s="358"/>
      <c r="AT213" s="356">
        <f t="shared" si="14"/>
        <v>0</v>
      </c>
      <c r="AU213" s="329"/>
      <c r="AV213" s="358"/>
      <c r="AW213" s="359">
        <f t="shared" si="15"/>
        <v>0</v>
      </c>
      <c r="AX213" s="329"/>
      <c r="AY213" s="358"/>
      <c r="AZ213" s="359">
        <f t="shared" si="16"/>
        <v>0</v>
      </c>
      <c r="BA213" s="329">
        <f>IF('Degrémont Entrée'!K213="",,('Degrémont Entrée'!K213-I213)/'Degrémont Entrée'!K213*100)</f>
        <v>93.670547303626378</v>
      </c>
      <c r="BB213" s="329">
        <f>IF('Degrémont Entrée'!G213="",,('Degrémont Entrée'!G213-G213)/'Degrémont Entrée'!G213*100)</f>
        <v>99.846187554776506</v>
      </c>
      <c r="BC213" s="329">
        <f>IF('Degrémont Entrée'!S213="",,('Degrémont Entrée'!S213-M213)/'Degrémont Entrée'!S213*100)</f>
        <v>99.846666666666678</v>
      </c>
      <c r="BD213" s="425">
        <f ca="1">IFERROR(__xludf.DUMMYFUNCTION("""COMPUTED_VALUE"""),52.990909090909)</f>
        <v>52.990909090909</v>
      </c>
      <c r="BE213" s="362"/>
      <c r="BF213" s="363"/>
      <c r="BG213" s="363"/>
      <c r="BH213" s="338">
        <f t="shared" si="17"/>
        <v>0</v>
      </c>
      <c r="BI213" s="364"/>
      <c r="BJ213" s="365"/>
      <c r="BK213" s="366">
        <f>'Degrémont Entrée'!BH213</f>
        <v>0</v>
      </c>
      <c r="BL213" s="367">
        <f>'Degrémont Entrée'!BI213</f>
        <v>0</v>
      </c>
    </row>
    <row r="214" spans="1:64" ht="14.25" outlineLevel="1">
      <c r="A214" s="337">
        <f t="shared" si="18"/>
        <v>43666</v>
      </c>
      <c r="B214" s="338">
        <f>'Degrémont Entrée'!B214</f>
        <v>493</v>
      </c>
      <c r="C214" s="339">
        <v>8.3000000000000007</v>
      </c>
      <c r="D214" s="340">
        <v>94.7</v>
      </c>
      <c r="E214" s="341">
        <v>97.2</v>
      </c>
      <c r="F214" s="342">
        <v>200</v>
      </c>
      <c r="G214" s="329">
        <f t="shared" si="0"/>
        <v>12.5</v>
      </c>
      <c r="H214" s="338"/>
      <c r="I214" s="343">
        <v>374</v>
      </c>
      <c r="J214" s="344">
        <f t="shared" si="2"/>
        <v>184.38200000000001</v>
      </c>
      <c r="K214" s="343">
        <v>1</v>
      </c>
      <c r="L214" s="345">
        <v>0.53</v>
      </c>
      <c r="M214" s="346">
        <f t="shared" si="3"/>
        <v>0.53</v>
      </c>
      <c r="N214" s="338">
        <f t="shared" si="4"/>
        <v>0.26129000000000002</v>
      </c>
      <c r="O214" s="368"/>
      <c r="P214" s="347">
        <f t="shared" si="19"/>
        <v>0</v>
      </c>
      <c r="Q214" s="348"/>
      <c r="R214" s="369"/>
      <c r="S214" s="349">
        <f t="shared" si="20"/>
        <v>0</v>
      </c>
      <c r="T214" s="348"/>
      <c r="U214" s="369"/>
      <c r="V214" s="349">
        <f t="shared" si="5"/>
        <v>0</v>
      </c>
      <c r="W214" s="348"/>
      <c r="X214" s="318" t="str">
        <f t="shared" si="6"/>
        <v/>
      </c>
      <c r="Y214" s="370" t="e">
        <f t="shared" si="7"/>
        <v>#VALUE!</v>
      </c>
      <c r="Z214" s="343" t="s">
        <v>85</v>
      </c>
      <c r="AA214" s="345">
        <v>0.01</v>
      </c>
      <c r="AB214" s="352">
        <f t="shared" si="8"/>
        <v>2.4649999999999997E-3</v>
      </c>
      <c r="AC214" s="353"/>
      <c r="AD214" s="354"/>
      <c r="AE214" s="378" t="str">
        <f t="shared" si="21"/>
        <v/>
      </c>
      <c r="AF214" s="329"/>
      <c r="AG214" s="358"/>
      <c r="AH214" s="356" t="str">
        <f t="shared" si="22"/>
        <v/>
      </c>
      <c r="AI214" s="329"/>
      <c r="AJ214" s="329"/>
      <c r="AK214" s="356">
        <f t="shared" si="11"/>
        <v>0</v>
      </c>
      <c r="AL214" s="357"/>
      <c r="AM214" s="358"/>
      <c r="AN214" s="356">
        <f t="shared" si="12"/>
        <v>0</v>
      </c>
      <c r="AO214" s="329"/>
      <c r="AP214" s="358"/>
      <c r="AQ214" s="359">
        <f t="shared" si="13"/>
        <v>0</v>
      </c>
      <c r="AR214" s="360"/>
      <c r="AS214" s="358"/>
      <c r="AT214" s="356">
        <f t="shared" si="14"/>
        <v>0</v>
      </c>
      <c r="AU214" s="329"/>
      <c r="AV214" s="358"/>
      <c r="AW214" s="359">
        <f t="shared" si="15"/>
        <v>0</v>
      </c>
      <c r="AX214" s="329"/>
      <c r="AY214" s="358"/>
      <c r="AZ214" s="359">
        <f t="shared" si="16"/>
        <v>0</v>
      </c>
      <c r="BA214" s="329">
        <f>IF('Degrémont Entrée'!K214="",,('Degrémont Entrée'!K214-I214)/'Degrémont Entrée'!K214*100)</f>
        <v>95.076355976829902</v>
      </c>
      <c r="BB214" s="329">
        <f>IF('Degrémont Entrée'!G214="",,('Degrémont Entrée'!G214-G214)/'Degrémont Entrée'!G214*100)</f>
        <v>99.837790011797097</v>
      </c>
      <c r="BC214" s="329">
        <f>IF('Degrémont Entrée'!S214="",,('Degrémont Entrée'!S214-M214)/'Degrémont Entrée'!S214*100)</f>
        <v>99.779166666666669</v>
      </c>
      <c r="BD214" s="425">
        <f ca="1">IFERROR(__xludf.DUMMYFUNCTION("""COMPUTED_VALUE"""),52.875)</f>
        <v>52.875</v>
      </c>
      <c r="BE214" s="362"/>
      <c r="BF214" s="363"/>
      <c r="BG214" s="363"/>
      <c r="BH214" s="338">
        <f t="shared" si="17"/>
        <v>0</v>
      </c>
      <c r="BI214" s="364"/>
      <c r="BJ214" s="365"/>
      <c r="BK214" s="371">
        <f>'Degrémont Entrée'!BH214</f>
        <v>0</v>
      </c>
      <c r="BL214" s="372">
        <f>'Degrémont Entrée'!BI214</f>
        <v>0</v>
      </c>
    </row>
    <row r="215" spans="1:64" ht="15.75" customHeight="1" outlineLevel="1">
      <c r="A215" s="337">
        <f t="shared" si="18"/>
        <v>43667</v>
      </c>
      <c r="B215" s="338">
        <f>'Degrémont Entrée'!B215</f>
        <v>0</v>
      </c>
      <c r="C215" s="338"/>
      <c r="D215" s="388"/>
      <c r="E215" s="368"/>
      <c r="F215" s="357"/>
      <c r="G215" s="329">
        <f t="shared" si="0"/>
        <v>0</v>
      </c>
      <c r="H215" s="338"/>
      <c r="I215" s="346"/>
      <c r="J215" s="344">
        <f t="shared" si="2"/>
        <v>0</v>
      </c>
      <c r="K215" s="343">
        <v>1</v>
      </c>
      <c r="L215" s="329"/>
      <c r="M215" s="346" t="str">
        <f t="shared" si="3"/>
        <v/>
      </c>
      <c r="N215" s="338" t="e">
        <f t="shared" si="4"/>
        <v>#VALUE!</v>
      </c>
      <c r="O215" s="368"/>
      <c r="P215" s="347">
        <f t="shared" si="19"/>
        <v>0</v>
      </c>
      <c r="Q215" s="348"/>
      <c r="R215" s="369"/>
      <c r="S215" s="349">
        <f t="shared" si="20"/>
        <v>0</v>
      </c>
      <c r="T215" s="348"/>
      <c r="U215" s="369"/>
      <c r="V215" s="349">
        <f t="shared" si="5"/>
        <v>0</v>
      </c>
      <c r="W215" s="348"/>
      <c r="X215" s="318" t="str">
        <f t="shared" si="6"/>
        <v/>
      </c>
      <c r="Y215" s="370" t="e">
        <f t="shared" si="7"/>
        <v>#VALUE!</v>
      </c>
      <c r="Z215" s="343" t="s">
        <v>85</v>
      </c>
      <c r="AA215" s="345">
        <v>0.01</v>
      </c>
      <c r="AB215" s="352">
        <f t="shared" si="8"/>
        <v>0</v>
      </c>
      <c r="AC215" s="353"/>
      <c r="AD215" s="354"/>
      <c r="AE215" s="378" t="str">
        <f t="shared" si="21"/>
        <v/>
      </c>
      <c r="AF215" s="329"/>
      <c r="AG215" s="358"/>
      <c r="AH215" s="356" t="str">
        <f t="shared" si="22"/>
        <v/>
      </c>
      <c r="AI215" s="329"/>
      <c r="AJ215" s="329"/>
      <c r="AK215" s="356">
        <f t="shared" si="11"/>
        <v>0</v>
      </c>
      <c r="AL215" s="357"/>
      <c r="AM215" s="358"/>
      <c r="AN215" s="356">
        <f t="shared" si="12"/>
        <v>0</v>
      </c>
      <c r="AO215" s="329"/>
      <c r="AP215" s="358"/>
      <c r="AQ215" s="359">
        <f t="shared" si="13"/>
        <v>0</v>
      </c>
      <c r="AR215" s="360"/>
      <c r="AS215" s="358"/>
      <c r="AT215" s="356">
        <f t="shared" si="14"/>
        <v>0</v>
      </c>
      <c r="AU215" s="329"/>
      <c r="AV215" s="358"/>
      <c r="AW215" s="359">
        <f t="shared" si="15"/>
        <v>0</v>
      </c>
      <c r="AX215" s="329"/>
      <c r="AY215" s="358"/>
      <c r="AZ215" s="359">
        <f t="shared" si="16"/>
        <v>0</v>
      </c>
      <c r="BA215" s="329" t="e">
        <f>IF('Degrémont Entrée'!K215="",,('Degrémont Entrée'!K215-I215)/'Degrémont Entrée'!K215*100)</f>
        <v>#DIV/0!</v>
      </c>
      <c r="BB215" s="329" t="e">
        <f>IF('Degrémont Entrée'!G215="",,('Degrémont Entrée'!G215-G215)/'Degrémont Entrée'!G215*100)</f>
        <v>#DIV/0!</v>
      </c>
      <c r="BC215" s="329">
        <f>IF('Degrémont Entrée'!S215="",,('Degrémont Entrée'!S215-M215)/'Degrémont Entrée'!S215*100)</f>
        <v>0</v>
      </c>
      <c r="BD215" s="425">
        <f ca="1">IFERROR(__xludf.DUMMYFUNCTION("""COMPUTED_VALUE"""),51.1)</f>
        <v>51.1</v>
      </c>
      <c r="BE215" s="362"/>
      <c r="BF215" s="363"/>
      <c r="BG215" s="363"/>
      <c r="BH215" s="338">
        <f t="shared" si="17"/>
        <v>0</v>
      </c>
      <c r="BI215" s="364"/>
      <c r="BJ215" s="365"/>
      <c r="BK215" s="366">
        <f>'Degrémont Entrée'!BH215</f>
        <v>0</v>
      </c>
      <c r="BL215" s="367">
        <f>'Degrémont Entrée'!BI215</f>
        <v>0</v>
      </c>
    </row>
    <row r="216" spans="1:64" ht="14.25" outlineLevel="1">
      <c r="A216" s="337">
        <f t="shared" si="18"/>
        <v>43668</v>
      </c>
      <c r="B216" s="338">
        <f>'Degrémont Entrée'!B216</f>
        <v>928</v>
      </c>
      <c r="C216" s="339">
        <v>8.6</v>
      </c>
      <c r="D216" s="340">
        <v>89.6</v>
      </c>
      <c r="E216" s="341">
        <v>92.6</v>
      </c>
      <c r="F216" s="342">
        <v>200</v>
      </c>
      <c r="G216" s="329">
        <f t="shared" si="0"/>
        <v>15</v>
      </c>
      <c r="H216" s="338"/>
      <c r="I216" s="343">
        <v>455</v>
      </c>
      <c r="J216" s="344">
        <f t="shared" si="2"/>
        <v>422.24</v>
      </c>
      <c r="K216" s="343">
        <v>1</v>
      </c>
      <c r="L216" s="345">
        <v>0.79</v>
      </c>
      <c r="M216" s="346">
        <f t="shared" si="3"/>
        <v>0.79</v>
      </c>
      <c r="N216" s="338">
        <f t="shared" si="4"/>
        <v>0.73311999999999999</v>
      </c>
      <c r="O216" s="368"/>
      <c r="P216" s="347">
        <f t="shared" si="19"/>
        <v>0</v>
      </c>
      <c r="Q216" s="348"/>
      <c r="R216" s="369"/>
      <c r="S216" s="349">
        <f t="shared" si="20"/>
        <v>0</v>
      </c>
      <c r="T216" s="348"/>
      <c r="U216" s="369"/>
      <c r="V216" s="349">
        <f t="shared" si="5"/>
        <v>0</v>
      </c>
      <c r="W216" s="348"/>
      <c r="X216" s="318" t="str">
        <f t="shared" si="6"/>
        <v/>
      </c>
      <c r="Y216" s="370" t="e">
        <f t="shared" si="7"/>
        <v>#VALUE!</v>
      </c>
      <c r="Z216" s="343" t="s">
        <v>85</v>
      </c>
      <c r="AA216" s="345">
        <v>0.01</v>
      </c>
      <c r="AB216" s="352">
        <f t="shared" si="8"/>
        <v>4.64E-3</v>
      </c>
      <c r="AC216" s="353"/>
      <c r="AD216" s="354"/>
      <c r="AE216" s="378" t="str">
        <f t="shared" si="21"/>
        <v/>
      </c>
      <c r="AF216" s="329"/>
      <c r="AG216" s="358"/>
      <c r="AH216" s="356" t="str">
        <f t="shared" si="22"/>
        <v/>
      </c>
      <c r="AI216" s="329"/>
      <c r="AJ216" s="329"/>
      <c r="AK216" s="356">
        <f t="shared" si="11"/>
        <v>0</v>
      </c>
      <c r="AL216" s="357"/>
      <c r="AM216" s="358"/>
      <c r="AN216" s="356">
        <f t="shared" si="12"/>
        <v>0</v>
      </c>
      <c r="AO216" s="329"/>
      <c r="AP216" s="358"/>
      <c r="AQ216" s="359">
        <f t="shared" si="13"/>
        <v>0</v>
      </c>
      <c r="AR216" s="360"/>
      <c r="AS216" s="358"/>
      <c r="AT216" s="356">
        <f t="shared" si="14"/>
        <v>0</v>
      </c>
      <c r="AU216" s="329"/>
      <c r="AV216" s="358"/>
      <c r="AW216" s="359">
        <f t="shared" si="15"/>
        <v>0</v>
      </c>
      <c r="AX216" s="329"/>
      <c r="AY216" s="358"/>
      <c r="AZ216" s="359">
        <f t="shared" si="16"/>
        <v>0</v>
      </c>
      <c r="BA216" s="329">
        <f>IF('Degrémont Entrée'!K216="",,('Degrémont Entrée'!K216-I216)/'Degrémont Entrée'!K216*100)</f>
        <v>91.045069868136196</v>
      </c>
      <c r="BB216" s="329">
        <f>IF('Degrémont Entrée'!G216="",,('Degrémont Entrée'!G216-G216)/'Degrémont Entrée'!G216*100)</f>
        <v>99.717898832684824</v>
      </c>
      <c r="BC216" s="329">
        <f>IF('Degrémont Entrée'!S216="",,('Degrémont Entrée'!S216-M216)/'Degrémont Entrée'!S216*100)</f>
        <v>99.548054919908466</v>
      </c>
      <c r="BD216" s="425">
        <f ca="1">IFERROR(__xludf.DUMMYFUNCTION("""COMPUTED_VALUE"""),51.6714285714285)</f>
        <v>51.6714285714285</v>
      </c>
      <c r="BE216" s="362"/>
      <c r="BF216" s="363"/>
      <c r="BG216" s="363"/>
      <c r="BH216" s="338">
        <f t="shared" si="17"/>
        <v>0</v>
      </c>
      <c r="BI216" s="364"/>
      <c r="BJ216" s="365"/>
      <c r="BK216" s="371">
        <f>'Degrémont Entrée'!BH216</f>
        <v>0</v>
      </c>
      <c r="BL216" s="372">
        <f>'Degrémont Entrée'!BI216</f>
        <v>0</v>
      </c>
    </row>
    <row r="217" spans="1:64" ht="15.75" customHeight="1" outlineLevel="1">
      <c r="A217" s="337">
        <f t="shared" si="18"/>
        <v>43669</v>
      </c>
      <c r="B217" s="338">
        <f>'Degrémont Entrée'!B217</f>
        <v>1050</v>
      </c>
      <c r="C217" s="339">
        <v>8.6</v>
      </c>
      <c r="D217" s="340">
        <v>92.1</v>
      </c>
      <c r="E217" s="341">
        <v>94.1</v>
      </c>
      <c r="F217" s="342">
        <v>100</v>
      </c>
      <c r="G217" s="329">
        <f t="shared" si="0"/>
        <v>20</v>
      </c>
      <c r="H217" s="338"/>
      <c r="I217" s="343">
        <v>601</v>
      </c>
      <c r="J217" s="344">
        <f t="shared" si="2"/>
        <v>631.04999999999995</v>
      </c>
      <c r="K217" s="343">
        <v>1</v>
      </c>
      <c r="L217" s="329"/>
      <c r="M217" s="346" t="str">
        <f t="shared" si="3"/>
        <v/>
      </c>
      <c r="N217" s="338" t="e">
        <f t="shared" si="4"/>
        <v>#VALUE!</v>
      </c>
      <c r="O217" s="341">
        <v>8.6</v>
      </c>
      <c r="P217" s="347">
        <f t="shared" si="19"/>
        <v>9.0299999999999994</v>
      </c>
      <c r="Q217" s="348"/>
      <c r="R217" s="369"/>
      <c r="S217" s="349">
        <f t="shared" si="20"/>
        <v>0</v>
      </c>
      <c r="T217" s="348"/>
      <c r="U217" s="369"/>
      <c r="V217" s="349">
        <f t="shared" si="5"/>
        <v>0</v>
      </c>
      <c r="W217" s="348"/>
      <c r="X217" s="318">
        <f t="shared" si="6"/>
        <v>8.6</v>
      </c>
      <c r="Y217" s="370">
        <f t="shared" si="7"/>
        <v>9.0299999999999994</v>
      </c>
      <c r="Z217" s="343" t="s">
        <v>85</v>
      </c>
      <c r="AA217" s="345">
        <v>0.01</v>
      </c>
      <c r="AB217" s="352">
        <f t="shared" si="8"/>
        <v>5.2500000000000003E-3</v>
      </c>
      <c r="AC217" s="353"/>
      <c r="AD217" s="354"/>
      <c r="AE217" s="378" t="str">
        <f t="shared" si="21"/>
        <v/>
      </c>
      <c r="AF217" s="329"/>
      <c r="AG217" s="355">
        <v>0.54</v>
      </c>
      <c r="AH217" s="356">
        <f t="shared" si="22"/>
        <v>3.0121200000000004</v>
      </c>
      <c r="AI217" s="329"/>
      <c r="AJ217" s="345">
        <v>0.4</v>
      </c>
      <c r="AK217" s="356">
        <f t="shared" si="11"/>
        <v>0.42</v>
      </c>
      <c r="AL217" s="357"/>
      <c r="AM217" s="355">
        <v>0.02</v>
      </c>
      <c r="AN217" s="356">
        <f t="shared" si="12"/>
        <v>2.1000000000000001E-2</v>
      </c>
      <c r="AO217" s="329"/>
      <c r="AP217" s="355">
        <v>0.19</v>
      </c>
      <c r="AQ217" s="359">
        <f t="shared" si="13"/>
        <v>0.19950000000000001</v>
      </c>
      <c r="AR217" s="360"/>
      <c r="AS217" s="355">
        <v>0.11</v>
      </c>
      <c r="AT217" s="356">
        <f t="shared" si="14"/>
        <v>0.11550000000000001</v>
      </c>
      <c r="AU217" s="345" t="s">
        <v>85</v>
      </c>
      <c r="AV217" s="355">
        <v>0.15</v>
      </c>
      <c r="AW217" s="359">
        <f t="shared" si="15"/>
        <v>7.8750000000000001E-2</v>
      </c>
      <c r="AX217" s="345" t="s">
        <v>85</v>
      </c>
      <c r="AY217" s="355">
        <v>0.13</v>
      </c>
      <c r="AZ217" s="359">
        <f t="shared" si="16"/>
        <v>6.8250000000000005E-2</v>
      </c>
      <c r="BA217" s="329">
        <f>IF('Degrémont Entrée'!K217="",,('Degrémont Entrée'!K217-I217)/'Degrémont Entrée'!K217*100)</f>
        <v>91.746772864597631</v>
      </c>
      <c r="BB217" s="329">
        <f>IF('Degrémont Entrée'!G217="",,('Degrémont Entrée'!G217-G217)/'Degrémont Entrée'!G217*100)</f>
        <v>99.748237663645526</v>
      </c>
      <c r="BC217" s="329" t="e">
        <f>IF('Degrémont Entrée'!S217="",,('Degrémont Entrée'!S217-M217)/'Degrémont Entrée'!S217*100)</f>
        <v>#VALUE!</v>
      </c>
      <c r="BD217" s="425">
        <f ca="1">IFERROR(__xludf.DUMMYFUNCTION("""COMPUTED_VALUE"""),52.09)</f>
        <v>52.09</v>
      </c>
      <c r="BE217" s="362"/>
      <c r="BF217" s="363"/>
      <c r="BG217" s="363"/>
      <c r="BH217" s="338">
        <f t="shared" si="17"/>
        <v>0</v>
      </c>
      <c r="BI217" s="364"/>
      <c r="BJ217" s="365"/>
      <c r="BK217" s="366">
        <f>'Degrémont Entrée'!BH217</f>
        <v>0</v>
      </c>
      <c r="BL217" s="367">
        <f>'Degrémont Entrée'!BI217</f>
        <v>0</v>
      </c>
    </row>
    <row r="218" spans="1:64" ht="14.25" outlineLevel="1">
      <c r="A218" s="337">
        <f t="shared" si="18"/>
        <v>43670</v>
      </c>
      <c r="B218" s="338">
        <f>'Degrémont Entrée'!B218</f>
        <v>1061</v>
      </c>
      <c r="C218" s="339">
        <v>8.4</v>
      </c>
      <c r="D218" s="340">
        <v>92.2</v>
      </c>
      <c r="E218" s="341">
        <v>96</v>
      </c>
      <c r="F218" s="342">
        <v>150</v>
      </c>
      <c r="G218" s="329">
        <f t="shared" si="0"/>
        <v>25.333333333333314</v>
      </c>
      <c r="H218" s="338"/>
      <c r="I218" s="343">
        <v>1135</v>
      </c>
      <c r="J218" s="344">
        <f t="shared" si="2"/>
        <v>1204.2349999999999</v>
      </c>
      <c r="K218" s="343">
        <v>1</v>
      </c>
      <c r="L218" s="345">
        <v>1.1200000000000001</v>
      </c>
      <c r="M218" s="346">
        <f t="shared" si="3"/>
        <v>1.1200000000000001</v>
      </c>
      <c r="N218" s="338">
        <f t="shared" si="4"/>
        <v>1.1883200000000003</v>
      </c>
      <c r="O218" s="368"/>
      <c r="P218" s="347">
        <f t="shared" si="19"/>
        <v>0</v>
      </c>
      <c r="Q218" s="348"/>
      <c r="R218" s="369"/>
      <c r="S218" s="349">
        <f t="shared" si="20"/>
        <v>0</v>
      </c>
      <c r="T218" s="348"/>
      <c r="U218" s="369"/>
      <c r="V218" s="349">
        <f t="shared" si="5"/>
        <v>0</v>
      </c>
      <c r="W218" s="348"/>
      <c r="X218" s="318" t="str">
        <f t="shared" si="6"/>
        <v/>
      </c>
      <c r="Y218" s="370" t="e">
        <f t="shared" si="7"/>
        <v>#VALUE!</v>
      </c>
      <c r="Z218" s="343" t="s">
        <v>85</v>
      </c>
      <c r="AA218" s="345">
        <v>0.01</v>
      </c>
      <c r="AB218" s="352">
        <f t="shared" si="8"/>
        <v>5.3049999999999998E-3</v>
      </c>
      <c r="AC218" s="353"/>
      <c r="AD218" s="354"/>
      <c r="AE218" s="378" t="str">
        <f t="shared" si="21"/>
        <v/>
      </c>
      <c r="AF218" s="329"/>
      <c r="AG218" s="358"/>
      <c r="AH218" s="356" t="str">
        <f t="shared" si="22"/>
        <v/>
      </c>
      <c r="AI218" s="329"/>
      <c r="AJ218" s="329"/>
      <c r="AK218" s="356">
        <f t="shared" si="11"/>
        <v>0</v>
      </c>
      <c r="AL218" s="357"/>
      <c r="AM218" s="358"/>
      <c r="AN218" s="356">
        <f t="shared" si="12"/>
        <v>0</v>
      </c>
      <c r="AO218" s="329"/>
      <c r="AP218" s="358"/>
      <c r="AQ218" s="359">
        <f t="shared" si="13"/>
        <v>0</v>
      </c>
      <c r="AR218" s="360"/>
      <c r="AS218" s="358"/>
      <c r="AT218" s="356">
        <f t="shared" si="14"/>
        <v>0</v>
      </c>
      <c r="AU218" s="329"/>
      <c r="AV218" s="358"/>
      <c r="AW218" s="359">
        <f t="shared" si="15"/>
        <v>0</v>
      </c>
      <c r="AX218" s="329"/>
      <c r="AY218" s="358"/>
      <c r="AZ218" s="359">
        <f t="shared" si="16"/>
        <v>0</v>
      </c>
      <c r="BA218" s="329">
        <f>IF('Degrémont Entrée'!K218="",,('Degrémont Entrée'!K218-I218)/'Degrémont Entrée'!K218*100)</f>
        <v>87.38187882156754</v>
      </c>
      <c r="BB218" s="329">
        <f>IF('Degrémont Entrée'!G218="",,('Degrémont Entrée'!G218-G218)/'Degrémont Entrée'!G218*100)</f>
        <v>99.71822235582944</v>
      </c>
      <c r="BC218" s="329">
        <f>IF('Degrémont Entrée'!S218="",,('Degrémont Entrée'!S218-M218)/'Degrémont Entrée'!S218*100)</f>
        <v>99.638709677419357</v>
      </c>
      <c r="BD218" s="425">
        <f ca="1">IFERROR(__xludf.DUMMYFUNCTION("""COMPUTED_VALUE"""),53.0545454545454)</f>
        <v>53.054545454545398</v>
      </c>
      <c r="BE218" s="362"/>
      <c r="BF218" s="363"/>
      <c r="BG218" s="363"/>
      <c r="BH218" s="338">
        <f t="shared" si="17"/>
        <v>0</v>
      </c>
      <c r="BI218" s="364"/>
      <c r="BJ218" s="365"/>
      <c r="BK218" s="371">
        <f>'Degrémont Entrée'!BH218</f>
        <v>0</v>
      </c>
      <c r="BL218" s="372">
        <f>'Degrémont Entrée'!BI218</f>
        <v>0</v>
      </c>
    </row>
    <row r="219" spans="1:64" ht="15.75" customHeight="1" outlineLevel="1">
      <c r="A219" s="337">
        <f t="shared" si="18"/>
        <v>43671</v>
      </c>
      <c r="B219" s="338">
        <f>'Degrémont Entrée'!B219</f>
        <v>859</v>
      </c>
      <c r="C219" s="339">
        <v>8.6999999999999993</v>
      </c>
      <c r="D219" s="340">
        <v>93.1</v>
      </c>
      <c r="E219" s="341">
        <v>96.4</v>
      </c>
      <c r="F219" s="342">
        <v>130</v>
      </c>
      <c r="G219" s="329">
        <f t="shared" si="0"/>
        <v>25.384615384615472</v>
      </c>
      <c r="H219" s="338"/>
      <c r="I219" s="343">
        <v>664</v>
      </c>
      <c r="J219" s="344">
        <f t="shared" si="2"/>
        <v>570.37599999999998</v>
      </c>
      <c r="K219" s="343">
        <v>1</v>
      </c>
      <c r="L219" s="345">
        <v>0.91</v>
      </c>
      <c r="M219" s="346">
        <f t="shared" si="3"/>
        <v>0.91</v>
      </c>
      <c r="N219" s="338">
        <f t="shared" si="4"/>
        <v>0.78169000000000011</v>
      </c>
      <c r="O219" s="368"/>
      <c r="P219" s="347">
        <f t="shared" si="19"/>
        <v>0</v>
      </c>
      <c r="Q219" s="348"/>
      <c r="R219" s="369"/>
      <c r="S219" s="349">
        <f t="shared" si="20"/>
        <v>0</v>
      </c>
      <c r="T219" s="348"/>
      <c r="U219" s="369"/>
      <c r="V219" s="349">
        <f t="shared" si="5"/>
        <v>0</v>
      </c>
      <c r="W219" s="348"/>
      <c r="X219" s="318" t="str">
        <f t="shared" si="6"/>
        <v/>
      </c>
      <c r="Y219" s="370" t="e">
        <f t="shared" si="7"/>
        <v>#VALUE!</v>
      </c>
      <c r="Z219" s="343" t="s">
        <v>85</v>
      </c>
      <c r="AA219" s="345">
        <v>0.01</v>
      </c>
      <c r="AB219" s="352">
        <f t="shared" si="8"/>
        <v>4.2950000000000002E-3</v>
      </c>
      <c r="AC219" s="353"/>
      <c r="AD219" s="354"/>
      <c r="AE219" s="378" t="str">
        <f t="shared" si="21"/>
        <v/>
      </c>
      <c r="AF219" s="329"/>
      <c r="AG219" s="358"/>
      <c r="AH219" s="356" t="str">
        <f t="shared" si="22"/>
        <v/>
      </c>
      <c r="AI219" s="329"/>
      <c r="AJ219" s="329"/>
      <c r="AK219" s="356">
        <f t="shared" si="11"/>
        <v>0</v>
      </c>
      <c r="AL219" s="357"/>
      <c r="AM219" s="358"/>
      <c r="AN219" s="356">
        <f t="shared" si="12"/>
        <v>0</v>
      </c>
      <c r="AO219" s="329"/>
      <c r="AP219" s="358"/>
      <c r="AQ219" s="359">
        <f t="shared" si="13"/>
        <v>0</v>
      </c>
      <c r="AR219" s="360"/>
      <c r="AS219" s="358"/>
      <c r="AT219" s="356">
        <f t="shared" si="14"/>
        <v>0</v>
      </c>
      <c r="AU219" s="329"/>
      <c r="AV219" s="358"/>
      <c r="AW219" s="359">
        <f t="shared" si="15"/>
        <v>0</v>
      </c>
      <c r="AX219" s="329"/>
      <c r="AY219" s="358"/>
      <c r="AZ219" s="359">
        <f t="shared" si="16"/>
        <v>0</v>
      </c>
      <c r="BA219" s="329">
        <f>IF('Degrémont Entrée'!K219="",,('Degrémont Entrée'!K219-I219)/'Degrémont Entrée'!K219*100)</f>
        <v>87.703703703703709</v>
      </c>
      <c r="BB219" s="329">
        <f>IF('Degrémont Entrée'!G219="",,('Degrémont Entrée'!G219-G219)/'Degrémont Entrée'!G219*100)</f>
        <v>99.393002979803555</v>
      </c>
      <c r="BC219" s="329">
        <f>IF('Degrémont Entrée'!S219="",,('Degrémont Entrée'!S219-M219)/'Degrémont Entrée'!S219*100)</f>
        <v>99.373278236914615</v>
      </c>
      <c r="BD219" s="425">
        <f ca="1">IFERROR(__xludf.DUMMYFUNCTION("""COMPUTED_VALUE"""),52.9090909090909)</f>
        <v>52.909090909090899</v>
      </c>
      <c r="BE219" s="362"/>
      <c r="BF219" s="363"/>
      <c r="BG219" s="363"/>
      <c r="BH219" s="338">
        <f t="shared" si="17"/>
        <v>0</v>
      </c>
      <c r="BI219" s="364"/>
      <c r="BJ219" s="365"/>
      <c r="BK219" s="366">
        <f>'Degrémont Entrée'!BH219</f>
        <v>0</v>
      </c>
      <c r="BL219" s="367">
        <f>'Degrémont Entrée'!BI219</f>
        <v>0</v>
      </c>
    </row>
    <row r="220" spans="1:64" ht="14.25" outlineLevel="1">
      <c r="A220" s="337">
        <f t="shared" si="18"/>
        <v>43672</v>
      </c>
      <c r="B220" s="338">
        <f>'Degrémont Entrée'!B220</f>
        <v>1004</v>
      </c>
      <c r="C220" s="339">
        <v>8.4</v>
      </c>
      <c r="D220" s="340">
        <v>92.1</v>
      </c>
      <c r="E220" s="341">
        <v>94.5</v>
      </c>
      <c r="F220" s="342">
        <v>100</v>
      </c>
      <c r="G220" s="329">
        <f t="shared" si="0"/>
        <v>24.000000000000053</v>
      </c>
      <c r="H220" s="338"/>
      <c r="I220" s="343">
        <v>410</v>
      </c>
      <c r="J220" s="344">
        <f t="shared" si="2"/>
        <v>411.64</v>
      </c>
      <c r="K220" s="343">
        <v>1</v>
      </c>
      <c r="L220" s="345">
        <v>0.64</v>
      </c>
      <c r="M220" s="346">
        <f t="shared" si="3"/>
        <v>0.64</v>
      </c>
      <c r="N220" s="338">
        <f t="shared" si="4"/>
        <v>0.64256000000000002</v>
      </c>
      <c r="O220" s="368"/>
      <c r="P220" s="347">
        <f t="shared" si="19"/>
        <v>0</v>
      </c>
      <c r="Q220" s="348"/>
      <c r="R220" s="369"/>
      <c r="S220" s="349">
        <f t="shared" si="20"/>
        <v>0</v>
      </c>
      <c r="T220" s="348"/>
      <c r="U220" s="369"/>
      <c r="V220" s="349">
        <f t="shared" si="5"/>
        <v>0</v>
      </c>
      <c r="W220" s="348"/>
      <c r="X220" s="318" t="str">
        <f t="shared" si="6"/>
        <v/>
      </c>
      <c r="Y220" s="370" t="e">
        <f t="shared" si="7"/>
        <v>#VALUE!</v>
      </c>
      <c r="Z220" s="343" t="s">
        <v>85</v>
      </c>
      <c r="AA220" s="345">
        <v>0.01</v>
      </c>
      <c r="AB220" s="352">
        <f t="shared" si="8"/>
        <v>5.0200000000000002E-3</v>
      </c>
      <c r="AC220" s="353"/>
      <c r="AD220" s="354"/>
      <c r="AE220" s="378" t="str">
        <f t="shared" si="21"/>
        <v/>
      </c>
      <c r="AF220" s="329"/>
      <c r="AG220" s="358"/>
      <c r="AH220" s="356" t="str">
        <f t="shared" si="22"/>
        <v/>
      </c>
      <c r="AI220" s="329"/>
      <c r="AJ220" s="329"/>
      <c r="AK220" s="356">
        <f t="shared" si="11"/>
        <v>0</v>
      </c>
      <c r="AL220" s="357"/>
      <c r="AM220" s="358"/>
      <c r="AN220" s="356">
        <f t="shared" si="12"/>
        <v>0</v>
      </c>
      <c r="AO220" s="329"/>
      <c r="AP220" s="358"/>
      <c r="AQ220" s="359">
        <f t="shared" si="13"/>
        <v>0</v>
      </c>
      <c r="AR220" s="360"/>
      <c r="AS220" s="358"/>
      <c r="AT220" s="356">
        <f t="shared" si="14"/>
        <v>0</v>
      </c>
      <c r="AU220" s="329"/>
      <c r="AV220" s="358"/>
      <c r="AW220" s="359">
        <f t="shared" si="15"/>
        <v>0</v>
      </c>
      <c r="AX220" s="329"/>
      <c r="AY220" s="358"/>
      <c r="AZ220" s="359">
        <f t="shared" si="16"/>
        <v>0</v>
      </c>
      <c r="BA220" s="329">
        <f>IF('Degrémont Entrée'!K220="",,('Degrémont Entrée'!K220-I220)/'Degrémont Entrée'!K220*100)</f>
        <v>90.125240847784198</v>
      </c>
      <c r="BB220" s="329">
        <f>IF('Degrémont Entrée'!G220="",,('Degrémont Entrée'!G220-G220)/'Degrémont Entrée'!G220*100)</f>
        <v>99.001485884101044</v>
      </c>
      <c r="BC220" s="329">
        <f>IF('Degrémont Entrée'!S220="",,('Degrémont Entrée'!S220-M220)/'Degrémont Entrée'!S220*100)</f>
        <v>99.438596491228068</v>
      </c>
      <c r="BD220" s="425">
        <f ca="1">IFERROR(__xludf.DUMMYFUNCTION("""COMPUTED_VALUE"""),53.1)</f>
        <v>53.1</v>
      </c>
      <c r="BE220" s="362"/>
      <c r="BF220" s="363"/>
      <c r="BG220" s="363"/>
      <c r="BH220" s="338">
        <f t="shared" si="17"/>
        <v>0</v>
      </c>
      <c r="BI220" s="364"/>
      <c r="BJ220" s="365"/>
      <c r="BK220" s="371">
        <f>'Degrémont Entrée'!BH220</f>
        <v>0</v>
      </c>
      <c r="BL220" s="372">
        <f>'Degrémont Entrée'!BI220</f>
        <v>0</v>
      </c>
    </row>
    <row r="221" spans="1:64" ht="15.75" customHeight="1" outlineLevel="1">
      <c r="A221" s="337">
        <f t="shared" si="18"/>
        <v>43673</v>
      </c>
      <c r="B221" s="338">
        <f>'Degrémont Entrée'!B221</f>
        <v>323</v>
      </c>
      <c r="C221" s="339">
        <v>6.7</v>
      </c>
      <c r="D221" s="340">
        <v>93.5</v>
      </c>
      <c r="E221" s="341">
        <v>96</v>
      </c>
      <c r="F221" s="342">
        <v>100</v>
      </c>
      <c r="G221" s="329">
        <f t="shared" si="0"/>
        <v>25</v>
      </c>
      <c r="H221" s="338"/>
      <c r="I221" s="343">
        <v>1870</v>
      </c>
      <c r="J221" s="344">
        <f t="shared" si="2"/>
        <v>604.01</v>
      </c>
      <c r="K221" s="343">
        <v>1</v>
      </c>
      <c r="L221" s="345">
        <v>1.7</v>
      </c>
      <c r="M221" s="346">
        <f t="shared" si="3"/>
        <v>1.7</v>
      </c>
      <c r="N221" s="338">
        <f t="shared" si="4"/>
        <v>0.54910000000000003</v>
      </c>
      <c r="O221" s="368"/>
      <c r="P221" s="347">
        <f t="shared" si="19"/>
        <v>0</v>
      </c>
      <c r="Q221" s="348"/>
      <c r="R221" s="369"/>
      <c r="S221" s="349">
        <f t="shared" si="20"/>
        <v>0</v>
      </c>
      <c r="T221" s="348"/>
      <c r="U221" s="369"/>
      <c r="V221" s="349">
        <f t="shared" si="5"/>
        <v>0</v>
      </c>
      <c r="W221" s="348"/>
      <c r="X221" s="318" t="str">
        <f t="shared" si="6"/>
        <v/>
      </c>
      <c r="Y221" s="370" t="e">
        <f t="shared" si="7"/>
        <v>#VALUE!</v>
      </c>
      <c r="Z221" s="343" t="s">
        <v>85</v>
      </c>
      <c r="AA221" s="345">
        <v>0.01</v>
      </c>
      <c r="AB221" s="352">
        <f t="shared" si="8"/>
        <v>1.6149999999999999E-3</v>
      </c>
      <c r="AC221" s="353"/>
      <c r="AD221" s="354"/>
      <c r="AE221" s="378" t="str">
        <f t="shared" si="21"/>
        <v/>
      </c>
      <c r="AF221" s="329"/>
      <c r="AG221" s="358"/>
      <c r="AH221" s="356" t="str">
        <f t="shared" si="22"/>
        <v/>
      </c>
      <c r="AI221" s="329"/>
      <c r="AJ221" s="329"/>
      <c r="AK221" s="356">
        <f t="shared" si="11"/>
        <v>0</v>
      </c>
      <c r="AL221" s="357"/>
      <c r="AM221" s="358"/>
      <c r="AN221" s="356">
        <f t="shared" si="12"/>
        <v>0</v>
      </c>
      <c r="AO221" s="329"/>
      <c r="AP221" s="358"/>
      <c r="AQ221" s="359">
        <f t="shared" si="13"/>
        <v>0</v>
      </c>
      <c r="AR221" s="360"/>
      <c r="AS221" s="358"/>
      <c r="AT221" s="356">
        <f t="shared" si="14"/>
        <v>0</v>
      </c>
      <c r="AU221" s="329"/>
      <c r="AV221" s="358"/>
      <c r="AW221" s="359">
        <f t="shared" si="15"/>
        <v>0</v>
      </c>
      <c r="AX221" s="329"/>
      <c r="AY221" s="358"/>
      <c r="AZ221" s="359">
        <f t="shared" si="16"/>
        <v>0</v>
      </c>
      <c r="BA221" s="329">
        <f>IF('Degrémont Entrée'!K221="",,('Degrémont Entrée'!K221-I221)/'Degrémont Entrée'!K221*100)</f>
        <v>35.450465999309635</v>
      </c>
      <c r="BB221" s="329">
        <f>IF('Degrémont Entrée'!G221="",,('Degrémont Entrée'!G221-G221)/'Degrémont Entrée'!G221*100)</f>
        <v>99.318801089918253</v>
      </c>
      <c r="BC221" s="329">
        <f>IF('Degrémont Entrée'!S221="",,('Degrémont Entrée'!S221-M221)/'Degrémont Entrée'!S221*100)</f>
        <v>98.365384615384613</v>
      </c>
      <c r="BD221" s="425">
        <f ca="1">IFERROR(__xludf.DUMMYFUNCTION("""COMPUTED_VALUE"""),52.975)</f>
        <v>52.975000000000001</v>
      </c>
      <c r="BE221" s="362"/>
      <c r="BF221" s="363"/>
      <c r="BG221" s="363"/>
      <c r="BH221" s="338">
        <f t="shared" si="17"/>
        <v>0</v>
      </c>
      <c r="BI221" s="364"/>
      <c r="BJ221" s="365"/>
      <c r="BK221" s="366">
        <f>'Degrémont Entrée'!BH221</f>
        <v>0</v>
      </c>
      <c r="BL221" s="367">
        <f>'Degrémont Entrée'!BI221</f>
        <v>0</v>
      </c>
    </row>
    <row r="222" spans="1:64" ht="14.25" outlineLevel="1">
      <c r="A222" s="337">
        <f t="shared" si="18"/>
        <v>43674</v>
      </c>
      <c r="B222" s="338">
        <f>'Degrémont Entrée'!B222</f>
        <v>0</v>
      </c>
      <c r="C222" s="338"/>
      <c r="D222" s="388"/>
      <c r="E222" s="368"/>
      <c r="F222" s="357"/>
      <c r="G222" s="329">
        <f t="shared" si="0"/>
        <v>0</v>
      </c>
      <c r="H222" s="338"/>
      <c r="I222" s="346"/>
      <c r="J222" s="344">
        <f t="shared" si="2"/>
        <v>0</v>
      </c>
      <c r="K222" s="343">
        <v>1</v>
      </c>
      <c r="L222" s="329"/>
      <c r="M222" s="346" t="str">
        <f t="shared" si="3"/>
        <v/>
      </c>
      <c r="N222" s="338" t="e">
        <f t="shared" si="4"/>
        <v>#VALUE!</v>
      </c>
      <c r="O222" s="368"/>
      <c r="P222" s="347">
        <f t="shared" si="19"/>
        <v>0</v>
      </c>
      <c r="Q222" s="348"/>
      <c r="R222" s="369"/>
      <c r="S222" s="349">
        <f t="shared" si="20"/>
        <v>0</v>
      </c>
      <c r="T222" s="348"/>
      <c r="U222" s="369"/>
      <c r="V222" s="349">
        <f t="shared" si="5"/>
        <v>0</v>
      </c>
      <c r="W222" s="348"/>
      <c r="X222" s="318" t="str">
        <f t="shared" si="6"/>
        <v/>
      </c>
      <c r="Y222" s="370" t="e">
        <f t="shared" si="7"/>
        <v>#VALUE!</v>
      </c>
      <c r="Z222" s="346"/>
      <c r="AA222" s="329"/>
      <c r="AB222" s="352">
        <f t="shared" si="8"/>
        <v>0</v>
      </c>
      <c r="AC222" s="353"/>
      <c r="AD222" s="354"/>
      <c r="AE222" s="378" t="str">
        <f t="shared" si="21"/>
        <v/>
      </c>
      <c r="AF222" s="329"/>
      <c r="AG222" s="358"/>
      <c r="AH222" s="356" t="str">
        <f t="shared" si="22"/>
        <v/>
      </c>
      <c r="AI222" s="329"/>
      <c r="AJ222" s="329"/>
      <c r="AK222" s="356">
        <f t="shared" si="11"/>
        <v>0</v>
      </c>
      <c r="AL222" s="357"/>
      <c r="AM222" s="358"/>
      <c r="AN222" s="356">
        <f t="shared" si="12"/>
        <v>0</v>
      </c>
      <c r="AO222" s="329"/>
      <c r="AP222" s="358"/>
      <c r="AQ222" s="359">
        <f t="shared" si="13"/>
        <v>0</v>
      </c>
      <c r="AR222" s="360"/>
      <c r="AS222" s="358"/>
      <c r="AT222" s="356">
        <f t="shared" si="14"/>
        <v>0</v>
      </c>
      <c r="AU222" s="329"/>
      <c r="AV222" s="358"/>
      <c r="AW222" s="359">
        <f t="shared" si="15"/>
        <v>0</v>
      </c>
      <c r="AX222" s="329"/>
      <c r="AY222" s="358"/>
      <c r="AZ222" s="359">
        <f t="shared" si="16"/>
        <v>0</v>
      </c>
      <c r="BA222" s="329" t="e">
        <f>IF('Degrémont Entrée'!K222="",,('Degrémont Entrée'!K222-I222)/'Degrémont Entrée'!K222*100)</f>
        <v>#DIV/0!</v>
      </c>
      <c r="BB222" s="329" t="e">
        <f>IF('Degrémont Entrée'!G222="",,('Degrémont Entrée'!G222-G222)/'Degrémont Entrée'!G222*100)</f>
        <v>#DIV/0!</v>
      </c>
      <c r="BC222" s="329">
        <f>IF('Degrémont Entrée'!S222="",,('Degrémont Entrée'!S222-M222)/'Degrémont Entrée'!S222*100)</f>
        <v>0</v>
      </c>
      <c r="BD222" s="425" t="str">
        <f ca="1">IFERROR(__xludf.DUMMYFUNCTION("""COMPUTED_VALUE"""),"#DIV/0!")</f>
        <v>#DIV/0!</v>
      </c>
      <c r="BE222" s="362"/>
      <c r="BF222" s="363"/>
      <c r="BG222" s="363"/>
      <c r="BH222" s="338">
        <f t="shared" si="17"/>
        <v>0</v>
      </c>
      <c r="BI222" s="364"/>
      <c r="BJ222" s="365"/>
      <c r="BK222" s="371">
        <f>'Degrémont Entrée'!BH222</f>
        <v>0</v>
      </c>
      <c r="BL222" s="372">
        <f>'Degrémont Entrée'!BI222</f>
        <v>0</v>
      </c>
    </row>
    <row r="223" spans="1:64" ht="15.75" customHeight="1" outlineLevel="1">
      <c r="A223" s="337">
        <f t="shared" si="18"/>
        <v>43675</v>
      </c>
      <c r="B223" s="338">
        <f>'Degrémont Entrée'!B223</f>
        <v>226</v>
      </c>
      <c r="C223" s="339">
        <v>8.4</v>
      </c>
      <c r="D223" s="340">
        <v>88.9</v>
      </c>
      <c r="E223" s="341">
        <v>96.2</v>
      </c>
      <c r="F223" s="342">
        <v>42</v>
      </c>
      <c r="G223" s="329">
        <f t="shared" si="0"/>
        <v>173.80952380952374</v>
      </c>
      <c r="H223" s="338"/>
      <c r="I223" s="343">
        <v>6777</v>
      </c>
      <c r="J223" s="344">
        <f t="shared" si="2"/>
        <v>1531.6020000000001</v>
      </c>
      <c r="K223" s="343">
        <v>20</v>
      </c>
      <c r="L223" s="345">
        <v>3.53</v>
      </c>
      <c r="M223" s="346">
        <f t="shared" si="3"/>
        <v>70.599999999999994</v>
      </c>
      <c r="N223" s="338">
        <f t="shared" si="4"/>
        <v>15.955599999999999</v>
      </c>
      <c r="O223" s="368"/>
      <c r="P223" s="347">
        <f t="shared" si="19"/>
        <v>0</v>
      </c>
      <c r="Q223" s="348"/>
      <c r="R223" s="369"/>
      <c r="S223" s="349">
        <f t="shared" si="20"/>
        <v>0</v>
      </c>
      <c r="T223" s="348"/>
      <c r="U223" s="369"/>
      <c r="V223" s="349">
        <f t="shared" si="5"/>
        <v>0</v>
      </c>
      <c r="W223" s="348"/>
      <c r="X223" s="318" t="str">
        <f t="shared" si="6"/>
        <v/>
      </c>
      <c r="Y223" s="370" t="e">
        <f t="shared" si="7"/>
        <v>#VALUE!</v>
      </c>
      <c r="Z223" s="346"/>
      <c r="AA223" s="345">
        <v>0.09</v>
      </c>
      <c r="AB223" s="352">
        <f t="shared" si="8"/>
        <v>2.034E-2</v>
      </c>
      <c r="AC223" s="353"/>
      <c r="AD223" s="354"/>
      <c r="AE223" s="378" t="str">
        <f t="shared" si="21"/>
        <v/>
      </c>
      <c r="AF223" s="329"/>
      <c r="AG223" s="358"/>
      <c r="AH223" s="356" t="str">
        <f t="shared" si="22"/>
        <v/>
      </c>
      <c r="AI223" s="329"/>
      <c r="AJ223" s="329"/>
      <c r="AK223" s="356">
        <f t="shared" si="11"/>
        <v>0</v>
      </c>
      <c r="AL223" s="357"/>
      <c r="AM223" s="358"/>
      <c r="AN223" s="356">
        <f t="shared" si="12"/>
        <v>0</v>
      </c>
      <c r="AO223" s="329"/>
      <c r="AP223" s="358"/>
      <c r="AQ223" s="359">
        <f t="shared" si="13"/>
        <v>0</v>
      </c>
      <c r="AR223" s="360"/>
      <c r="AS223" s="358"/>
      <c r="AT223" s="356">
        <f t="shared" si="14"/>
        <v>0</v>
      </c>
      <c r="AU223" s="329"/>
      <c r="AV223" s="358"/>
      <c r="AW223" s="359">
        <f t="shared" si="15"/>
        <v>0</v>
      </c>
      <c r="AX223" s="329"/>
      <c r="AY223" s="358"/>
      <c r="AZ223" s="359">
        <f t="shared" si="16"/>
        <v>0</v>
      </c>
      <c r="BA223" s="329">
        <f>IF('Degrémont Entrée'!K223="",,('Degrémont Entrée'!K223-I223)/'Degrémont Entrée'!K223*100)</f>
        <v>75.084558823529406</v>
      </c>
      <c r="BB223" s="329">
        <f>IF('Degrémont Entrée'!G223="",,('Degrémont Entrée'!G223-G223)/'Degrémont Entrée'!G223*100)</f>
        <v>98.970280655673918</v>
      </c>
      <c r="BC223" s="329">
        <f>IF('Degrémont Entrée'!S223="",,('Degrémont Entrée'!S223-M223)/'Degrémont Entrée'!S223*100)</f>
        <v>90.734908136482943</v>
      </c>
      <c r="BD223" s="425">
        <f ca="1">IFERROR(__xludf.DUMMYFUNCTION("""COMPUTED_VALUE"""),53.5571428571428)</f>
        <v>53.5571428571428</v>
      </c>
      <c r="BE223" s="362"/>
      <c r="BF223" s="363"/>
      <c r="BG223" s="363"/>
      <c r="BH223" s="338">
        <f t="shared" si="17"/>
        <v>0</v>
      </c>
      <c r="BI223" s="364" t="s">
        <v>210</v>
      </c>
      <c r="BJ223" s="365"/>
      <c r="BK223" s="366">
        <f>'Degrémont Entrée'!BH223</f>
        <v>0</v>
      </c>
      <c r="BL223" s="367">
        <f>'Degrémont Entrée'!BI223</f>
        <v>0</v>
      </c>
    </row>
    <row r="224" spans="1:64" ht="14.25" outlineLevel="1">
      <c r="A224" s="337">
        <f t="shared" si="18"/>
        <v>43676</v>
      </c>
      <c r="B224" s="338">
        <f>'Degrémont Entrée'!B224</f>
        <v>164</v>
      </c>
      <c r="C224" s="339">
        <v>8.9</v>
      </c>
      <c r="D224" s="340">
        <v>88.8</v>
      </c>
      <c r="E224" s="341">
        <v>96.2</v>
      </c>
      <c r="F224" s="342">
        <v>72</v>
      </c>
      <c r="G224" s="329">
        <f t="shared" si="0"/>
        <v>102.77777777777786</v>
      </c>
      <c r="H224" s="338"/>
      <c r="I224" s="343">
        <v>5043</v>
      </c>
      <c r="J224" s="344">
        <f t="shared" si="2"/>
        <v>827.05200000000002</v>
      </c>
      <c r="K224" s="343">
        <v>20</v>
      </c>
      <c r="L224" s="345">
        <v>0.66</v>
      </c>
      <c r="M224" s="346">
        <f t="shared" si="3"/>
        <v>13.200000000000001</v>
      </c>
      <c r="N224" s="338">
        <f t="shared" si="4"/>
        <v>2.1648000000000001</v>
      </c>
      <c r="O224" s="368"/>
      <c r="P224" s="347">
        <f t="shared" si="19"/>
        <v>0</v>
      </c>
      <c r="Q224" s="348"/>
      <c r="R224" s="369"/>
      <c r="S224" s="349">
        <f t="shared" si="20"/>
        <v>0</v>
      </c>
      <c r="T224" s="348"/>
      <c r="U224" s="369"/>
      <c r="V224" s="349">
        <f t="shared" si="5"/>
        <v>0</v>
      </c>
      <c r="W224" s="348"/>
      <c r="X224" s="318" t="str">
        <f t="shared" si="6"/>
        <v/>
      </c>
      <c r="Y224" s="370" t="e">
        <f t="shared" si="7"/>
        <v>#VALUE!</v>
      </c>
      <c r="Z224" s="343" t="s">
        <v>85</v>
      </c>
      <c r="AA224" s="345">
        <v>0.01</v>
      </c>
      <c r="AB224" s="352">
        <f t="shared" si="8"/>
        <v>8.2000000000000009E-4</v>
      </c>
      <c r="AC224" s="353"/>
      <c r="AD224" s="354"/>
      <c r="AE224" s="378" t="str">
        <f t="shared" si="21"/>
        <v/>
      </c>
      <c r="AF224" s="329"/>
      <c r="AG224" s="355">
        <v>0.54</v>
      </c>
      <c r="AH224" s="356">
        <f t="shared" si="22"/>
        <v>1.9639800000000001</v>
      </c>
      <c r="AI224" s="329"/>
      <c r="AJ224" s="345">
        <v>0.76</v>
      </c>
      <c r="AK224" s="356">
        <f t="shared" si="11"/>
        <v>0.12464</v>
      </c>
      <c r="AL224" s="357"/>
      <c r="AM224" s="355">
        <v>0.05</v>
      </c>
      <c r="AN224" s="356">
        <f t="shared" si="12"/>
        <v>8.2000000000000007E-3</v>
      </c>
      <c r="AO224" s="329"/>
      <c r="AP224" s="355">
        <v>0.19</v>
      </c>
      <c r="AQ224" s="359">
        <f t="shared" si="13"/>
        <v>3.116E-2</v>
      </c>
      <c r="AR224" s="360"/>
      <c r="AS224" s="355">
        <v>0.5</v>
      </c>
      <c r="AT224" s="356">
        <f t="shared" si="14"/>
        <v>8.2000000000000003E-2</v>
      </c>
      <c r="AU224" s="345" t="s">
        <v>85</v>
      </c>
      <c r="AV224" s="355">
        <v>0.15</v>
      </c>
      <c r="AW224" s="359">
        <f t="shared" si="15"/>
        <v>1.2299999999999998E-2</v>
      </c>
      <c r="AX224" s="345" t="s">
        <v>85</v>
      </c>
      <c r="AY224" s="355">
        <v>0.13</v>
      </c>
      <c r="AZ224" s="359">
        <f t="shared" si="16"/>
        <v>1.0659999999999999E-2</v>
      </c>
      <c r="BA224" s="329">
        <f>IF('Degrémont Entrée'!K224="",,('Degrémont Entrée'!K224-I224)/'Degrémont Entrée'!K224*100)</f>
        <v>81.459558823529406</v>
      </c>
      <c r="BB224" s="329">
        <f>IF('Degrémont Entrée'!G224="",,('Degrémont Entrée'!G224-G224)/'Degrémont Entrée'!G224*100)</f>
        <v>99.358192171499667</v>
      </c>
      <c r="BC224" s="329">
        <f>IF('Degrémont Entrée'!S224="",,('Degrémont Entrée'!S224-M224)/'Degrémont Entrée'!S224*100)</f>
        <v>97.950310559006198</v>
      </c>
      <c r="BD224" s="425">
        <f ca="1">IFERROR(__xludf.DUMMYFUNCTION("""COMPUTED_VALUE"""),53.225)</f>
        <v>53.225000000000001</v>
      </c>
      <c r="BE224" s="362"/>
      <c r="BF224" s="363"/>
      <c r="BG224" s="363"/>
      <c r="BH224" s="338">
        <f t="shared" si="17"/>
        <v>0</v>
      </c>
      <c r="BI224" s="364" t="s">
        <v>211</v>
      </c>
      <c r="BJ224" s="365"/>
      <c r="BK224" s="371">
        <f>'Degrémont Entrée'!BH224</f>
        <v>0</v>
      </c>
      <c r="BL224" s="372">
        <f>'Degrémont Entrée'!BI224</f>
        <v>0</v>
      </c>
    </row>
    <row r="225" spans="1:64" ht="15.75" customHeight="1" outlineLevel="1">
      <c r="A225" s="337">
        <f t="shared" si="18"/>
        <v>43677</v>
      </c>
      <c r="B225" s="338">
        <f>'Degrémont Entrée'!B225</f>
        <v>169</v>
      </c>
      <c r="C225" s="339">
        <v>7.9</v>
      </c>
      <c r="D225" s="340">
        <v>94.5</v>
      </c>
      <c r="E225" s="341">
        <v>108.6</v>
      </c>
      <c r="F225" s="342">
        <v>100</v>
      </c>
      <c r="G225" s="329">
        <f t="shared" si="0"/>
        <v>140.99999999999994</v>
      </c>
      <c r="H225" s="338"/>
      <c r="I225" s="343">
        <v>5295</v>
      </c>
      <c r="J225" s="344">
        <f t="shared" si="2"/>
        <v>894.85500000000002</v>
      </c>
      <c r="K225" s="343">
        <v>1</v>
      </c>
      <c r="L225" s="345">
        <v>7.89</v>
      </c>
      <c r="M225" s="346">
        <f t="shared" si="3"/>
        <v>7.89</v>
      </c>
      <c r="N225" s="338">
        <f t="shared" si="4"/>
        <v>1.3334099999999998</v>
      </c>
      <c r="O225" s="368"/>
      <c r="P225" s="347">
        <f t="shared" si="19"/>
        <v>0</v>
      </c>
      <c r="Q225" s="348"/>
      <c r="R225" s="369"/>
      <c r="S225" s="349">
        <f t="shared" si="20"/>
        <v>0</v>
      </c>
      <c r="T225" s="348"/>
      <c r="U225" s="369"/>
      <c r="V225" s="349">
        <f t="shared" si="5"/>
        <v>0</v>
      </c>
      <c r="W225" s="348"/>
      <c r="X225" s="318" t="str">
        <f t="shared" si="6"/>
        <v/>
      </c>
      <c r="Y225" s="370" t="e">
        <f t="shared" si="7"/>
        <v>#VALUE!</v>
      </c>
      <c r="Z225" s="343" t="s">
        <v>85</v>
      </c>
      <c r="AA225" s="345">
        <v>0.01</v>
      </c>
      <c r="AB225" s="352">
        <f t="shared" si="8"/>
        <v>8.4499999999999994E-4</v>
      </c>
      <c r="AC225" s="353"/>
      <c r="AD225" s="354"/>
      <c r="AE225" s="378" t="str">
        <f t="shared" si="21"/>
        <v/>
      </c>
      <c r="AF225" s="329"/>
      <c r="AG225" s="358"/>
      <c r="AH225" s="356" t="str">
        <f t="shared" si="22"/>
        <v/>
      </c>
      <c r="AI225" s="329"/>
      <c r="AJ225" s="329"/>
      <c r="AK225" s="356">
        <f t="shared" si="11"/>
        <v>0</v>
      </c>
      <c r="AL225" s="357"/>
      <c r="AM225" s="358"/>
      <c r="AN225" s="356">
        <f t="shared" si="12"/>
        <v>0</v>
      </c>
      <c r="AO225" s="329"/>
      <c r="AP225" s="358"/>
      <c r="AQ225" s="359">
        <f t="shared" si="13"/>
        <v>0</v>
      </c>
      <c r="AR225" s="360"/>
      <c r="AS225" s="358"/>
      <c r="AT225" s="356">
        <f t="shared" si="14"/>
        <v>0</v>
      </c>
      <c r="AU225" s="329"/>
      <c r="AV225" s="358"/>
      <c r="AW225" s="359">
        <f t="shared" si="15"/>
        <v>0</v>
      </c>
      <c r="AX225" s="329"/>
      <c r="AY225" s="358"/>
      <c r="AZ225" s="359">
        <f t="shared" si="16"/>
        <v>0</v>
      </c>
      <c r="BA225" s="329">
        <f>IF('Degrémont Entrée'!K225="",,('Degrémont Entrée'!K225-I225)/'Degrémont Entrée'!K225*100)</f>
        <v>83.954545454545453</v>
      </c>
      <c r="BB225" s="329">
        <f>IF('Degrémont Entrée'!G225="",,('Degrémont Entrée'!G225-G225)/'Degrémont Entrée'!G225*100)</f>
        <v>99.224783252273212</v>
      </c>
      <c r="BC225" s="329">
        <f>IF('Degrémont Entrée'!S225="",,('Degrémont Entrée'!S225-M225)/'Degrémont Entrée'!S225*100)</f>
        <v>99.158848614072497</v>
      </c>
      <c r="BD225" s="425">
        <f ca="1">IFERROR(__xludf.DUMMYFUNCTION("""COMPUTED_VALUE"""),54.95)</f>
        <v>54.95</v>
      </c>
      <c r="BE225" s="362"/>
      <c r="BF225" s="363"/>
      <c r="BG225" s="363"/>
      <c r="BH225" s="338">
        <f t="shared" si="17"/>
        <v>0</v>
      </c>
      <c r="BI225" s="364"/>
      <c r="BJ225" s="365"/>
      <c r="BK225" s="366">
        <f>'Degrémont Entrée'!BH225</f>
        <v>0</v>
      </c>
      <c r="BL225" s="367">
        <f>'Degrémont Entrée'!BI225</f>
        <v>0</v>
      </c>
    </row>
    <row r="226" spans="1:64" ht="14.25" outlineLevel="1">
      <c r="A226" s="337">
        <f t="shared" si="18"/>
        <v>43678</v>
      </c>
      <c r="B226" s="338">
        <f>'Degrémont Entrée'!B226</f>
        <v>320</v>
      </c>
      <c r="C226" s="339">
        <v>8.89</v>
      </c>
      <c r="D226" s="340">
        <v>88.6</v>
      </c>
      <c r="E226" s="341">
        <v>104.9</v>
      </c>
      <c r="F226" s="342">
        <v>74</v>
      </c>
      <c r="G226" s="329">
        <f t="shared" si="0"/>
        <v>220.27027027027043</v>
      </c>
      <c r="H226" s="338"/>
      <c r="I226" s="343">
        <v>8410</v>
      </c>
      <c r="J226" s="344">
        <f t="shared" si="2"/>
        <v>2691.2</v>
      </c>
      <c r="K226" s="343">
        <v>1</v>
      </c>
      <c r="L226" s="345">
        <v>7.25</v>
      </c>
      <c r="M226" s="346">
        <f t="shared" si="3"/>
        <v>7.25</v>
      </c>
      <c r="N226" s="338">
        <f t="shared" si="4"/>
        <v>2.3199999999999998</v>
      </c>
      <c r="O226" s="368"/>
      <c r="P226" s="347">
        <f t="shared" si="19"/>
        <v>0</v>
      </c>
      <c r="Q226" s="348"/>
      <c r="R226" s="369"/>
      <c r="S226" s="349">
        <f t="shared" si="20"/>
        <v>0</v>
      </c>
      <c r="T226" s="348"/>
      <c r="U226" s="369"/>
      <c r="V226" s="349">
        <f t="shared" si="5"/>
        <v>0</v>
      </c>
      <c r="W226" s="348"/>
      <c r="X226" s="318" t="str">
        <f t="shared" si="6"/>
        <v/>
      </c>
      <c r="Y226" s="370" t="e">
        <f t="shared" si="7"/>
        <v>#VALUE!</v>
      </c>
      <c r="Z226" s="343" t="s">
        <v>85</v>
      </c>
      <c r="AA226" s="345">
        <v>0.02</v>
      </c>
      <c r="AB226" s="352">
        <f t="shared" si="8"/>
        <v>3.2000000000000002E-3</v>
      </c>
      <c r="AC226" s="353"/>
      <c r="AD226" s="354"/>
      <c r="AE226" s="378" t="str">
        <f t="shared" si="21"/>
        <v/>
      </c>
      <c r="AF226" s="329"/>
      <c r="AG226" s="358"/>
      <c r="AH226" s="356" t="str">
        <f t="shared" si="22"/>
        <v/>
      </c>
      <c r="AI226" s="329"/>
      <c r="AJ226" s="329"/>
      <c r="AK226" s="356">
        <f t="shared" si="11"/>
        <v>0</v>
      </c>
      <c r="AL226" s="357"/>
      <c r="AM226" s="358"/>
      <c r="AN226" s="356">
        <f t="shared" si="12"/>
        <v>0</v>
      </c>
      <c r="AO226" s="329"/>
      <c r="AP226" s="358"/>
      <c r="AQ226" s="359">
        <f t="shared" si="13"/>
        <v>0</v>
      </c>
      <c r="AR226" s="360"/>
      <c r="AS226" s="358"/>
      <c r="AT226" s="356">
        <f t="shared" si="14"/>
        <v>0</v>
      </c>
      <c r="AU226" s="329"/>
      <c r="AV226" s="358"/>
      <c r="AW226" s="359">
        <f t="shared" si="15"/>
        <v>0</v>
      </c>
      <c r="AX226" s="329"/>
      <c r="AY226" s="358"/>
      <c r="AZ226" s="359">
        <f t="shared" si="16"/>
        <v>0</v>
      </c>
      <c r="BA226" s="329">
        <f>IF('Degrémont Entrée'!K226="",,('Degrémont Entrée'!K226-I226)/'Degrémont Entrée'!K226*100)</f>
        <v>81.991434689507486</v>
      </c>
      <c r="BB226" s="329">
        <f>IF('Degrémont Entrée'!G226="",,('Degrémont Entrée'!G226-G226)/'Degrémont Entrée'!G226*100)</f>
        <v>99.343456720505898</v>
      </c>
      <c r="BC226" s="329">
        <f>IF('Degrémont Entrée'!S226="",,('Degrémont Entrée'!S226-M226)/'Degrémont Entrée'!S226*100)</f>
        <v>99.30952380952381</v>
      </c>
      <c r="BD226" s="425">
        <f ca="1">IFERROR(__xludf.DUMMYFUNCTION("""COMPUTED_VALUE"""),54.6199999999999)</f>
        <v>54.619999999999898</v>
      </c>
      <c r="BE226" s="362"/>
      <c r="BF226" s="363"/>
      <c r="BG226" s="363"/>
      <c r="BH226" s="338">
        <f t="shared" si="17"/>
        <v>0</v>
      </c>
      <c r="BI226" s="364"/>
      <c r="BJ226" s="365"/>
      <c r="BK226" s="371">
        <f>'Degrémont Entrée'!BH226</f>
        <v>0</v>
      </c>
      <c r="BL226" s="372">
        <f>'Degrémont Entrée'!BI226</f>
        <v>0</v>
      </c>
    </row>
    <row r="227" spans="1:64" ht="15.75" customHeight="1" outlineLevel="1">
      <c r="A227" s="337">
        <f t="shared" si="18"/>
        <v>43679</v>
      </c>
      <c r="B227" s="338">
        <f>'Degrémont Entrée'!B227</f>
        <v>107</v>
      </c>
      <c r="C227" s="339">
        <v>8.23</v>
      </c>
      <c r="D227" s="340">
        <v>95.4</v>
      </c>
      <c r="E227" s="341">
        <v>109.8</v>
      </c>
      <c r="F227" s="342">
        <v>63</v>
      </c>
      <c r="G227" s="329">
        <f t="shared" si="0"/>
        <v>228.57142857142841</v>
      </c>
      <c r="H227" s="338"/>
      <c r="I227" s="343">
        <v>7556</v>
      </c>
      <c r="J227" s="344">
        <f t="shared" si="2"/>
        <v>808.49199999999996</v>
      </c>
      <c r="K227" s="343">
        <v>1</v>
      </c>
      <c r="L227" s="345">
        <v>3.14</v>
      </c>
      <c r="M227" s="346">
        <f t="shared" si="3"/>
        <v>3.14</v>
      </c>
      <c r="N227" s="338">
        <f t="shared" si="4"/>
        <v>0.33598</v>
      </c>
      <c r="O227" s="368"/>
      <c r="P227" s="347">
        <f t="shared" si="19"/>
        <v>0</v>
      </c>
      <c r="Q227" s="348"/>
      <c r="R227" s="369"/>
      <c r="S227" s="349">
        <f t="shared" si="20"/>
        <v>0</v>
      </c>
      <c r="T227" s="348"/>
      <c r="U227" s="369"/>
      <c r="V227" s="349">
        <f t="shared" si="5"/>
        <v>0</v>
      </c>
      <c r="W227" s="348"/>
      <c r="X227" s="318" t="str">
        <f t="shared" si="6"/>
        <v/>
      </c>
      <c r="Y227" s="370" t="e">
        <f t="shared" si="7"/>
        <v>#VALUE!</v>
      </c>
      <c r="Z227" s="343" t="s">
        <v>85</v>
      </c>
      <c r="AA227" s="345">
        <v>0.02</v>
      </c>
      <c r="AB227" s="352">
        <f t="shared" si="8"/>
        <v>1.07E-3</v>
      </c>
      <c r="AC227" s="353"/>
      <c r="AD227" s="354"/>
      <c r="AE227" s="378" t="str">
        <f t="shared" si="21"/>
        <v/>
      </c>
      <c r="AF227" s="329"/>
      <c r="AG227" s="358"/>
      <c r="AH227" s="356" t="str">
        <f t="shared" si="22"/>
        <v/>
      </c>
      <c r="AI227" s="329"/>
      <c r="AJ227" s="329"/>
      <c r="AK227" s="356">
        <f t="shared" si="11"/>
        <v>0</v>
      </c>
      <c r="AL227" s="357"/>
      <c r="AM227" s="358"/>
      <c r="AN227" s="356">
        <f t="shared" si="12"/>
        <v>0</v>
      </c>
      <c r="AO227" s="329"/>
      <c r="AP227" s="358"/>
      <c r="AQ227" s="359">
        <f t="shared" si="13"/>
        <v>0</v>
      </c>
      <c r="AR227" s="360"/>
      <c r="AS227" s="358"/>
      <c r="AT227" s="356">
        <f t="shared" si="14"/>
        <v>0</v>
      </c>
      <c r="AU227" s="329"/>
      <c r="AV227" s="358"/>
      <c r="AW227" s="359">
        <f t="shared" si="15"/>
        <v>0</v>
      </c>
      <c r="AX227" s="329"/>
      <c r="AY227" s="358"/>
      <c r="AZ227" s="359">
        <f t="shared" si="16"/>
        <v>0</v>
      </c>
      <c r="BA227" s="329">
        <f>IF('Degrémont Entrée'!K227="",,('Degrémont Entrée'!K227-I227)/'Degrémont Entrée'!K227*100)</f>
        <v>81.180572851805735</v>
      </c>
      <c r="BB227" s="329">
        <f>IF('Degrémont Entrée'!G227="",,('Degrémont Entrée'!G227-G227)/'Degrémont Entrée'!G227*100)</f>
        <v>99.458911058505237</v>
      </c>
      <c r="BC227" s="329">
        <f>IF('Degrémont Entrée'!S227="",,('Degrémont Entrée'!S227-M227)/'Degrémont Entrée'!S227*100)</f>
        <v>99.772463768115941</v>
      </c>
      <c r="BD227" s="425">
        <f ca="1">IFERROR(__xludf.DUMMYFUNCTION("""COMPUTED_VALUE"""),54.725)</f>
        <v>54.725000000000001</v>
      </c>
      <c r="BE227" s="362"/>
      <c r="BF227" s="363"/>
      <c r="BG227" s="363"/>
      <c r="BH227" s="338">
        <f t="shared" si="17"/>
        <v>0</v>
      </c>
      <c r="BI227" s="364"/>
      <c r="BJ227" s="365"/>
      <c r="BK227" s="366">
        <f>'Degrémont Entrée'!BH227</f>
        <v>0</v>
      </c>
      <c r="BL227" s="367">
        <f>'Degrémont Entrée'!BI227</f>
        <v>0</v>
      </c>
    </row>
    <row r="228" spans="1:64" ht="14.25" outlineLevel="1">
      <c r="A228" s="337">
        <f t="shared" si="18"/>
        <v>43680</v>
      </c>
      <c r="B228" s="338">
        <f>'Degrémont Entrée'!B228</f>
        <v>0</v>
      </c>
      <c r="C228" s="338"/>
      <c r="D228" s="388"/>
      <c r="E228" s="368"/>
      <c r="F228" s="357"/>
      <c r="G228" s="329">
        <f t="shared" si="0"/>
        <v>0</v>
      </c>
      <c r="H228" s="338"/>
      <c r="I228" s="346"/>
      <c r="J228" s="344">
        <f t="shared" si="2"/>
        <v>0</v>
      </c>
      <c r="K228" s="343">
        <v>1</v>
      </c>
      <c r="L228" s="329"/>
      <c r="M228" s="346" t="str">
        <f t="shared" si="3"/>
        <v/>
      </c>
      <c r="N228" s="338" t="e">
        <f t="shared" si="4"/>
        <v>#VALUE!</v>
      </c>
      <c r="O228" s="368"/>
      <c r="P228" s="347">
        <f t="shared" si="19"/>
        <v>0</v>
      </c>
      <c r="Q228" s="348"/>
      <c r="R228" s="369"/>
      <c r="S228" s="349">
        <f t="shared" si="20"/>
        <v>0</v>
      </c>
      <c r="T228" s="348"/>
      <c r="U228" s="369"/>
      <c r="V228" s="349">
        <f t="shared" si="5"/>
        <v>0</v>
      </c>
      <c r="W228" s="348"/>
      <c r="X228" s="318" t="str">
        <f t="shared" si="6"/>
        <v/>
      </c>
      <c r="Y228" s="370" t="e">
        <f t="shared" si="7"/>
        <v>#VALUE!</v>
      </c>
      <c r="Z228" s="346"/>
      <c r="AA228" s="329"/>
      <c r="AB228" s="352">
        <f t="shared" si="8"/>
        <v>0</v>
      </c>
      <c r="AC228" s="353"/>
      <c r="AD228" s="354"/>
      <c r="AE228" s="378" t="str">
        <f t="shared" si="21"/>
        <v/>
      </c>
      <c r="AF228" s="329"/>
      <c r="AG228" s="358"/>
      <c r="AH228" s="356" t="str">
        <f t="shared" si="22"/>
        <v/>
      </c>
      <c r="AI228" s="329"/>
      <c r="AJ228" s="329"/>
      <c r="AK228" s="356">
        <f t="shared" si="11"/>
        <v>0</v>
      </c>
      <c r="AL228" s="357"/>
      <c r="AM228" s="358"/>
      <c r="AN228" s="356">
        <f t="shared" si="12"/>
        <v>0</v>
      </c>
      <c r="AO228" s="329"/>
      <c r="AP228" s="358"/>
      <c r="AQ228" s="359">
        <f t="shared" si="13"/>
        <v>0</v>
      </c>
      <c r="AR228" s="360"/>
      <c r="AS228" s="358"/>
      <c r="AT228" s="356">
        <f t="shared" si="14"/>
        <v>0</v>
      </c>
      <c r="AU228" s="329"/>
      <c r="AV228" s="358"/>
      <c r="AW228" s="359">
        <f t="shared" si="15"/>
        <v>0</v>
      </c>
      <c r="AX228" s="329"/>
      <c r="AY228" s="358"/>
      <c r="AZ228" s="359">
        <f t="shared" si="16"/>
        <v>0</v>
      </c>
      <c r="BA228" s="329" t="e">
        <f>IF('Degrémont Entrée'!K228="",,('Degrémont Entrée'!K228-I228)/'Degrémont Entrée'!K228*100)</f>
        <v>#DIV/0!</v>
      </c>
      <c r="BB228" s="329" t="e">
        <f>IF('Degrémont Entrée'!G228="",,('Degrémont Entrée'!G228-G228)/'Degrémont Entrée'!G228*100)</f>
        <v>#DIV/0!</v>
      </c>
      <c r="BC228" s="329">
        <f>IF('Degrémont Entrée'!S228="",,('Degrémont Entrée'!S228-M228)/'Degrémont Entrée'!S228*100)</f>
        <v>0</v>
      </c>
      <c r="BD228" s="425" t="str">
        <f ca="1">IFERROR(__xludf.DUMMYFUNCTION("""COMPUTED_VALUE"""),"#DIV/0!")</f>
        <v>#DIV/0!</v>
      </c>
      <c r="BE228" s="362"/>
      <c r="BF228" s="363"/>
      <c r="BG228" s="363"/>
      <c r="BH228" s="338">
        <f t="shared" si="17"/>
        <v>0</v>
      </c>
      <c r="BI228" s="364"/>
      <c r="BJ228" s="365"/>
      <c r="BK228" s="371">
        <f>'Degrémont Entrée'!BH228</f>
        <v>0</v>
      </c>
      <c r="BL228" s="372">
        <f>'Degrémont Entrée'!BI228</f>
        <v>0</v>
      </c>
    </row>
    <row r="229" spans="1:64" ht="15.75" customHeight="1" outlineLevel="1">
      <c r="A229" s="337">
        <f t="shared" si="18"/>
        <v>43681</v>
      </c>
      <c r="B229" s="338">
        <f>'Degrémont Entrée'!B229</f>
        <v>0</v>
      </c>
      <c r="C229" s="338"/>
      <c r="D229" s="388"/>
      <c r="E229" s="368"/>
      <c r="F229" s="357"/>
      <c r="G229" s="329">
        <f t="shared" si="0"/>
        <v>0</v>
      </c>
      <c r="H229" s="338"/>
      <c r="I229" s="346"/>
      <c r="J229" s="344">
        <f t="shared" si="2"/>
        <v>0</v>
      </c>
      <c r="K229" s="343">
        <v>1</v>
      </c>
      <c r="L229" s="329"/>
      <c r="M229" s="346" t="str">
        <f t="shared" si="3"/>
        <v/>
      </c>
      <c r="N229" s="338" t="e">
        <f t="shared" si="4"/>
        <v>#VALUE!</v>
      </c>
      <c r="O229" s="368"/>
      <c r="P229" s="347">
        <f t="shared" si="19"/>
        <v>0</v>
      </c>
      <c r="Q229" s="348"/>
      <c r="R229" s="369"/>
      <c r="S229" s="349">
        <f t="shared" si="20"/>
        <v>0</v>
      </c>
      <c r="T229" s="348"/>
      <c r="U229" s="369"/>
      <c r="V229" s="349">
        <f t="shared" si="5"/>
        <v>0</v>
      </c>
      <c r="W229" s="348"/>
      <c r="X229" s="318" t="str">
        <f t="shared" si="6"/>
        <v/>
      </c>
      <c r="Y229" s="370" t="e">
        <f t="shared" si="7"/>
        <v>#VALUE!</v>
      </c>
      <c r="Z229" s="346"/>
      <c r="AA229" s="329"/>
      <c r="AB229" s="352">
        <f t="shared" si="8"/>
        <v>0</v>
      </c>
      <c r="AC229" s="353"/>
      <c r="AD229" s="354"/>
      <c r="AE229" s="378" t="str">
        <f t="shared" si="21"/>
        <v/>
      </c>
      <c r="AF229" s="329"/>
      <c r="AG229" s="358"/>
      <c r="AH229" s="356" t="str">
        <f t="shared" si="22"/>
        <v/>
      </c>
      <c r="AI229" s="329"/>
      <c r="AJ229" s="329"/>
      <c r="AK229" s="356">
        <f t="shared" si="11"/>
        <v>0</v>
      </c>
      <c r="AL229" s="357"/>
      <c r="AM229" s="358"/>
      <c r="AN229" s="356">
        <f t="shared" si="12"/>
        <v>0</v>
      </c>
      <c r="AO229" s="329"/>
      <c r="AP229" s="358"/>
      <c r="AQ229" s="359">
        <f t="shared" si="13"/>
        <v>0</v>
      </c>
      <c r="AR229" s="360"/>
      <c r="AS229" s="358"/>
      <c r="AT229" s="356">
        <f t="shared" si="14"/>
        <v>0</v>
      </c>
      <c r="AU229" s="329"/>
      <c r="AV229" s="358"/>
      <c r="AW229" s="359">
        <f t="shared" si="15"/>
        <v>0</v>
      </c>
      <c r="AX229" s="329"/>
      <c r="AY229" s="358"/>
      <c r="AZ229" s="359">
        <f t="shared" si="16"/>
        <v>0</v>
      </c>
      <c r="BA229" s="329" t="e">
        <f>IF('Degrémont Entrée'!K229="",,('Degrémont Entrée'!K229-I229)/'Degrémont Entrée'!K229*100)</f>
        <v>#DIV/0!</v>
      </c>
      <c r="BB229" s="329" t="e">
        <f>IF('Degrémont Entrée'!G229="",,('Degrémont Entrée'!G229-G229)/'Degrémont Entrée'!G229*100)</f>
        <v>#DIV/0!</v>
      </c>
      <c r="BC229" s="329">
        <f>IF('Degrémont Entrée'!S229="",,('Degrémont Entrée'!S229-M229)/'Degrémont Entrée'!S229*100)</f>
        <v>0</v>
      </c>
      <c r="BD229" s="425" t="str">
        <f ca="1">IFERROR(__xludf.DUMMYFUNCTION("""COMPUTED_VALUE"""),"#DIV/0!")</f>
        <v>#DIV/0!</v>
      </c>
      <c r="BE229" s="362"/>
      <c r="BF229" s="363"/>
      <c r="BG229" s="363"/>
      <c r="BH229" s="338">
        <f t="shared" si="17"/>
        <v>0</v>
      </c>
      <c r="BI229" s="364"/>
      <c r="BJ229" s="365"/>
      <c r="BK229" s="366">
        <f>'Degrémont Entrée'!BH229</f>
        <v>0</v>
      </c>
      <c r="BL229" s="367">
        <f>'Degrémont Entrée'!BI229</f>
        <v>0</v>
      </c>
    </row>
    <row r="230" spans="1:64" ht="14.25" outlineLevel="1">
      <c r="A230" s="337">
        <f t="shared" si="18"/>
        <v>43682</v>
      </c>
      <c r="B230" s="338">
        <f>'Degrémont Entrée'!B230</f>
        <v>157</v>
      </c>
      <c r="C230" s="339">
        <v>8.89</v>
      </c>
      <c r="D230" s="340">
        <v>94.9</v>
      </c>
      <c r="E230" s="341">
        <v>106.7</v>
      </c>
      <c r="F230" s="342">
        <v>54</v>
      </c>
      <c r="G230" s="329">
        <f t="shared" si="0"/>
        <v>218.51851851851845</v>
      </c>
      <c r="H230" s="338"/>
      <c r="I230" s="343">
        <v>7994</v>
      </c>
      <c r="J230" s="344">
        <f t="shared" si="2"/>
        <v>1255.058</v>
      </c>
      <c r="K230" s="343">
        <v>1</v>
      </c>
      <c r="L230" s="345">
        <v>7.14</v>
      </c>
      <c r="M230" s="346">
        <f t="shared" si="3"/>
        <v>7.14</v>
      </c>
      <c r="N230" s="338">
        <f t="shared" si="4"/>
        <v>1.1209800000000001</v>
      </c>
      <c r="O230" s="368"/>
      <c r="P230" s="347">
        <f t="shared" si="19"/>
        <v>0</v>
      </c>
      <c r="Q230" s="348"/>
      <c r="R230" s="369"/>
      <c r="S230" s="349">
        <f t="shared" si="20"/>
        <v>0</v>
      </c>
      <c r="T230" s="348"/>
      <c r="U230" s="369"/>
      <c r="V230" s="349">
        <f t="shared" si="5"/>
        <v>0</v>
      </c>
      <c r="W230" s="348"/>
      <c r="X230" s="318" t="str">
        <f t="shared" si="6"/>
        <v/>
      </c>
      <c r="Y230" s="370" t="e">
        <f t="shared" si="7"/>
        <v>#VALUE!</v>
      </c>
      <c r="Z230" s="343" t="s">
        <v>85</v>
      </c>
      <c r="AA230" s="345">
        <v>0.01</v>
      </c>
      <c r="AB230" s="352">
        <f t="shared" si="8"/>
        <v>7.85E-4</v>
      </c>
      <c r="AC230" s="353"/>
      <c r="AD230" s="354"/>
      <c r="AE230" s="378" t="str">
        <f t="shared" si="21"/>
        <v/>
      </c>
      <c r="AF230" s="329"/>
      <c r="AG230" s="358"/>
      <c r="AH230" s="356" t="str">
        <f t="shared" si="22"/>
        <v/>
      </c>
      <c r="AI230" s="329"/>
      <c r="AJ230" s="329"/>
      <c r="AK230" s="356">
        <f t="shared" si="11"/>
        <v>0</v>
      </c>
      <c r="AL230" s="357"/>
      <c r="AM230" s="358"/>
      <c r="AN230" s="356">
        <f t="shared" si="12"/>
        <v>0</v>
      </c>
      <c r="AO230" s="329"/>
      <c r="AP230" s="358"/>
      <c r="AQ230" s="359">
        <f t="shared" si="13"/>
        <v>0</v>
      </c>
      <c r="AR230" s="360"/>
      <c r="AS230" s="358"/>
      <c r="AT230" s="356">
        <f t="shared" si="14"/>
        <v>0</v>
      </c>
      <c r="AU230" s="329"/>
      <c r="AV230" s="358"/>
      <c r="AW230" s="359">
        <f t="shared" si="15"/>
        <v>0</v>
      </c>
      <c r="AX230" s="329"/>
      <c r="AY230" s="358"/>
      <c r="AZ230" s="359">
        <f t="shared" si="16"/>
        <v>0</v>
      </c>
      <c r="BA230" s="329">
        <f>IF('Degrémont Entrée'!K230="",,('Degrémont Entrée'!K230-I230)/'Degrémont Entrée'!K230*100)</f>
        <v>80.336981921042934</v>
      </c>
      <c r="BB230" s="329">
        <f>IF('Degrémont Entrée'!G230="",,('Degrémont Entrée'!G230-G230)/'Degrémont Entrée'!G230*100)</f>
        <v>99.3874743699551</v>
      </c>
      <c r="BC230" s="329">
        <f>IF('Degrémont Entrée'!S230="",,('Degrémont Entrée'!S230-M230)/'Degrémont Entrée'!S230*100)</f>
        <v>99.171693735498849</v>
      </c>
      <c r="BD230" s="425">
        <f ca="1">IFERROR(__xludf.DUMMYFUNCTION("""COMPUTED_VALUE"""),56.475)</f>
        <v>56.475000000000001</v>
      </c>
      <c r="BE230" s="362"/>
      <c r="BF230" s="363"/>
      <c r="BG230" s="363"/>
      <c r="BH230" s="338">
        <f t="shared" si="17"/>
        <v>0</v>
      </c>
      <c r="BI230" s="364"/>
      <c r="BJ230" s="365"/>
      <c r="BK230" s="371">
        <f>'Degrémont Entrée'!BH230</f>
        <v>0</v>
      </c>
      <c r="BL230" s="372">
        <f>'Degrémont Entrée'!BI230</f>
        <v>0</v>
      </c>
    </row>
    <row r="231" spans="1:64" ht="15.75" customHeight="1" outlineLevel="1">
      <c r="A231" s="337">
        <f t="shared" si="18"/>
        <v>43683</v>
      </c>
      <c r="B231" s="338">
        <f>'Degrémont Entrée'!B231</f>
        <v>175</v>
      </c>
      <c r="C231" s="339">
        <v>8.51</v>
      </c>
      <c r="D231" s="340">
        <v>92.6</v>
      </c>
      <c r="E231" s="341">
        <v>96.1</v>
      </c>
      <c r="F231" s="342">
        <v>30</v>
      </c>
      <c r="G231" s="329">
        <f t="shared" si="0"/>
        <v>116.66666666666667</v>
      </c>
      <c r="H231" s="338"/>
      <c r="I231" s="343">
        <v>7493</v>
      </c>
      <c r="J231" s="344">
        <f t="shared" si="2"/>
        <v>1311.2750000000001</v>
      </c>
      <c r="K231" s="343">
        <v>1</v>
      </c>
      <c r="L231" s="345">
        <v>6.17</v>
      </c>
      <c r="M231" s="346">
        <f t="shared" si="3"/>
        <v>6.17</v>
      </c>
      <c r="N231" s="338">
        <f t="shared" si="4"/>
        <v>1.07975</v>
      </c>
      <c r="O231" s="341">
        <v>345</v>
      </c>
      <c r="P231" s="347">
        <f t="shared" si="19"/>
        <v>60.375</v>
      </c>
      <c r="Q231" s="348"/>
      <c r="R231" s="369"/>
      <c r="S231" s="349">
        <f t="shared" si="20"/>
        <v>0</v>
      </c>
      <c r="T231" s="348"/>
      <c r="U231" s="369"/>
      <c r="V231" s="349">
        <f t="shared" si="5"/>
        <v>0</v>
      </c>
      <c r="W231" s="348"/>
      <c r="X231" s="318">
        <f t="shared" si="6"/>
        <v>345</v>
      </c>
      <c r="Y231" s="370">
        <f t="shared" si="7"/>
        <v>60.375</v>
      </c>
      <c r="Z231" s="346"/>
      <c r="AA231" s="345">
        <v>0.01</v>
      </c>
      <c r="AB231" s="352">
        <f t="shared" si="8"/>
        <v>1.75E-3</v>
      </c>
      <c r="AC231" s="353"/>
      <c r="AD231" s="354"/>
      <c r="AE231" s="378" t="str">
        <f t="shared" si="21"/>
        <v/>
      </c>
      <c r="AF231" s="329"/>
      <c r="AG231" s="355">
        <v>4.3</v>
      </c>
      <c r="AH231" s="356">
        <f t="shared" si="22"/>
        <v>3.9904000000000002</v>
      </c>
      <c r="AI231" s="329"/>
      <c r="AJ231" s="345">
        <v>3.13</v>
      </c>
      <c r="AK231" s="356">
        <f t="shared" si="11"/>
        <v>0.54774999999999996</v>
      </c>
      <c r="AL231" s="357"/>
      <c r="AM231" s="355">
        <v>0.11</v>
      </c>
      <c r="AN231" s="356">
        <f t="shared" si="12"/>
        <v>1.925E-2</v>
      </c>
      <c r="AO231" s="329"/>
      <c r="AP231" s="355">
        <v>0.2</v>
      </c>
      <c r="AQ231" s="359">
        <f t="shared" si="13"/>
        <v>3.5000000000000003E-2</v>
      </c>
      <c r="AR231" s="360"/>
      <c r="AS231" s="355">
        <v>3.25</v>
      </c>
      <c r="AT231" s="356">
        <f t="shared" si="14"/>
        <v>0.56874999999999998</v>
      </c>
      <c r="AU231" s="345" t="s">
        <v>85</v>
      </c>
      <c r="AV231" s="355">
        <v>0.15</v>
      </c>
      <c r="AW231" s="359">
        <f t="shared" si="15"/>
        <v>1.3125E-2</v>
      </c>
      <c r="AX231" s="329"/>
      <c r="AY231" s="355">
        <v>0.15</v>
      </c>
      <c r="AZ231" s="359">
        <f t="shared" si="16"/>
        <v>2.6249999999999999E-2</v>
      </c>
      <c r="BA231" s="329">
        <f>IF('Degrémont Entrée'!K231="",,('Degrémont Entrée'!K231-I231)/'Degrémont Entrée'!K231*100)</f>
        <v>73.396058938398724</v>
      </c>
      <c r="BB231" s="329">
        <f>IF('Degrémont Entrée'!G231="",,('Degrémont Entrée'!G231-G231)/'Degrémont Entrée'!G231*100)</f>
        <v>99.351995852773456</v>
      </c>
      <c r="BC231" s="329">
        <f>IF('Degrémont Entrée'!S231="",,('Degrémont Entrée'!S231-M231)/'Degrémont Entrée'!S231*100)</f>
        <v>99.123579545454561</v>
      </c>
      <c r="BD231" s="425">
        <f ca="1">IFERROR(__xludf.DUMMYFUNCTION("""COMPUTED_VALUE"""),55.05)</f>
        <v>55.05</v>
      </c>
      <c r="BE231" s="362"/>
      <c r="BF231" s="363"/>
      <c r="BG231" s="363"/>
      <c r="BH231" s="338">
        <f t="shared" si="17"/>
        <v>0</v>
      </c>
      <c r="BI231" s="364"/>
      <c r="BJ231" s="365"/>
      <c r="BK231" s="366">
        <f>'Degrémont Entrée'!BH231</f>
        <v>0</v>
      </c>
      <c r="BL231" s="367">
        <f>'Degrémont Entrée'!BI231</f>
        <v>0</v>
      </c>
    </row>
    <row r="232" spans="1:64" ht="14.25" outlineLevel="1">
      <c r="A232" s="337">
        <f t="shared" si="18"/>
        <v>43684</v>
      </c>
      <c r="B232" s="338">
        <f>'Degrémont Entrée'!B232</f>
        <v>262</v>
      </c>
      <c r="C232" s="339">
        <v>8.58</v>
      </c>
      <c r="D232" s="340">
        <v>88.6</v>
      </c>
      <c r="E232" s="341">
        <v>98.3</v>
      </c>
      <c r="F232" s="342">
        <v>50</v>
      </c>
      <c r="G232" s="329">
        <f t="shared" si="0"/>
        <v>194.00000000000009</v>
      </c>
      <c r="H232" s="338"/>
      <c r="I232" s="343">
        <v>6128</v>
      </c>
      <c r="J232" s="344">
        <f t="shared" si="2"/>
        <v>1605.5360000000001</v>
      </c>
      <c r="K232" s="343">
        <v>1</v>
      </c>
      <c r="L232" s="345">
        <v>7.53</v>
      </c>
      <c r="M232" s="346">
        <f t="shared" si="3"/>
        <v>7.53</v>
      </c>
      <c r="N232" s="338">
        <f t="shared" si="4"/>
        <v>1.9728600000000001</v>
      </c>
      <c r="O232" s="368"/>
      <c r="P232" s="347">
        <f t="shared" si="19"/>
        <v>0</v>
      </c>
      <c r="Q232" s="348"/>
      <c r="R232" s="369"/>
      <c r="S232" s="349">
        <f t="shared" si="20"/>
        <v>0</v>
      </c>
      <c r="T232" s="348"/>
      <c r="U232" s="369"/>
      <c r="V232" s="349">
        <f t="shared" si="5"/>
        <v>0</v>
      </c>
      <c r="W232" s="348"/>
      <c r="X232" s="318" t="str">
        <f t="shared" si="6"/>
        <v/>
      </c>
      <c r="Y232" s="370" t="e">
        <f t="shared" si="7"/>
        <v>#VALUE!</v>
      </c>
      <c r="Z232" s="346"/>
      <c r="AA232" s="345">
        <v>0.01</v>
      </c>
      <c r="AB232" s="352">
        <f t="shared" si="8"/>
        <v>2.6199999999999999E-3</v>
      </c>
      <c r="AC232" s="353"/>
      <c r="AD232" s="354"/>
      <c r="AE232" s="378" t="str">
        <f t="shared" si="21"/>
        <v/>
      </c>
      <c r="AF232" s="329"/>
      <c r="AG232" s="358"/>
      <c r="AH232" s="356" t="str">
        <f t="shared" si="22"/>
        <v/>
      </c>
      <c r="AI232" s="329"/>
      <c r="AJ232" s="329"/>
      <c r="AK232" s="356">
        <f t="shared" si="11"/>
        <v>0</v>
      </c>
      <c r="AL232" s="357"/>
      <c r="AM232" s="358"/>
      <c r="AN232" s="356">
        <f t="shared" si="12"/>
        <v>0</v>
      </c>
      <c r="AO232" s="329"/>
      <c r="AP232" s="358"/>
      <c r="AQ232" s="359">
        <f t="shared" si="13"/>
        <v>0</v>
      </c>
      <c r="AR232" s="360"/>
      <c r="AS232" s="358"/>
      <c r="AT232" s="356">
        <f t="shared" si="14"/>
        <v>0</v>
      </c>
      <c r="AU232" s="329"/>
      <c r="AV232" s="358"/>
      <c r="AW232" s="359">
        <f t="shared" si="15"/>
        <v>0</v>
      </c>
      <c r="AX232" s="329"/>
      <c r="AY232" s="358"/>
      <c r="AZ232" s="359">
        <f t="shared" si="16"/>
        <v>0</v>
      </c>
      <c r="BA232" s="329">
        <f>IF('Degrémont Entrée'!K232="",,('Degrémont Entrée'!K232-I232)/'Degrémont Entrée'!K232*100)</f>
        <v>93.616666666666674</v>
      </c>
      <c r="BB232" s="329">
        <f>IF('Degrémont Entrée'!G232="",,('Degrémont Entrée'!G232-G232)/'Degrémont Entrée'!G232*100)</f>
        <v>98.928176795580114</v>
      </c>
      <c r="BC232" s="329">
        <f>IF('Degrémont Entrée'!S232="",,('Degrémont Entrée'!S232-M232)/'Degrémont Entrée'!S232*100)</f>
        <v>99.416279069767441</v>
      </c>
      <c r="BD232" s="425">
        <f ca="1">IFERROR(__xludf.DUMMYFUNCTION("""COMPUTED_VALUE"""),52.7)</f>
        <v>52.7</v>
      </c>
      <c r="BE232" s="362"/>
      <c r="BF232" s="363"/>
      <c r="BG232" s="363"/>
      <c r="BH232" s="338">
        <f t="shared" si="17"/>
        <v>0</v>
      </c>
      <c r="BI232" s="364"/>
      <c r="BJ232" s="365"/>
      <c r="BK232" s="371">
        <f>'Degrémont Entrée'!BH232</f>
        <v>0</v>
      </c>
      <c r="BL232" s="372">
        <f>'Degrémont Entrée'!BI232</f>
        <v>0</v>
      </c>
    </row>
    <row r="233" spans="1:64" ht="15.75" customHeight="1" outlineLevel="1">
      <c r="A233" s="337">
        <f t="shared" si="18"/>
        <v>43685</v>
      </c>
      <c r="B233" s="338">
        <f>'Degrémont Entrée'!B233</f>
        <v>677</v>
      </c>
      <c r="C233" s="339">
        <v>9.16</v>
      </c>
      <c r="D233" s="340">
        <v>93.6</v>
      </c>
      <c r="E233" s="341">
        <v>100.5</v>
      </c>
      <c r="F233" s="342">
        <v>40</v>
      </c>
      <c r="G233" s="329">
        <f t="shared" si="0"/>
        <v>172.50000000000014</v>
      </c>
      <c r="H233" s="338"/>
      <c r="I233" s="343">
        <v>4058</v>
      </c>
      <c r="J233" s="344">
        <f t="shared" si="2"/>
        <v>2747.2660000000001</v>
      </c>
      <c r="K233" s="343">
        <v>1</v>
      </c>
      <c r="L233" s="345">
        <v>4.04</v>
      </c>
      <c r="M233" s="346">
        <f t="shared" si="3"/>
        <v>4.04</v>
      </c>
      <c r="N233" s="338">
        <f t="shared" si="4"/>
        <v>2.73508</v>
      </c>
      <c r="O233" s="368"/>
      <c r="P233" s="347">
        <f t="shared" si="19"/>
        <v>0</v>
      </c>
      <c r="Q233" s="348"/>
      <c r="R233" s="369"/>
      <c r="S233" s="349">
        <f t="shared" si="20"/>
        <v>0</v>
      </c>
      <c r="T233" s="348"/>
      <c r="U233" s="369"/>
      <c r="V233" s="349">
        <f t="shared" si="5"/>
        <v>0</v>
      </c>
      <c r="W233" s="348"/>
      <c r="X233" s="318" t="str">
        <f t="shared" si="6"/>
        <v/>
      </c>
      <c r="Y233" s="370" t="e">
        <f t="shared" si="7"/>
        <v>#VALUE!</v>
      </c>
      <c r="Z233" s="343" t="s">
        <v>85</v>
      </c>
      <c r="AA233" s="345">
        <v>0.01</v>
      </c>
      <c r="AB233" s="352">
        <f t="shared" si="8"/>
        <v>3.3850000000000004E-3</v>
      </c>
      <c r="AC233" s="353"/>
      <c r="AD233" s="354"/>
      <c r="AE233" s="378" t="str">
        <f t="shared" si="21"/>
        <v/>
      </c>
      <c r="AF233" s="329"/>
      <c r="AG233" s="358"/>
      <c r="AH233" s="356" t="str">
        <f t="shared" si="22"/>
        <v/>
      </c>
      <c r="AI233" s="329"/>
      <c r="AJ233" s="329"/>
      <c r="AK233" s="356">
        <f t="shared" si="11"/>
        <v>0</v>
      </c>
      <c r="AL233" s="357"/>
      <c r="AM233" s="358"/>
      <c r="AN233" s="356">
        <f t="shared" si="12"/>
        <v>0</v>
      </c>
      <c r="AO233" s="329"/>
      <c r="AP233" s="358"/>
      <c r="AQ233" s="359">
        <f t="shared" si="13"/>
        <v>0</v>
      </c>
      <c r="AR233" s="360"/>
      <c r="AS233" s="358"/>
      <c r="AT233" s="356">
        <f t="shared" si="14"/>
        <v>0</v>
      </c>
      <c r="AU233" s="329"/>
      <c r="AV233" s="358"/>
      <c r="AW233" s="359">
        <f t="shared" si="15"/>
        <v>0</v>
      </c>
      <c r="AX233" s="329"/>
      <c r="AY233" s="358"/>
      <c r="AZ233" s="359">
        <f t="shared" si="16"/>
        <v>0</v>
      </c>
      <c r="BA233" s="329">
        <f>IF('Degrémont Entrée'!K233="",,('Degrémont Entrée'!K233-I233)/'Degrémont Entrée'!K233*100)</f>
        <v>96.947724708537038</v>
      </c>
      <c r="BB233" s="329">
        <f>IF('Degrémont Entrée'!G233="",,('Degrémont Entrée'!G233-G233)/'Degrémont Entrée'!G233*100)</f>
        <v>99.553604436229207</v>
      </c>
      <c r="BC233" s="329">
        <f>IF('Degrémont Entrée'!S233="",,('Degrémont Entrée'!S233-M233)/'Degrémont Entrée'!S233*100)</f>
        <v>99.739354838709687</v>
      </c>
      <c r="BD233" s="425">
        <f ca="1">IFERROR(__xludf.DUMMYFUNCTION("""COMPUTED_VALUE"""),52.6333333333333)</f>
        <v>52.633333333333297</v>
      </c>
      <c r="BE233" s="362"/>
      <c r="BF233" s="363"/>
      <c r="BG233" s="363"/>
      <c r="BH233" s="338">
        <f t="shared" si="17"/>
        <v>0</v>
      </c>
      <c r="BI233" s="364"/>
      <c r="BJ233" s="365"/>
      <c r="BK233" s="366">
        <f>'Degrémont Entrée'!BH233</f>
        <v>0</v>
      </c>
      <c r="BL233" s="367">
        <f>'Degrémont Entrée'!BI233</f>
        <v>0</v>
      </c>
    </row>
    <row r="234" spans="1:64" ht="14.25" outlineLevel="1">
      <c r="A234" s="337">
        <f t="shared" si="18"/>
        <v>43686</v>
      </c>
      <c r="B234" s="338">
        <f>'Degrémont Entrée'!B234</f>
        <v>0</v>
      </c>
      <c r="C234" s="339">
        <v>7.66</v>
      </c>
      <c r="D234" s="340">
        <v>92</v>
      </c>
      <c r="E234" s="341">
        <v>94.3</v>
      </c>
      <c r="F234" s="342">
        <v>50</v>
      </c>
      <c r="G234" s="329">
        <f t="shared" si="0"/>
        <v>45.999999999999943</v>
      </c>
      <c r="H234" s="338"/>
      <c r="I234" s="343">
        <v>782</v>
      </c>
      <c r="J234" s="344">
        <f t="shared" si="2"/>
        <v>0</v>
      </c>
      <c r="K234" s="343">
        <v>1</v>
      </c>
      <c r="L234" s="345">
        <v>1.79</v>
      </c>
      <c r="M234" s="346">
        <f t="shared" si="3"/>
        <v>1.79</v>
      </c>
      <c r="N234" s="338">
        <f t="shared" si="4"/>
        <v>0</v>
      </c>
      <c r="O234" s="368"/>
      <c r="P234" s="347">
        <f t="shared" si="19"/>
        <v>0</v>
      </c>
      <c r="Q234" s="348"/>
      <c r="R234" s="369"/>
      <c r="S234" s="349">
        <f t="shared" si="20"/>
        <v>0</v>
      </c>
      <c r="T234" s="348"/>
      <c r="U234" s="369"/>
      <c r="V234" s="349">
        <f t="shared" si="5"/>
        <v>0</v>
      </c>
      <c r="W234" s="348"/>
      <c r="X234" s="318" t="str">
        <f t="shared" si="6"/>
        <v/>
      </c>
      <c r="Y234" s="370" t="e">
        <f t="shared" si="7"/>
        <v>#VALUE!</v>
      </c>
      <c r="Z234" s="343" t="s">
        <v>85</v>
      </c>
      <c r="AA234" s="345">
        <v>0.01</v>
      </c>
      <c r="AB234" s="352">
        <f t="shared" si="8"/>
        <v>0</v>
      </c>
      <c r="AC234" s="353"/>
      <c r="AD234" s="354"/>
      <c r="AE234" s="378" t="str">
        <f t="shared" si="21"/>
        <v/>
      </c>
      <c r="AF234" s="329"/>
      <c r="AG234" s="358"/>
      <c r="AH234" s="356" t="str">
        <f t="shared" si="22"/>
        <v/>
      </c>
      <c r="AI234" s="329"/>
      <c r="AJ234" s="329"/>
      <c r="AK234" s="356">
        <f t="shared" si="11"/>
        <v>0</v>
      </c>
      <c r="AL234" s="357"/>
      <c r="AM234" s="358"/>
      <c r="AN234" s="356">
        <f t="shared" si="12"/>
        <v>0</v>
      </c>
      <c r="AO234" s="329"/>
      <c r="AP234" s="358"/>
      <c r="AQ234" s="359">
        <f t="shared" si="13"/>
        <v>0</v>
      </c>
      <c r="AR234" s="360"/>
      <c r="AS234" s="358"/>
      <c r="AT234" s="356">
        <f t="shared" si="14"/>
        <v>0</v>
      </c>
      <c r="AU234" s="329"/>
      <c r="AV234" s="358"/>
      <c r="AW234" s="359">
        <f t="shared" si="15"/>
        <v>0</v>
      </c>
      <c r="AX234" s="329"/>
      <c r="AY234" s="358"/>
      <c r="AZ234" s="359">
        <f t="shared" si="16"/>
        <v>0</v>
      </c>
      <c r="BA234" s="329" t="e">
        <f>IF('Degrémont Entrée'!K234="",,('Degrémont Entrée'!K234-I234)/'Degrémont Entrée'!K234*100)</f>
        <v>#DIV/0!</v>
      </c>
      <c r="BB234" s="329" t="e">
        <f>IF('Degrémont Entrée'!G234="",,('Degrémont Entrée'!G234-G234)/'Degrémont Entrée'!G234*100)</f>
        <v>#DIV/0!</v>
      </c>
      <c r="BC234" s="329">
        <f>IF('Degrémont Entrée'!S234="",,('Degrémont Entrée'!S234-M234)/'Degrémont Entrée'!S234*100)</f>
        <v>0</v>
      </c>
      <c r="BD234" s="425">
        <f ca="1">IFERROR(__xludf.DUMMYFUNCTION("""COMPUTED_VALUE"""),53.1333333333333)</f>
        <v>53.133333333333297</v>
      </c>
      <c r="BE234" s="362"/>
      <c r="BF234" s="363"/>
      <c r="BG234" s="363"/>
      <c r="BH234" s="338">
        <f t="shared" si="17"/>
        <v>0</v>
      </c>
      <c r="BI234" s="364"/>
      <c r="BJ234" s="365"/>
      <c r="BK234" s="371">
        <f>'Degrémont Entrée'!BH234</f>
        <v>0</v>
      </c>
      <c r="BL234" s="372">
        <f>'Degrémont Entrée'!BI234</f>
        <v>0</v>
      </c>
    </row>
    <row r="235" spans="1:64" ht="15.75" customHeight="1" outlineLevel="1">
      <c r="A235" s="337">
        <f t="shared" si="18"/>
        <v>43687</v>
      </c>
      <c r="B235" s="338">
        <f>'Degrémont Entrée'!B235</f>
        <v>0</v>
      </c>
      <c r="C235" s="338"/>
      <c r="D235" s="388"/>
      <c r="E235" s="368"/>
      <c r="F235" s="357"/>
      <c r="G235" s="329">
        <f t="shared" si="0"/>
        <v>0</v>
      </c>
      <c r="H235" s="338"/>
      <c r="I235" s="346"/>
      <c r="J235" s="344">
        <f t="shared" si="2"/>
        <v>0</v>
      </c>
      <c r="K235" s="343">
        <v>1</v>
      </c>
      <c r="L235" s="329"/>
      <c r="M235" s="346" t="str">
        <f t="shared" si="3"/>
        <v/>
      </c>
      <c r="N235" s="338" t="e">
        <f t="shared" si="4"/>
        <v>#VALUE!</v>
      </c>
      <c r="O235" s="368"/>
      <c r="P235" s="347">
        <f t="shared" si="19"/>
        <v>0</v>
      </c>
      <c r="Q235" s="348"/>
      <c r="R235" s="369"/>
      <c r="S235" s="349">
        <f t="shared" si="20"/>
        <v>0</v>
      </c>
      <c r="T235" s="348"/>
      <c r="U235" s="369"/>
      <c r="V235" s="349">
        <f t="shared" si="5"/>
        <v>0</v>
      </c>
      <c r="W235" s="348"/>
      <c r="X235" s="318" t="str">
        <f t="shared" si="6"/>
        <v/>
      </c>
      <c r="Y235" s="370" t="e">
        <f t="shared" si="7"/>
        <v>#VALUE!</v>
      </c>
      <c r="Z235" s="346"/>
      <c r="AA235" s="329"/>
      <c r="AB235" s="352">
        <f t="shared" si="8"/>
        <v>0</v>
      </c>
      <c r="AC235" s="353"/>
      <c r="AD235" s="354"/>
      <c r="AE235" s="378" t="str">
        <f t="shared" si="21"/>
        <v/>
      </c>
      <c r="AF235" s="329"/>
      <c r="AG235" s="358"/>
      <c r="AH235" s="356" t="str">
        <f t="shared" si="22"/>
        <v/>
      </c>
      <c r="AI235" s="329"/>
      <c r="AJ235" s="329"/>
      <c r="AK235" s="356">
        <f t="shared" si="11"/>
        <v>0</v>
      </c>
      <c r="AL235" s="357"/>
      <c r="AM235" s="358"/>
      <c r="AN235" s="356">
        <f t="shared" si="12"/>
        <v>0</v>
      </c>
      <c r="AO235" s="329"/>
      <c r="AP235" s="358"/>
      <c r="AQ235" s="359">
        <f t="shared" si="13"/>
        <v>0</v>
      </c>
      <c r="AR235" s="360"/>
      <c r="AS235" s="358"/>
      <c r="AT235" s="356">
        <f t="shared" si="14"/>
        <v>0</v>
      </c>
      <c r="AU235" s="329"/>
      <c r="AV235" s="358"/>
      <c r="AW235" s="359">
        <f t="shared" si="15"/>
        <v>0</v>
      </c>
      <c r="AX235" s="329"/>
      <c r="AY235" s="358"/>
      <c r="AZ235" s="359">
        <f t="shared" si="16"/>
        <v>0</v>
      </c>
      <c r="BA235" s="329" t="e">
        <f>IF('Degrémont Entrée'!K235="",,('Degrémont Entrée'!K235-I235)/'Degrémont Entrée'!K235*100)</f>
        <v>#DIV/0!</v>
      </c>
      <c r="BB235" s="329" t="e">
        <f>IF('Degrémont Entrée'!G235="",,('Degrémont Entrée'!G235-G235)/'Degrémont Entrée'!G235*100)</f>
        <v>#DIV/0!</v>
      </c>
      <c r="BC235" s="329">
        <f>IF('Degrémont Entrée'!S235="",,('Degrémont Entrée'!S235-M235)/'Degrémont Entrée'!S235*100)</f>
        <v>0</v>
      </c>
      <c r="BD235" s="425" t="str">
        <f ca="1">IFERROR(__xludf.DUMMYFUNCTION("""COMPUTED_VALUE"""),"#DIV/0!")</f>
        <v>#DIV/0!</v>
      </c>
      <c r="BE235" s="362"/>
      <c r="BF235" s="363"/>
      <c r="BG235" s="363"/>
      <c r="BH235" s="338">
        <f t="shared" si="17"/>
        <v>0</v>
      </c>
      <c r="BI235" s="364"/>
      <c r="BJ235" s="365"/>
      <c r="BK235" s="366">
        <f>'Degrémont Entrée'!BH235</f>
        <v>0</v>
      </c>
      <c r="BL235" s="367">
        <f>'Degrémont Entrée'!BI235</f>
        <v>0</v>
      </c>
    </row>
    <row r="236" spans="1:64" ht="14.25" outlineLevel="1">
      <c r="A236" s="337">
        <f t="shared" si="18"/>
        <v>43688</v>
      </c>
      <c r="B236" s="338">
        <f>'Degrémont Entrée'!B236</f>
        <v>0</v>
      </c>
      <c r="C236" s="338"/>
      <c r="D236" s="388"/>
      <c r="E236" s="368"/>
      <c r="F236" s="357"/>
      <c r="G236" s="329">
        <f t="shared" si="0"/>
        <v>0</v>
      </c>
      <c r="H236" s="338"/>
      <c r="I236" s="346"/>
      <c r="J236" s="344">
        <f t="shared" si="2"/>
        <v>0</v>
      </c>
      <c r="K236" s="343">
        <v>1</v>
      </c>
      <c r="L236" s="329"/>
      <c r="M236" s="346" t="str">
        <f t="shared" si="3"/>
        <v/>
      </c>
      <c r="N236" s="338" t="e">
        <f t="shared" si="4"/>
        <v>#VALUE!</v>
      </c>
      <c r="O236" s="368"/>
      <c r="P236" s="347">
        <f t="shared" si="19"/>
        <v>0</v>
      </c>
      <c r="Q236" s="348"/>
      <c r="R236" s="369"/>
      <c r="S236" s="349">
        <f t="shared" si="20"/>
        <v>0</v>
      </c>
      <c r="T236" s="348"/>
      <c r="U236" s="369"/>
      <c r="V236" s="349">
        <f t="shared" si="5"/>
        <v>0</v>
      </c>
      <c r="W236" s="348"/>
      <c r="X236" s="318" t="str">
        <f t="shared" si="6"/>
        <v/>
      </c>
      <c r="Y236" s="370" t="e">
        <f t="shared" si="7"/>
        <v>#VALUE!</v>
      </c>
      <c r="Z236" s="346"/>
      <c r="AA236" s="329"/>
      <c r="AB236" s="352">
        <f t="shared" si="8"/>
        <v>0</v>
      </c>
      <c r="AC236" s="353"/>
      <c r="AD236" s="354"/>
      <c r="AE236" s="378" t="str">
        <f t="shared" si="21"/>
        <v/>
      </c>
      <c r="AF236" s="329"/>
      <c r="AG236" s="358"/>
      <c r="AH236" s="356" t="str">
        <f t="shared" si="22"/>
        <v/>
      </c>
      <c r="AI236" s="329"/>
      <c r="AJ236" s="329"/>
      <c r="AK236" s="356">
        <f t="shared" si="11"/>
        <v>0</v>
      </c>
      <c r="AL236" s="357"/>
      <c r="AM236" s="358"/>
      <c r="AN236" s="356">
        <f t="shared" si="12"/>
        <v>0</v>
      </c>
      <c r="AO236" s="329"/>
      <c r="AP236" s="358"/>
      <c r="AQ236" s="359">
        <f t="shared" si="13"/>
        <v>0</v>
      </c>
      <c r="AR236" s="360"/>
      <c r="AS236" s="358"/>
      <c r="AT236" s="356">
        <f t="shared" si="14"/>
        <v>0</v>
      </c>
      <c r="AU236" s="329"/>
      <c r="AV236" s="358"/>
      <c r="AW236" s="359">
        <f t="shared" si="15"/>
        <v>0</v>
      </c>
      <c r="AX236" s="329"/>
      <c r="AY236" s="358"/>
      <c r="AZ236" s="359">
        <f t="shared" si="16"/>
        <v>0</v>
      </c>
      <c r="BA236" s="329" t="e">
        <f>IF('Degrémont Entrée'!K236="",,('Degrémont Entrée'!K236-I236)/'Degrémont Entrée'!K236*100)</f>
        <v>#DIV/0!</v>
      </c>
      <c r="BB236" s="329" t="e">
        <f>IF('Degrémont Entrée'!G236="",,('Degrémont Entrée'!G236-G236)/'Degrémont Entrée'!G236*100)</f>
        <v>#DIV/0!</v>
      </c>
      <c r="BC236" s="329">
        <f>IF('Degrémont Entrée'!S236="",,('Degrémont Entrée'!S236-M236)/'Degrémont Entrée'!S236*100)</f>
        <v>0</v>
      </c>
      <c r="BD236" s="425" t="str">
        <f ca="1">IFERROR(__xludf.DUMMYFUNCTION("""COMPUTED_VALUE"""),"#DIV/0!")</f>
        <v>#DIV/0!</v>
      </c>
      <c r="BE236" s="362"/>
      <c r="BF236" s="363"/>
      <c r="BG236" s="363"/>
      <c r="BH236" s="338">
        <f t="shared" si="17"/>
        <v>0</v>
      </c>
      <c r="BI236" s="364"/>
      <c r="BJ236" s="365"/>
      <c r="BK236" s="371">
        <f>'Degrémont Entrée'!BH236</f>
        <v>0</v>
      </c>
      <c r="BL236" s="372">
        <f>'Degrémont Entrée'!BI236</f>
        <v>0</v>
      </c>
    </row>
    <row r="237" spans="1:64" ht="15.75" customHeight="1" outlineLevel="1">
      <c r="A237" s="337">
        <f t="shared" si="18"/>
        <v>43689</v>
      </c>
      <c r="B237" s="338">
        <f>'Degrémont Entrée'!B237</f>
        <v>33</v>
      </c>
      <c r="C237" s="338"/>
      <c r="D237" s="388"/>
      <c r="E237" s="368"/>
      <c r="F237" s="357"/>
      <c r="G237" s="329">
        <f t="shared" si="0"/>
        <v>0</v>
      </c>
      <c r="H237" s="338"/>
      <c r="I237" s="346"/>
      <c r="J237" s="344">
        <f t="shared" si="2"/>
        <v>0</v>
      </c>
      <c r="K237" s="343">
        <v>1</v>
      </c>
      <c r="L237" s="329"/>
      <c r="M237" s="346" t="str">
        <f t="shared" si="3"/>
        <v/>
      </c>
      <c r="N237" s="338" t="e">
        <f t="shared" si="4"/>
        <v>#VALUE!</v>
      </c>
      <c r="O237" s="368"/>
      <c r="P237" s="347">
        <f t="shared" si="19"/>
        <v>0</v>
      </c>
      <c r="Q237" s="348"/>
      <c r="R237" s="369"/>
      <c r="S237" s="349">
        <f t="shared" si="20"/>
        <v>0</v>
      </c>
      <c r="T237" s="348"/>
      <c r="U237" s="369"/>
      <c r="V237" s="349">
        <f t="shared" si="5"/>
        <v>0</v>
      </c>
      <c r="W237" s="348"/>
      <c r="X237" s="318" t="str">
        <f t="shared" si="6"/>
        <v/>
      </c>
      <c r="Y237" s="370" t="e">
        <f t="shared" si="7"/>
        <v>#VALUE!</v>
      </c>
      <c r="Z237" s="346"/>
      <c r="AA237" s="329"/>
      <c r="AB237" s="352">
        <f t="shared" si="8"/>
        <v>0</v>
      </c>
      <c r="AC237" s="353"/>
      <c r="AD237" s="354"/>
      <c r="AE237" s="378" t="str">
        <f t="shared" si="21"/>
        <v/>
      </c>
      <c r="AF237" s="329"/>
      <c r="AG237" s="358"/>
      <c r="AH237" s="356" t="str">
        <f t="shared" si="22"/>
        <v/>
      </c>
      <c r="AI237" s="329"/>
      <c r="AJ237" s="329"/>
      <c r="AK237" s="356">
        <f t="shared" si="11"/>
        <v>0</v>
      </c>
      <c r="AL237" s="357"/>
      <c r="AM237" s="358"/>
      <c r="AN237" s="356">
        <f t="shared" si="12"/>
        <v>0</v>
      </c>
      <c r="AO237" s="329"/>
      <c r="AP237" s="358"/>
      <c r="AQ237" s="359">
        <f t="shared" si="13"/>
        <v>0</v>
      </c>
      <c r="AR237" s="360"/>
      <c r="AS237" s="358"/>
      <c r="AT237" s="356">
        <f t="shared" si="14"/>
        <v>0</v>
      </c>
      <c r="AU237" s="329"/>
      <c r="AV237" s="358"/>
      <c r="AW237" s="359">
        <f t="shared" si="15"/>
        <v>0</v>
      </c>
      <c r="AX237" s="329"/>
      <c r="AY237" s="358"/>
      <c r="AZ237" s="359">
        <f t="shared" si="16"/>
        <v>0</v>
      </c>
      <c r="BA237" s="329" t="e">
        <f>IF('Degrémont Entrée'!K237="",,('Degrémont Entrée'!K237-I237)/'Degrémont Entrée'!K237*100)</f>
        <v>#DIV/0!</v>
      </c>
      <c r="BB237" s="329" t="e">
        <f>IF('Degrémont Entrée'!G237="",,('Degrémont Entrée'!G237-G237)/'Degrémont Entrée'!G237*100)</f>
        <v>#DIV/0!</v>
      </c>
      <c r="BC237" s="329">
        <f>IF('Degrémont Entrée'!S237="",,('Degrémont Entrée'!S237-M237)/'Degrémont Entrée'!S237*100)</f>
        <v>0</v>
      </c>
      <c r="BD237" s="425" t="str">
        <f ca="1">IFERROR(__xludf.DUMMYFUNCTION("""COMPUTED_VALUE"""),"#DIV/0!")</f>
        <v>#DIV/0!</v>
      </c>
      <c r="BE237" s="362"/>
      <c r="BF237" s="363"/>
      <c r="BG237" s="363"/>
      <c r="BH237" s="338">
        <f t="shared" si="17"/>
        <v>0</v>
      </c>
      <c r="BI237" s="364"/>
      <c r="BJ237" s="365"/>
      <c r="BK237" s="366">
        <f>'Degrémont Entrée'!BH237</f>
        <v>0</v>
      </c>
      <c r="BL237" s="367">
        <f>'Degrémont Entrée'!BI237</f>
        <v>0</v>
      </c>
    </row>
    <row r="238" spans="1:64" ht="14.25" outlineLevel="1">
      <c r="A238" s="337">
        <f t="shared" si="18"/>
        <v>43690</v>
      </c>
      <c r="B238" s="338">
        <f>'Degrémont Entrée'!B238</f>
        <v>21</v>
      </c>
      <c r="C238" s="338"/>
      <c r="D238" s="388"/>
      <c r="E238" s="368"/>
      <c r="F238" s="357"/>
      <c r="G238" s="329">
        <f t="shared" si="0"/>
        <v>0</v>
      </c>
      <c r="H238" s="338"/>
      <c r="I238" s="346"/>
      <c r="J238" s="344">
        <f t="shared" si="2"/>
        <v>0</v>
      </c>
      <c r="K238" s="343">
        <v>1</v>
      </c>
      <c r="L238" s="329"/>
      <c r="M238" s="346" t="str">
        <f t="shared" si="3"/>
        <v/>
      </c>
      <c r="N238" s="338" t="e">
        <f t="shared" si="4"/>
        <v>#VALUE!</v>
      </c>
      <c r="O238" s="341">
        <v>170</v>
      </c>
      <c r="P238" s="347">
        <f t="shared" si="19"/>
        <v>3.57</v>
      </c>
      <c r="Q238" s="348"/>
      <c r="R238" s="369"/>
      <c r="S238" s="349">
        <f t="shared" si="20"/>
        <v>0</v>
      </c>
      <c r="T238" s="348"/>
      <c r="U238" s="369"/>
      <c r="V238" s="349">
        <f t="shared" si="5"/>
        <v>0</v>
      </c>
      <c r="W238" s="348"/>
      <c r="X238" s="318">
        <f t="shared" si="6"/>
        <v>170</v>
      </c>
      <c r="Y238" s="370">
        <f t="shared" si="7"/>
        <v>3.57</v>
      </c>
      <c r="Z238" s="346"/>
      <c r="AA238" s="329"/>
      <c r="AB238" s="352">
        <f t="shared" si="8"/>
        <v>0</v>
      </c>
      <c r="AC238" s="353"/>
      <c r="AD238" s="354"/>
      <c r="AE238" s="378" t="str">
        <f t="shared" si="21"/>
        <v/>
      </c>
      <c r="AF238" s="329"/>
      <c r="AG238" s="355">
        <v>0.26</v>
      </c>
      <c r="AH238" s="356">
        <f t="shared" si="22"/>
        <v>0.25818000000000002</v>
      </c>
      <c r="AI238" s="329"/>
      <c r="AJ238" s="345">
        <v>1.18</v>
      </c>
      <c r="AK238" s="356">
        <f t="shared" si="11"/>
        <v>2.4779999999999996E-2</v>
      </c>
      <c r="AL238" s="357"/>
      <c r="AM238" s="355">
        <v>0.13</v>
      </c>
      <c r="AN238" s="356">
        <f t="shared" si="12"/>
        <v>2.7299999999999998E-3</v>
      </c>
      <c r="AO238" s="329"/>
      <c r="AP238" s="355">
        <v>0.12</v>
      </c>
      <c r="AQ238" s="359">
        <f t="shared" si="13"/>
        <v>2.5200000000000001E-3</v>
      </c>
      <c r="AR238" s="360"/>
      <c r="AS238" s="355">
        <v>1.74</v>
      </c>
      <c r="AT238" s="356">
        <f t="shared" si="14"/>
        <v>3.6539999999999996E-2</v>
      </c>
      <c r="AU238" s="329"/>
      <c r="AV238" s="355">
        <v>0.7</v>
      </c>
      <c r="AW238" s="359">
        <f t="shared" si="15"/>
        <v>1.47E-2</v>
      </c>
      <c r="AX238" s="345" t="s">
        <v>85</v>
      </c>
      <c r="AY238" s="355">
        <v>0.13</v>
      </c>
      <c r="AZ238" s="359">
        <f t="shared" si="16"/>
        <v>1.3649999999999999E-3</v>
      </c>
      <c r="BA238" s="329" t="e">
        <f>IF('Degrémont Entrée'!K238="",,('Degrémont Entrée'!K238-I238)/'Degrémont Entrée'!K238*100)</f>
        <v>#DIV/0!</v>
      </c>
      <c r="BB238" s="329" t="e">
        <f>IF('Degrémont Entrée'!G238="",,('Degrémont Entrée'!G238-G238)/'Degrémont Entrée'!G238*100)</f>
        <v>#DIV/0!</v>
      </c>
      <c r="BC238" s="329">
        <f>IF('Degrémont Entrée'!S238="",,('Degrémont Entrée'!S238-M238)/'Degrémont Entrée'!S238*100)</f>
        <v>0</v>
      </c>
      <c r="BD238" s="425" t="str">
        <f ca="1">IFERROR(__xludf.DUMMYFUNCTION("""COMPUTED_VALUE"""),"#DIV/0!")</f>
        <v>#DIV/0!</v>
      </c>
      <c r="BE238" s="362"/>
      <c r="BF238" s="363"/>
      <c r="BG238" s="363"/>
      <c r="BH238" s="338">
        <f t="shared" si="17"/>
        <v>0</v>
      </c>
      <c r="BI238" s="364"/>
      <c r="BJ238" s="365"/>
      <c r="BK238" s="371">
        <f>'Degrémont Entrée'!BH238</f>
        <v>0</v>
      </c>
      <c r="BL238" s="372">
        <f>'Degrémont Entrée'!BI238</f>
        <v>0</v>
      </c>
    </row>
    <row r="239" spans="1:64" ht="15.75" customHeight="1" outlineLevel="1">
      <c r="A239" s="337">
        <f t="shared" si="18"/>
        <v>43691</v>
      </c>
      <c r="B239" s="338">
        <f>'Degrémont Entrée'!B239</f>
        <v>0</v>
      </c>
      <c r="C239" s="338"/>
      <c r="D239" s="388"/>
      <c r="E239" s="368"/>
      <c r="F239" s="357"/>
      <c r="G239" s="329">
        <f t="shared" si="0"/>
        <v>0</v>
      </c>
      <c r="H239" s="338"/>
      <c r="I239" s="346"/>
      <c r="J239" s="344">
        <f t="shared" si="2"/>
        <v>0</v>
      </c>
      <c r="K239" s="343">
        <v>1</v>
      </c>
      <c r="L239" s="329"/>
      <c r="M239" s="346" t="str">
        <f t="shared" si="3"/>
        <v/>
      </c>
      <c r="N239" s="338" t="e">
        <f t="shared" si="4"/>
        <v>#VALUE!</v>
      </c>
      <c r="O239" s="368"/>
      <c r="P239" s="347">
        <f t="shared" si="19"/>
        <v>0</v>
      </c>
      <c r="Q239" s="348"/>
      <c r="R239" s="369"/>
      <c r="S239" s="349">
        <f t="shared" si="20"/>
        <v>0</v>
      </c>
      <c r="T239" s="348"/>
      <c r="U239" s="369"/>
      <c r="V239" s="349">
        <f t="shared" si="5"/>
        <v>0</v>
      </c>
      <c r="W239" s="348"/>
      <c r="X239" s="318" t="str">
        <f t="shared" si="6"/>
        <v/>
      </c>
      <c r="Y239" s="370" t="e">
        <f t="shared" si="7"/>
        <v>#VALUE!</v>
      </c>
      <c r="Z239" s="346"/>
      <c r="AA239" s="329"/>
      <c r="AB239" s="352">
        <f t="shared" si="8"/>
        <v>0</v>
      </c>
      <c r="AC239" s="353"/>
      <c r="AD239" s="354"/>
      <c r="AE239" s="378" t="str">
        <f t="shared" si="21"/>
        <v/>
      </c>
      <c r="AF239" s="329"/>
      <c r="AG239" s="358"/>
      <c r="AH239" s="356" t="str">
        <f t="shared" si="22"/>
        <v/>
      </c>
      <c r="AI239" s="329"/>
      <c r="AJ239" s="329"/>
      <c r="AK239" s="356">
        <f t="shared" si="11"/>
        <v>0</v>
      </c>
      <c r="AL239" s="357"/>
      <c r="AM239" s="358"/>
      <c r="AN239" s="356">
        <f t="shared" si="12"/>
        <v>0</v>
      </c>
      <c r="AO239" s="329"/>
      <c r="AP239" s="358"/>
      <c r="AQ239" s="359">
        <f t="shared" si="13"/>
        <v>0</v>
      </c>
      <c r="AR239" s="360"/>
      <c r="AS239" s="358"/>
      <c r="AT239" s="356">
        <f t="shared" si="14"/>
        <v>0</v>
      </c>
      <c r="AU239" s="329"/>
      <c r="AV239" s="358"/>
      <c r="AW239" s="359">
        <f t="shared" si="15"/>
        <v>0</v>
      </c>
      <c r="AX239" s="329"/>
      <c r="AY239" s="358"/>
      <c r="AZ239" s="359">
        <f t="shared" si="16"/>
        <v>0</v>
      </c>
      <c r="BA239" s="329" t="e">
        <f>IF('Degrémont Entrée'!K239="",,('Degrémont Entrée'!K239-I239)/'Degrémont Entrée'!K239*100)</f>
        <v>#DIV/0!</v>
      </c>
      <c r="BB239" s="329" t="e">
        <f>IF('Degrémont Entrée'!G239="",,('Degrémont Entrée'!G239-G239)/'Degrémont Entrée'!G239*100)</f>
        <v>#DIV/0!</v>
      </c>
      <c r="BC239" s="329">
        <f>IF('Degrémont Entrée'!S239="",,('Degrémont Entrée'!S239-M239)/'Degrémont Entrée'!S239*100)</f>
        <v>0</v>
      </c>
      <c r="BD239" s="425">
        <f ca="1">IFERROR(__xludf.DUMMYFUNCTION("""COMPUTED_VALUE"""),52)</f>
        <v>52</v>
      </c>
      <c r="BE239" s="362"/>
      <c r="BF239" s="363"/>
      <c r="BG239" s="363"/>
      <c r="BH239" s="338">
        <f t="shared" si="17"/>
        <v>0</v>
      </c>
      <c r="BI239" s="364"/>
      <c r="BJ239" s="365"/>
      <c r="BK239" s="366">
        <f>'Degrémont Entrée'!BH239</f>
        <v>0</v>
      </c>
      <c r="BL239" s="367">
        <f>'Degrémont Entrée'!BI239</f>
        <v>0</v>
      </c>
    </row>
    <row r="240" spans="1:64" ht="14.25" outlineLevel="1">
      <c r="A240" s="337">
        <f t="shared" si="18"/>
        <v>43692</v>
      </c>
      <c r="B240" s="338">
        <f>'Degrémont Entrée'!B240</f>
        <v>0</v>
      </c>
      <c r="C240" s="338"/>
      <c r="D240" s="388"/>
      <c r="E240" s="368"/>
      <c r="F240" s="357"/>
      <c r="G240" s="329">
        <f t="shared" si="0"/>
        <v>0</v>
      </c>
      <c r="H240" s="338"/>
      <c r="I240" s="346"/>
      <c r="J240" s="344">
        <f t="shared" si="2"/>
        <v>0</v>
      </c>
      <c r="K240" s="343">
        <v>1</v>
      </c>
      <c r="L240" s="329"/>
      <c r="M240" s="346" t="str">
        <f t="shared" si="3"/>
        <v/>
      </c>
      <c r="N240" s="338" t="e">
        <f t="shared" si="4"/>
        <v>#VALUE!</v>
      </c>
      <c r="O240" s="368"/>
      <c r="P240" s="347">
        <f t="shared" si="19"/>
        <v>0</v>
      </c>
      <c r="Q240" s="348"/>
      <c r="R240" s="369"/>
      <c r="S240" s="349">
        <f t="shared" si="20"/>
        <v>0</v>
      </c>
      <c r="T240" s="348"/>
      <c r="U240" s="369"/>
      <c r="V240" s="349">
        <f t="shared" si="5"/>
        <v>0</v>
      </c>
      <c r="W240" s="348"/>
      <c r="X240" s="318" t="str">
        <f t="shared" si="6"/>
        <v/>
      </c>
      <c r="Y240" s="370" t="e">
        <f t="shared" si="7"/>
        <v>#VALUE!</v>
      </c>
      <c r="Z240" s="346"/>
      <c r="AA240" s="329"/>
      <c r="AB240" s="352">
        <f t="shared" si="8"/>
        <v>0</v>
      </c>
      <c r="AC240" s="353"/>
      <c r="AD240" s="354"/>
      <c r="AE240" s="378" t="str">
        <f t="shared" si="21"/>
        <v/>
      </c>
      <c r="AF240" s="329"/>
      <c r="AG240" s="358"/>
      <c r="AH240" s="356" t="str">
        <f t="shared" si="22"/>
        <v/>
      </c>
      <c r="AI240" s="329"/>
      <c r="AJ240" s="329"/>
      <c r="AK240" s="356">
        <f t="shared" si="11"/>
        <v>0</v>
      </c>
      <c r="AL240" s="357"/>
      <c r="AM240" s="358"/>
      <c r="AN240" s="356">
        <f t="shared" si="12"/>
        <v>0</v>
      </c>
      <c r="AO240" s="329"/>
      <c r="AP240" s="358"/>
      <c r="AQ240" s="359">
        <f t="shared" si="13"/>
        <v>0</v>
      </c>
      <c r="AR240" s="360"/>
      <c r="AS240" s="358"/>
      <c r="AT240" s="356">
        <f t="shared" si="14"/>
        <v>0</v>
      </c>
      <c r="AU240" s="329"/>
      <c r="AV240" s="358"/>
      <c r="AW240" s="359">
        <f t="shared" si="15"/>
        <v>0</v>
      </c>
      <c r="AX240" s="329"/>
      <c r="AY240" s="358"/>
      <c r="AZ240" s="359">
        <f t="shared" si="16"/>
        <v>0</v>
      </c>
      <c r="BA240" s="329" t="e">
        <f>IF('Degrémont Entrée'!K240="",,('Degrémont Entrée'!K240-I240)/'Degrémont Entrée'!K240*100)</f>
        <v>#DIV/0!</v>
      </c>
      <c r="BB240" s="329" t="e">
        <f>IF('Degrémont Entrée'!G240="",,('Degrémont Entrée'!G240-G240)/'Degrémont Entrée'!G240*100)</f>
        <v>#DIV/0!</v>
      </c>
      <c r="BC240" s="329">
        <f>IF('Degrémont Entrée'!S240="",,('Degrémont Entrée'!S240-M240)/'Degrémont Entrée'!S240*100)</f>
        <v>0</v>
      </c>
      <c r="BD240" s="425" t="str">
        <f ca="1">IFERROR(__xludf.DUMMYFUNCTION("""COMPUTED_VALUE"""),"#DIV/0!")</f>
        <v>#DIV/0!</v>
      </c>
      <c r="BE240" s="362"/>
      <c r="BF240" s="363"/>
      <c r="BG240" s="363"/>
      <c r="BH240" s="338">
        <f t="shared" si="17"/>
        <v>0</v>
      </c>
      <c r="BI240" s="364"/>
      <c r="BJ240" s="365"/>
      <c r="BK240" s="371">
        <f>'Degrémont Entrée'!BH240</f>
        <v>0</v>
      </c>
      <c r="BL240" s="372">
        <f>'Degrémont Entrée'!BI240</f>
        <v>0</v>
      </c>
    </row>
    <row r="241" spans="1:64" ht="15.75" customHeight="1" outlineLevel="1">
      <c r="A241" s="337">
        <f t="shared" si="18"/>
        <v>43693</v>
      </c>
      <c r="B241" s="338">
        <f>'Degrémont Entrée'!B241</f>
        <v>98</v>
      </c>
      <c r="C241" s="339">
        <v>9</v>
      </c>
      <c r="D241" s="340">
        <v>95.6</v>
      </c>
      <c r="E241" s="341">
        <v>98.7</v>
      </c>
      <c r="F241" s="342">
        <v>100</v>
      </c>
      <c r="G241" s="329">
        <f t="shared" si="0"/>
        <v>31.000000000000085</v>
      </c>
      <c r="H241" s="338"/>
      <c r="I241" s="343">
        <v>1322</v>
      </c>
      <c r="J241" s="344">
        <f t="shared" si="2"/>
        <v>129.55600000000001</v>
      </c>
      <c r="K241" s="343">
        <v>1</v>
      </c>
      <c r="L241" s="345">
        <v>1.67</v>
      </c>
      <c r="M241" s="346">
        <f t="shared" si="3"/>
        <v>1.67</v>
      </c>
      <c r="N241" s="338">
        <f t="shared" si="4"/>
        <v>0.16366</v>
      </c>
      <c r="O241" s="368"/>
      <c r="P241" s="347">
        <f t="shared" si="19"/>
        <v>0</v>
      </c>
      <c r="Q241" s="348"/>
      <c r="R241" s="369"/>
      <c r="S241" s="349">
        <f t="shared" si="20"/>
        <v>0</v>
      </c>
      <c r="T241" s="348"/>
      <c r="U241" s="369"/>
      <c r="V241" s="349">
        <f t="shared" si="5"/>
        <v>0</v>
      </c>
      <c r="W241" s="348"/>
      <c r="X241" s="318" t="str">
        <f t="shared" si="6"/>
        <v/>
      </c>
      <c r="Y241" s="370" t="e">
        <f t="shared" si="7"/>
        <v>#VALUE!</v>
      </c>
      <c r="Z241" s="346"/>
      <c r="AA241" s="329"/>
      <c r="AB241" s="352">
        <f t="shared" si="8"/>
        <v>0</v>
      </c>
      <c r="AC241" s="353"/>
      <c r="AD241" s="354"/>
      <c r="AE241" s="378" t="str">
        <f t="shared" si="21"/>
        <v/>
      </c>
      <c r="AF241" s="329"/>
      <c r="AG241" s="358"/>
      <c r="AH241" s="356" t="str">
        <f t="shared" si="22"/>
        <v/>
      </c>
      <c r="AI241" s="329"/>
      <c r="AJ241" s="329"/>
      <c r="AK241" s="356">
        <f t="shared" si="11"/>
        <v>0</v>
      </c>
      <c r="AL241" s="357"/>
      <c r="AM241" s="358"/>
      <c r="AN241" s="356">
        <f t="shared" si="12"/>
        <v>0</v>
      </c>
      <c r="AO241" s="329"/>
      <c r="AP241" s="358"/>
      <c r="AQ241" s="359">
        <f t="shared" si="13"/>
        <v>0</v>
      </c>
      <c r="AR241" s="360"/>
      <c r="AS241" s="358"/>
      <c r="AT241" s="356">
        <f t="shared" si="14"/>
        <v>0</v>
      </c>
      <c r="AU241" s="329"/>
      <c r="AV241" s="358"/>
      <c r="AW241" s="359">
        <f t="shared" si="15"/>
        <v>0</v>
      </c>
      <c r="AX241" s="329"/>
      <c r="AY241" s="358"/>
      <c r="AZ241" s="359">
        <f t="shared" si="16"/>
        <v>0</v>
      </c>
      <c r="BA241" s="329">
        <f>IF('Degrémont Entrée'!K241="",,('Degrémont Entrée'!K241-I241)/'Degrémont Entrée'!K241*100)</f>
        <v>94.942616679418506</v>
      </c>
      <c r="BB241" s="329">
        <f>IF('Degrémont Entrée'!G241="",,('Degrémont Entrée'!G241-G241)/'Degrémont Entrée'!G241*100)</f>
        <v>99.639534883720927</v>
      </c>
      <c r="BC241" s="329">
        <f>IF('Degrémont Entrée'!S241="",,('Degrémont Entrée'!S241-M241)/'Degrémont Entrée'!S241*100)</f>
        <v>99.773097826086968</v>
      </c>
      <c r="BD241" s="425">
        <f ca="1">IFERROR(__xludf.DUMMYFUNCTION("""COMPUTED_VALUE"""),52.2)</f>
        <v>52.2</v>
      </c>
      <c r="BE241" s="386">
        <v>22.431000000000001</v>
      </c>
      <c r="BF241" s="387">
        <v>27.950399999999998</v>
      </c>
      <c r="BG241" s="387">
        <v>25.6296</v>
      </c>
      <c r="BH241" s="338">
        <f t="shared" si="17"/>
        <v>57.951951299054251</v>
      </c>
      <c r="BI241" s="364"/>
      <c r="BJ241" s="365"/>
      <c r="BK241" s="366">
        <f>'Degrémont Entrée'!BH241</f>
        <v>0</v>
      </c>
      <c r="BL241" s="367">
        <f>'Degrémont Entrée'!BI241</f>
        <v>0</v>
      </c>
    </row>
    <row r="242" spans="1:64" ht="14.25" outlineLevel="1">
      <c r="A242" s="337">
        <f t="shared" si="18"/>
        <v>43694</v>
      </c>
      <c r="B242" s="338">
        <f>'Degrémont Entrée'!B242</f>
        <v>852</v>
      </c>
      <c r="C242" s="338"/>
      <c r="D242" s="388"/>
      <c r="E242" s="368"/>
      <c r="F242" s="357"/>
      <c r="G242" s="329">
        <f t="shared" si="0"/>
        <v>0</v>
      </c>
      <c r="H242" s="338"/>
      <c r="I242" s="346"/>
      <c r="J242" s="344">
        <f t="shared" si="2"/>
        <v>0</v>
      </c>
      <c r="K242" s="343">
        <v>1</v>
      </c>
      <c r="L242" s="329"/>
      <c r="M242" s="346" t="str">
        <f t="shared" si="3"/>
        <v/>
      </c>
      <c r="N242" s="338" t="e">
        <f t="shared" si="4"/>
        <v>#VALUE!</v>
      </c>
      <c r="O242" s="368"/>
      <c r="P242" s="347">
        <f t="shared" si="19"/>
        <v>0</v>
      </c>
      <c r="Q242" s="348"/>
      <c r="R242" s="369"/>
      <c r="S242" s="349">
        <f t="shared" si="20"/>
        <v>0</v>
      </c>
      <c r="T242" s="348"/>
      <c r="U242" s="369"/>
      <c r="V242" s="349">
        <f t="shared" si="5"/>
        <v>0</v>
      </c>
      <c r="W242" s="348"/>
      <c r="X242" s="318" t="str">
        <f t="shared" si="6"/>
        <v/>
      </c>
      <c r="Y242" s="370" t="e">
        <f t="shared" si="7"/>
        <v>#VALUE!</v>
      </c>
      <c r="Z242" s="346"/>
      <c r="AA242" s="329"/>
      <c r="AB242" s="352">
        <f t="shared" si="8"/>
        <v>0</v>
      </c>
      <c r="AC242" s="353"/>
      <c r="AD242" s="354"/>
      <c r="AE242" s="378" t="str">
        <f t="shared" si="21"/>
        <v/>
      </c>
      <c r="AF242" s="329"/>
      <c r="AG242" s="358"/>
      <c r="AH242" s="356" t="str">
        <f t="shared" si="22"/>
        <v/>
      </c>
      <c r="AI242" s="329"/>
      <c r="AJ242" s="329"/>
      <c r="AK242" s="356">
        <f t="shared" si="11"/>
        <v>0</v>
      </c>
      <c r="AL242" s="357"/>
      <c r="AM242" s="358"/>
      <c r="AN242" s="356">
        <f t="shared" si="12"/>
        <v>0</v>
      </c>
      <c r="AO242" s="329"/>
      <c r="AP242" s="358"/>
      <c r="AQ242" s="359">
        <f t="shared" si="13"/>
        <v>0</v>
      </c>
      <c r="AR242" s="360"/>
      <c r="AS242" s="358"/>
      <c r="AT242" s="356">
        <f t="shared" si="14"/>
        <v>0</v>
      </c>
      <c r="AU242" s="329"/>
      <c r="AV242" s="358"/>
      <c r="AW242" s="359">
        <f t="shared" si="15"/>
        <v>0</v>
      </c>
      <c r="AX242" s="329"/>
      <c r="AY242" s="358"/>
      <c r="AZ242" s="359">
        <f t="shared" si="16"/>
        <v>0</v>
      </c>
      <c r="BA242" s="329" t="e">
        <f>IF('Degrémont Entrée'!K242="",,('Degrémont Entrée'!K242-I242)/'Degrémont Entrée'!K242*100)</f>
        <v>#DIV/0!</v>
      </c>
      <c r="BB242" s="329" t="e">
        <f>IF('Degrémont Entrée'!G242="",,('Degrémont Entrée'!G242-G242)/'Degrémont Entrée'!G242*100)</f>
        <v>#DIV/0!</v>
      </c>
      <c r="BC242" s="329">
        <f>IF('Degrémont Entrée'!S242="",,('Degrémont Entrée'!S242-M242)/'Degrémont Entrée'!S242*100)</f>
        <v>0</v>
      </c>
      <c r="BD242" s="425" t="str">
        <f ca="1">IFERROR(__xludf.DUMMYFUNCTION("""COMPUTED_VALUE"""),"#DIV/0!")</f>
        <v>#DIV/0!</v>
      </c>
      <c r="BE242" s="362"/>
      <c r="BF242" s="363"/>
      <c r="BG242" s="363"/>
      <c r="BH242" s="338">
        <f t="shared" si="17"/>
        <v>0</v>
      </c>
      <c r="BI242" s="364"/>
      <c r="BJ242" s="365"/>
      <c r="BK242" s="371">
        <f>'Degrémont Entrée'!BH242</f>
        <v>0</v>
      </c>
      <c r="BL242" s="372">
        <f>'Degrémont Entrée'!BI242</f>
        <v>0</v>
      </c>
    </row>
    <row r="243" spans="1:64" ht="15.75" customHeight="1" outlineLevel="1">
      <c r="A243" s="337">
        <f t="shared" si="18"/>
        <v>43695</v>
      </c>
      <c r="B243" s="338">
        <f>'Degrémont Entrée'!B243</f>
        <v>0</v>
      </c>
      <c r="C243" s="338"/>
      <c r="D243" s="388"/>
      <c r="E243" s="368"/>
      <c r="F243" s="357"/>
      <c r="G243" s="329">
        <f t="shared" si="0"/>
        <v>0</v>
      </c>
      <c r="H243" s="338"/>
      <c r="I243" s="346"/>
      <c r="J243" s="344">
        <f t="shared" si="2"/>
        <v>0</v>
      </c>
      <c r="K243" s="343">
        <v>1</v>
      </c>
      <c r="L243" s="329"/>
      <c r="M243" s="346" t="str">
        <f t="shared" si="3"/>
        <v/>
      </c>
      <c r="N243" s="338" t="e">
        <f t="shared" si="4"/>
        <v>#VALUE!</v>
      </c>
      <c r="O243" s="368"/>
      <c r="P243" s="347">
        <f t="shared" si="19"/>
        <v>0</v>
      </c>
      <c r="Q243" s="348"/>
      <c r="R243" s="369"/>
      <c r="S243" s="349">
        <f t="shared" si="20"/>
        <v>0</v>
      </c>
      <c r="T243" s="348"/>
      <c r="U243" s="369"/>
      <c r="V243" s="349">
        <f t="shared" si="5"/>
        <v>0</v>
      </c>
      <c r="W243" s="348"/>
      <c r="X243" s="318" t="str">
        <f t="shared" si="6"/>
        <v/>
      </c>
      <c r="Y243" s="370" t="e">
        <f t="shared" si="7"/>
        <v>#VALUE!</v>
      </c>
      <c r="Z243" s="346"/>
      <c r="AA243" s="329"/>
      <c r="AB243" s="352">
        <f t="shared" si="8"/>
        <v>0</v>
      </c>
      <c r="AC243" s="353"/>
      <c r="AD243" s="354"/>
      <c r="AE243" s="378" t="str">
        <f t="shared" si="21"/>
        <v/>
      </c>
      <c r="AF243" s="329"/>
      <c r="AG243" s="358"/>
      <c r="AH243" s="356" t="str">
        <f t="shared" si="22"/>
        <v/>
      </c>
      <c r="AI243" s="329"/>
      <c r="AJ243" s="329"/>
      <c r="AK243" s="356">
        <f t="shared" si="11"/>
        <v>0</v>
      </c>
      <c r="AL243" s="357"/>
      <c r="AM243" s="358"/>
      <c r="AN243" s="356">
        <f t="shared" si="12"/>
        <v>0</v>
      </c>
      <c r="AO243" s="329"/>
      <c r="AP243" s="358"/>
      <c r="AQ243" s="359">
        <f t="shared" si="13"/>
        <v>0</v>
      </c>
      <c r="AR243" s="360"/>
      <c r="AS243" s="358"/>
      <c r="AT243" s="356">
        <f t="shared" si="14"/>
        <v>0</v>
      </c>
      <c r="AU243" s="329"/>
      <c r="AV243" s="358"/>
      <c r="AW243" s="359">
        <f t="shared" si="15"/>
        <v>0</v>
      </c>
      <c r="AX243" s="329"/>
      <c r="AY243" s="358"/>
      <c r="AZ243" s="359">
        <f t="shared" si="16"/>
        <v>0</v>
      </c>
      <c r="BA243" s="329" t="e">
        <f>IF('Degrémont Entrée'!K243="",,('Degrémont Entrée'!K243-I243)/'Degrémont Entrée'!K243*100)</f>
        <v>#DIV/0!</v>
      </c>
      <c r="BB243" s="329" t="e">
        <f>IF('Degrémont Entrée'!G243="",,('Degrémont Entrée'!G243-G243)/'Degrémont Entrée'!G243*100)</f>
        <v>#DIV/0!</v>
      </c>
      <c r="BC243" s="329">
        <f>IF('Degrémont Entrée'!S243="",,('Degrémont Entrée'!S243-M243)/'Degrémont Entrée'!S243*100)</f>
        <v>0</v>
      </c>
      <c r="BD243" s="425" t="str">
        <f ca="1">IFERROR(__xludf.DUMMYFUNCTION("""COMPUTED_VALUE"""),"#DIV/0!")</f>
        <v>#DIV/0!</v>
      </c>
      <c r="BE243" s="362"/>
      <c r="BF243" s="363"/>
      <c r="BG243" s="363"/>
      <c r="BH243" s="338">
        <f t="shared" si="17"/>
        <v>0</v>
      </c>
      <c r="BI243" s="364"/>
      <c r="BJ243" s="365"/>
      <c r="BK243" s="366">
        <f>'Degrémont Entrée'!BH243</f>
        <v>0</v>
      </c>
      <c r="BL243" s="367">
        <f>'Degrémont Entrée'!BI243</f>
        <v>0</v>
      </c>
    </row>
    <row r="244" spans="1:64" ht="14.25" outlineLevel="1">
      <c r="A244" s="337">
        <f t="shared" si="18"/>
        <v>43696</v>
      </c>
      <c r="B244" s="338">
        <f>'Degrémont Entrée'!B244</f>
        <v>0</v>
      </c>
      <c r="C244" s="339">
        <v>9.01</v>
      </c>
      <c r="D244" s="340">
        <v>89.2</v>
      </c>
      <c r="E244" s="341">
        <v>90.1</v>
      </c>
      <c r="F244" s="342">
        <v>91</v>
      </c>
      <c r="G244" s="329">
        <f t="shared" si="0"/>
        <v>9.8901098901097964</v>
      </c>
      <c r="H244" s="338"/>
      <c r="I244" s="343">
        <v>512</v>
      </c>
      <c r="J244" s="344">
        <f t="shared" si="2"/>
        <v>0</v>
      </c>
      <c r="K244" s="343">
        <v>1</v>
      </c>
      <c r="L244" s="345">
        <v>0.7</v>
      </c>
      <c r="M244" s="346">
        <f t="shared" si="3"/>
        <v>0.7</v>
      </c>
      <c r="N244" s="338">
        <f t="shared" si="4"/>
        <v>0</v>
      </c>
      <c r="O244" s="368"/>
      <c r="P244" s="347">
        <f t="shared" si="19"/>
        <v>0</v>
      </c>
      <c r="Q244" s="348"/>
      <c r="R244" s="369"/>
      <c r="S244" s="349">
        <f t="shared" si="20"/>
        <v>0</v>
      </c>
      <c r="T244" s="348"/>
      <c r="U244" s="369"/>
      <c r="V244" s="349">
        <f t="shared" si="5"/>
        <v>0</v>
      </c>
      <c r="W244" s="348"/>
      <c r="X244" s="318" t="str">
        <f t="shared" si="6"/>
        <v/>
      </c>
      <c r="Y244" s="370" t="e">
        <f t="shared" si="7"/>
        <v>#VALUE!</v>
      </c>
      <c r="Z244" s="343" t="s">
        <v>85</v>
      </c>
      <c r="AA244" s="345">
        <v>0.01</v>
      </c>
      <c r="AB244" s="352">
        <f t="shared" si="8"/>
        <v>0</v>
      </c>
      <c r="AC244" s="353"/>
      <c r="AD244" s="354"/>
      <c r="AE244" s="378" t="str">
        <f t="shared" si="21"/>
        <v/>
      </c>
      <c r="AF244" s="329"/>
      <c r="AG244" s="358"/>
      <c r="AH244" s="356" t="str">
        <f t="shared" si="22"/>
        <v/>
      </c>
      <c r="AI244" s="329"/>
      <c r="AJ244" s="329"/>
      <c r="AK244" s="356">
        <f t="shared" si="11"/>
        <v>0</v>
      </c>
      <c r="AL244" s="357"/>
      <c r="AM244" s="358"/>
      <c r="AN244" s="356">
        <f t="shared" si="12"/>
        <v>0</v>
      </c>
      <c r="AO244" s="329"/>
      <c r="AP244" s="358"/>
      <c r="AQ244" s="359">
        <f t="shared" si="13"/>
        <v>0</v>
      </c>
      <c r="AR244" s="360"/>
      <c r="AS244" s="358"/>
      <c r="AT244" s="356">
        <f t="shared" si="14"/>
        <v>0</v>
      </c>
      <c r="AU244" s="329"/>
      <c r="AV244" s="358"/>
      <c r="AW244" s="359">
        <f t="shared" si="15"/>
        <v>0</v>
      </c>
      <c r="AX244" s="329"/>
      <c r="AY244" s="358"/>
      <c r="AZ244" s="359">
        <f t="shared" si="16"/>
        <v>0</v>
      </c>
      <c r="BA244" s="329">
        <f>IF('Degrémont Entrée'!K244="",,('Degrémont Entrée'!K244-I244)/'Degrémont Entrée'!K244*100)</f>
        <v>90.562211981566819</v>
      </c>
      <c r="BB244" s="329">
        <f>IF('Degrémont Entrée'!G244="",,('Degrémont Entrée'!G244-G244)/'Degrémont Entrée'!G244*100)</f>
        <v>99.828799695643909</v>
      </c>
      <c r="BC244" s="329">
        <f>IF('Degrémont Entrée'!S244="",,('Degrémont Entrée'!S244-M244)/'Degrémont Entrée'!S244*100)</f>
        <v>99.744525547445264</v>
      </c>
      <c r="BD244" s="425">
        <f ca="1">IFERROR(__xludf.DUMMYFUNCTION("""COMPUTED_VALUE"""),53.3857142857142)</f>
        <v>53.385714285714201</v>
      </c>
      <c r="BE244" s="362"/>
      <c r="BF244" s="363"/>
      <c r="BG244" s="363"/>
      <c r="BH244" s="338">
        <f t="shared" si="17"/>
        <v>0</v>
      </c>
      <c r="BI244" s="364"/>
      <c r="BJ244" s="365"/>
      <c r="BK244" s="371">
        <f>'Degrémont Entrée'!BH244</f>
        <v>0</v>
      </c>
      <c r="BL244" s="372">
        <f>'Degrémont Entrée'!BI244</f>
        <v>0</v>
      </c>
    </row>
    <row r="245" spans="1:64" ht="15.75" customHeight="1" outlineLevel="1">
      <c r="A245" s="337">
        <f t="shared" si="18"/>
        <v>43697</v>
      </c>
      <c r="B245" s="338">
        <f>'Degrémont Entrée'!B245</f>
        <v>0</v>
      </c>
      <c r="C245" s="339">
        <v>8.86</v>
      </c>
      <c r="D245" s="340">
        <v>94.4</v>
      </c>
      <c r="E245" s="341">
        <v>95.5</v>
      </c>
      <c r="F245" s="342">
        <v>100</v>
      </c>
      <c r="G245" s="329">
        <f t="shared" si="0"/>
        <v>10.999999999999943</v>
      </c>
      <c r="H245" s="338"/>
      <c r="I245" s="343">
        <v>436</v>
      </c>
      <c r="J245" s="344">
        <f t="shared" si="2"/>
        <v>0</v>
      </c>
      <c r="K245" s="343">
        <v>1</v>
      </c>
      <c r="L245" s="345">
        <v>0.41</v>
      </c>
      <c r="M245" s="346">
        <f t="shared" si="3"/>
        <v>0.41</v>
      </c>
      <c r="N245" s="338">
        <f t="shared" si="4"/>
        <v>0</v>
      </c>
      <c r="O245" s="341">
        <v>25</v>
      </c>
      <c r="P245" s="347">
        <f t="shared" si="19"/>
        <v>0</v>
      </c>
      <c r="Q245" s="348"/>
      <c r="R245" s="369"/>
      <c r="S245" s="349">
        <f t="shared" si="20"/>
        <v>0</v>
      </c>
      <c r="T245" s="348"/>
      <c r="U245" s="369"/>
      <c r="V245" s="349">
        <f t="shared" si="5"/>
        <v>0</v>
      </c>
      <c r="W245" s="348"/>
      <c r="X245" s="318">
        <f t="shared" si="6"/>
        <v>25</v>
      </c>
      <c r="Y245" s="370">
        <f t="shared" si="7"/>
        <v>0</v>
      </c>
      <c r="Z245" s="343" t="s">
        <v>85</v>
      </c>
      <c r="AA245" s="345">
        <v>0.01</v>
      </c>
      <c r="AB245" s="352">
        <f t="shared" si="8"/>
        <v>0</v>
      </c>
      <c r="AC245" s="353"/>
      <c r="AD245" s="354"/>
      <c r="AE245" s="378" t="str">
        <f t="shared" si="21"/>
        <v/>
      </c>
      <c r="AF245" s="329"/>
      <c r="AG245" s="355">
        <v>0.42</v>
      </c>
      <c r="AH245" s="356">
        <f t="shared" si="22"/>
        <v>0.39899999999999997</v>
      </c>
      <c r="AI245" s="329"/>
      <c r="AJ245" s="345">
        <v>2.95</v>
      </c>
      <c r="AK245" s="356">
        <f t="shared" si="11"/>
        <v>0</v>
      </c>
      <c r="AL245" s="357"/>
      <c r="AM245" s="355">
        <v>0.2</v>
      </c>
      <c r="AN245" s="356">
        <f t="shared" si="12"/>
        <v>0</v>
      </c>
      <c r="AO245" s="329"/>
      <c r="AP245" s="355">
        <v>0.3</v>
      </c>
      <c r="AQ245" s="359">
        <f t="shared" si="13"/>
        <v>0</v>
      </c>
      <c r="AR245" s="360"/>
      <c r="AS245" s="355">
        <v>2.81</v>
      </c>
      <c r="AT245" s="356">
        <f t="shared" si="14"/>
        <v>0</v>
      </c>
      <c r="AU245" s="329"/>
      <c r="AV245" s="355">
        <v>0.15</v>
      </c>
      <c r="AW245" s="359">
        <f t="shared" si="15"/>
        <v>0</v>
      </c>
      <c r="AX245" s="345" t="s">
        <v>85</v>
      </c>
      <c r="AY245" s="355">
        <v>0.13</v>
      </c>
      <c r="AZ245" s="359">
        <f t="shared" si="16"/>
        <v>0</v>
      </c>
      <c r="BA245" s="329">
        <f>IF('Degrémont Entrée'!K245="",,('Degrémont Entrée'!K245-I245)/'Degrémont Entrée'!K245*100)</f>
        <v>90.918558633617991</v>
      </c>
      <c r="BB245" s="329">
        <f>IF('Degrémont Entrée'!G245="",,('Degrémont Entrée'!G245-G245)/'Degrémont Entrée'!G245*100)</f>
        <v>99.784313725490193</v>
      </c>
      <c r="BC245" s="329">
        <f>IF('Degrémont Entrée'!S245="",,('Degrémont Entrée'!S245-M245)/'Degrémont Entrée'!S245*100)</f>
        <v>99.835999999999999</v>
      </c>
      <c r="BD245" s="425">
        <f ca="1">IFERROR(__xludf.DUMMYFUNCTION("""COMPUTED_VALUE"""),53.0375)</f>
        <v>53.037500000000001</v>
      </c>
      <c r="BE245" s="362"/>
      <c r="BF245" s="363"/>
      <c r="BG245" s="363"/>
      <c r="BH245" s="338">
        <f t="shared" si="17"/>
        <v>0</v>
      </c>
      <c r="BI245" s="364"/>
      <c r="BJ245" s="365"/>
      <c r="BK245" s="366">
        <f>'Degrémont Entrée'!BH245</f>
        <v>0</v>
      </c>
      <c r="BL245" s="367">
        <f>'Degrémont Entrée'!BI245</f>
        <v>0</v>
      </c>
    </row>
    <row r="246" spans="1:64" ht="14.25" outlineLevel="1">
      <c r="A246" s="337">
        <f t="shared" si="18"/>
        <v>43698</v>
      </c>
      <c r="B246" s="338">
        <f>'Degrémont Entrée'!B246</f>
        <v>1236</v>
      </c>
      <c r="C246" s="339">
        <v>8.74</v>
      </c>
      <c r="D246" s="340">
        <v>89.5</v>
      </c>
      <c r="E246" s="341">
        <v>90.8</v>
      </c>
      <c r="F246" s="342">
        <v>100</v>
      </c>
      <c r="G246" s="329">
        <f t="shared" si="0"/>
        <v>12.999999999999973</v>
      </c>
      <c r="H246" s="338"/>
      <c r="I246" s="343">
        <v>576</v>
      </c>
      <c r="J246" s="344">
        <f t="shared" si="2"/>
        <v>711.93600000000004</v>
      </c>
      <c r="K246" s="343">
        <v>1</v>
      </c>
      <c r="L246" s="345">
        <v>0.45</v>
      </c>
      <c r="M246" s="346">
        <f t="shared" si="3"/>
        <v>0.45</v>
      </c>
      <c r="N246" s="338">
        <f t="shared" si="4"/>
        <v>0.55620000000000003</v>
      </c>
      <c r="O246" s="368"/>
      <c r="P246" s="347">
        <f t="shared" si="19"/>
        <v>0</v>
      </c>
      <c r="Q246" s="348"/>
      <c r="R246" s="369"/>
      <c r="S246" s="349">
        <f t="shared" si="20"/>
        <v>0</v>
      </c>
      <c r="T246" s="348"/>
      <c r="U246" s="369"/>
      <c r="V246" s="349">
        <f t="shared" si="5"/>
        <v>0</v>
      </c>
      <c r="W246" s="348"/>
      <c r="X246" s="318" t="str">
        <f t="shared" si="6"/>
        <v/>
      </c>
      <c r="Y246" s="370" t="e">
        <f t="shared" si="7"/>
        <v>#VALUE!</v>
      </c>
      <c r="Z246" s="343" t="s">
        <v>85</v>
      </c>
      <c r="AA246" s="345">
        <v>0.01</v>
      </c>
      <c r="AB246" s="352">
        <f t="shared" si="8"/>
        <v>6.1799999999999997E-3</v>
      </c>
      <c r="AC246" s="353"/>
      <c r="AD246" s="354"/>
      <c r="AE246" s="378" t="str">
        <f t="shared" si="21"/>
        <v/>
      </c>
      <c r="AF246" s="329"/>
      <c r="AG246" s="358"/>
      <c r="AH246" s="356" t="str">
        <f t="shared" si="22"/>
        <v/>
      </c>
      <c r="AI246" s="329"/>
      <c r="AJ246" s="329"/>
      <c r="AK246" s="356">
        <f t="shared" si="11"/>
        <v>0</v>
      </c>
      <c r="AL246" s="357"/>
      <c r="AM246" s="358"/>
      <c r="AN246" s="356">
        <f t="shared" si="12"/>
        <v>0</v>
      </c>
      <c r="AO246" s="329"/>
      <c r="AP246" s="358"/>
      <c r="AQ246" s="359">
        <f t="shared" si="13"/>
        <v>0</v>
      </c>
      <c r="AR246" s="360"/>
      <c r="AS246" s="358"/>
      <c r="AT246" s="356">
        <f t="shared" si="14"/>
        <v>0</v>
      </c>
      <c r="AU246" s="329"/>
      <c r="AV246" s="358"/>
      <c r="AW246" s="359">
        <f t="shared" si="15"/>
        <v>0</v>
      </c>
      <c r="AX246" s="329"/>
      <c r="AY246" s="358"/>
      <c r="AZ246" s="359">
        <f t="shared" si="16"/>
        <v>0</v>
      </c>
      <c r="BA246" s="329">
        <f>IF('Degrémont Entrée'!K246="",,('Degrémont Entrée'!K246-I246)/'Degrémont Entrée'!K246*100)</f>
        <v>92.067208373502268</v>
      </c>
      <c r="BB246" s="329">
        <f>IF('Degrémont Entrée'!G246="",,('Degrémont Entrée'!G246-G246)/'Degrémont Entrée'!G246*100)</f>
        <v>99.848837209302317</v>
      </c>
      <c r="BC246" s="329">
        <f>IF('Degrémont Entrée'!S246="",,('Degrémont Entrée'!S246-M246)/'Degrémont Entrée'!S246*100)</f>
        <v>99.888613861386148</v>
      </c>
      <c r="BD246" s="425">
        <f ca="1">IFERROR(__xludf.DUMMYFUNCTION("""COMPUTED_VALUE"""),52.1272727272727)</f>
        <v>52.127272727272697</v>
      </c>
      <c r="BE246" s="362"/>
      <c r="BF246" s="363"/>
      <c r="BG246" s="363"/>
      <c r="BH246" s="338">
        <f t="shared" si="17"/>
        <v>0</v>
      </c>
      <c r="BI246" s="364"/>
      <c r="BJ246" s="365"/>
      <c r="BK246" s="371">
        <f>'Degrémont Entrée'!BH246</f>
        <v>0</v>
      </c>
      <c r="BL246" s="372">
        <f>'Degrémont Entrée'!BI246</f>
        <v>0</v>
      </c>
    </row>
    <row r="247" spans="1:64" ht="15.75" customHeight="1" outlineLevel="1">
      <c r="A247" s="337">
        <f t="shared" si="18"/>
        <v>43699</v>
      </c>
      <c r="B247" s="338">
        <f>'Degrémont Entrée'!B247</f>
        <v>1226</v>
      </c>
      <c r="C247" s="339">
        <v>8.68</v>
      </c>
      <c r="D247" s="340">
        <v>88.9</v>
      </c>
      <c r="E247" s="341">
        <v>91.3</v>
      </c>
      <c r="F247" s="342">
        <v>98</v>
      </c>
      <c r="G247" s="329">
        <f t="shared" si="0"/>
        <v>24.48979591836726</v>
      </c>
      <c r="H247" s="338"/>
      <c r="I247" s="343">
        <v>868</v>
      </c>
      <c r="J247" s="344">
        <f t="shared" si="2"/>
        <v>1064.1679999999999</v>
      </c>
      <c r="K247" s="343">
        <v>1</v>
      </c>
      <c r="L247" s="345">
        <v>0.8</v>
      </c>
      <c r="M247" s="346">
        <f t="shared" si="3"/>
        <v>0.8</v>
      </c>
      <c r="N247" s="338">
        <f t="shared" si="4"/>
        <v>0.98080000000000012</v>
      </c>
      <c r="O247" s="368"/>
      <c r="P247" s="347">
        <f t="shared" si="19"/>
        <v>0</v>
      </c>
      <c r="Q247" s="348"/>
      <c r="R247" s="369"/>
      <c r="S247" s="349">
        <f t="shared" si="20"/>
        <v>0</v>
      </c>
      <c r="T247" s="348"/>
      <c r="U247" s="369"/>
      <c r="V247" s="349">
        <f t="shared" si="5"/>
        <v>0</v>
      </c>
      <c r="W247" s="348"/>
      <c r="X247" s="318" t="str">
        <f t="shared" si="6"/>
        <v/>
      </c>
      <c r="Y247" s="370" t="e">
        <f t="shared" si="7"/>
        <v>#VALUE!</v>
      </c>
      <c r="Z247" s="343" t="s">
        <v>85</v>
      </c>
      <c r="AA247" s="345">
        <v>0.01</v>
      </c>
      <c r="AB247" s="352">
        <f t="shared" si="8"/>
        <v>6.13E-3</v>
      </c>
      <c r="AC247" s="353"/>
      <c r="AD247" s="354"/>
      <c r="AE247" s="378" t="str">
        <f t="shared" si="21"/>
        <v/>
      </c>
      <c r="AF247" s="329"/>
      <c r="AG247" s="358"/>
      <c r="AH247" s="356" t="str">
        <f t="shared" si="22"/>
        <v/>
      </c>
      <c r="AI247" s="329"/>
      <c r="AJ247" s="329"/>
      <c r="AK247" s="356">
        <f t="shared" si="11"/>
        <v>0</v>
      </c>
      <c r="AL247" s="357"/>
      <c r="AM247" s="358"/>
      <c r="AN247" s="356">
        <f t="shared" si="12"/>
        <v>0</v>
      </c>
      <c r="AO247" s="329"/>
      <c r="AP247" s="358"/>
      <c r="AQ247" s="359">
        <f t="shared" si="13"/>
        <v>0</v>
      </c>
      <c r="AR247" s="360"/>
      <c r="AS247" s="358"/>
      <c r="AT247" s="356">
        <f t="shared" si="14"/>
        <v>0</v>
      </c>
      <c r="AU247" s="329"/>
      <c r="AV247" s="358"/>
      <c r="AW247" s="359">
        <f t="shared" si="15"/>
        <v>0</v>
      </c>
      <c r="AX247" s="329"/>
      <c r="AY247" s="358"/>
      <c r="AZ247" s="359">
        <f t="shared" si="16"/>
        <v>0</v>
      </c>
      <c r="BA247" s="329">
        <f>IF('Degrémont Entrée'!K247="",,('Degrémont Entrée'!K247-I247)/'Degrémont Entrée'!K247*100)</f>
        <v>92.52046531667385</v>
      </c>
      <c r="BB247" s="329">
        <f>IF('Degrémont Entrée'!G247="",,('Degrémont Entrée'!G247-G247)/'Degrémont Entrée'!G247*100)</f>
        <v>99.829057265815962</v>
      </c>
      <c r="BC247" s="329">
        <f>IF('Degrémont Entrée'!S247="",,('Degrémont Entrée'!S247-M247)/'Degrémont Entrée'!S247*100)</f>
        <v>99.8326359832636</v>
      </c>
      <c r="BD247" s="425">
        <f ca="1">IFERROR(__xludf.DUMMYFUNCTION("""COMPUTED_VALUE"""),52.1)</f>
        <v>52.1</v>
      </c>
      <c r="BE247" s="386">
        <v>22.4297</v>
      </c>
      <c r="BF247" s="387">
        <v>28.396000000000001</v>
      </c>
      <c r="BG247" s="387">
        <v>25.982099999999999</v>
      </c>
      <c r="BH247" s="338">
        <f t="shared" si="17"/>
        <v>59.541089117208301</v>
      </c>
      <c r="BI247" s="364"/>
      <c r="BJ247" s="365"/>
      <c r="BK247" s="366">
        <f>'Degrémont Entrée'!BH247</f>
        <v>0</v>
      </c>
      <c r="BL247" s="367">
        <f>'Degrémont Entrée'!BI247</f>
        <v>0</v>
      </c>
    </row>
    <row r="248" spans="1:64" ht="14.25" outlineLevel="1">
      <c r="A248" s="337">
        <f t="shared" si="18"/>
        <v>43700</v>
      </c>
      <c r="B248" s="338">
        <f>'Degrémont Entrée'!B248</f>
        <v>942</v>
      </c>
      <c r="C248" s="339">
        <v>8.2100000000000009</v>
      </c>
      <c r="D248" s="340">
        <v>88.7</v>
      </c>
      <c r="E248" s="341">
        <v>90.9</v>
      </c>
      <c r="F248" s="342">
        <v>100</v>
      </c>
      <c r="G248" s="329">
        <f t="shared" si="0"/>
        <v>22.000000000000028</v>
      </c>
      <c r="H248" s="338"/>
      <c r="I248" s="343">
        <v>416</v>
      </c>
      <c r="J248" s="344">
        <f t="shared" si="2"/>
        <v>391.87200000000001</v>
      </c>
      <c r="K248" s="343">
        <v>1</v>
      </c>
      <c r="L248" s="345">
        <v>0.84</v>
      </c>
      <c r="M248" s="346">
        <f t="shared" si="3"/>
        <v>0.84</v>
      </c>
      <c r="N248" s="338">
        <f t="shared" si="4"/>
        <v>0.79127999999999998</v>
      </c>
      <c r="O248" s="368"/>
      <c r="P248" s="347">
        <f t="shared" si="19"/>
        <v>0</v>
      </c>
      <c r="Q248" s="348"/>
      <c r="R248" s="369"/>
      <c r="S248" s="349">
        <f t="shared" si="20"/>
        <v>0</v>
      </c>
      <c r="T248" s="348"/>
      <c r="U248" s="369"/>
      <c r="V248" s="349">
        <f t="shared" si="5"/>
        <v>0</v>
      </c>
      <c r="W248" s="348"/>
      <c r="X248" s="318" t="str">
        <f t="shared" si="6"/>
        <v/>
      </c>
      <c r="Y248" s="370" t="e">
        <f t="shared" si="7"/>
        <v>#VALUE!</v>
      </c>
      <c r="Z248" s="343" t="s">
        <v>85</v>
      </c>
      <c r="AA248" s="345">
        <v>0.01</v>
      </c>
      <c r="AB248" s="352">
        <f t="shared" si="8"/>
        <v>4.7099999999999998E-3</v>
      </c>
      <c r="AC248" s="353"/>
      <c r="AD248" s="354"/>
      <c r="AE248" s="378" t="str">
        <f t="shared" si="21"/>
        <v/>
      </c>
      <c r="AF248" s="329"/>
      <c r="AG248" s="358"/>
      <c r="AH248" s="356" t="str">
        <f t="shared" si="22"/>
        <v/>
      </c>
      <c r="AI248" s="329"/>
      <c r="AJ248" s="329"/>
      <c r="AK248" s="356">
        <f t="shared" si="11"/>
        <v>0</v>
      </c>
      <c r="AL248" s="357"/>
      <c r="AM248" s="358"/>
      <c r="AN248" s="356">
        <f t="shared" si="12"/>
        <v>0</v>
      </c>
      <c r="AO248" s="329"/>
      <c r="AP248" s="358"/>
      <c r="AQ248" s="359">
        <f t="shared" si="13"/>
        <v>0</v>
      </c>
      <c r="AR248" s="360"/>
      <c r="AS248" s="358"/>
      <c r="AT248" s="356">
        <f t="shared" si="14"/>
        <v>0</v>
      </c>
      <c r="AU248" s="329"/>
      <c r="AV248" s="358"/>
      <c r="AW248" s="359">
        <f t="shared" si="15"/>
        <v>0</v>
      </c>
      <c r="AX248" s="329"/>
      <c r="AY248" s="358"/>
      <c r="AZ248" s="359">
        <f t="shared" si="16"/>
        <v>0</v>
      </c>
      <c r="BA248" s="329">
        <f>IF('Degrémont Entrée'!K248="",,('Degrémont Entrée'!K248-I248)/'Degrémont Entrée'!K248*100)</f>
        <v>97.063391218410274</v>
      </c>
      <c r="BB248" s="329">
        <f>IF('Degrémont Entrée'!G248="",,('Degrémont Entrée'!G248-G248)/'Degrémont Entrée'!G248*100)</f>
        <v>99.843453510436433</v>
      </c>
      <c r="BC248" s="329">
        <f>IF('Degrémont Entrée'!S248="",,('Degrémont Entrée'!S248-M248)/'Degrémont Entrée'!S248*100)</f>
        <v>99.84210526315789</v>
      </c>
      <c r="BD248" s="425">
        <f ca="1">IFERROR(__xludf.DUMMYFUNCTION("""COMPUTED_VALUE"""),55.6545454545454)</f>
        <v>55.654545454545399</v>
      </c>
      <c r="BE248" s="362"/>
      <c r="BF248" s="363"/>
      <c r="BG248" s="363"/>
      <c r="BH248" s="338">
        <f t="shared" si="17"/>
        <v>0</v>
      </c>
      <c r="BI248" s="364"/>
      <c r="BJ248" s="365"/>
      <c r="BK248" s="371">
        <f>'Degrémont Entrée'!BH248</f>
        <v>0</v>
      </c>
      <c r="BL248" s="372">
        <f>'Degrémont Entrée'!BI248</f>
        <v>0</v>
      </c>
    </row>
    <row r="249" spans="1:64" ht="15.75" customHeight="1" outlineLevel="1">
      <c r="A249" s="337">
        <f t="shared" si="18"/>
        <v>43701</v>
      </c>
      <c r="B249" s="338">
        <f>'Degrémont Entrée'!B249</f>
        <v>1115</v>
      </c>
      <c r="C249" s="339">
        <v>8.19</v>
      </c>
      <c r="D249" s="340">
        <v>87.9</v>
      </c>
      <c r="E249" s="341">
        <v>90.5</v>
      </c>
      <c r="F249" s="342">
        <v>100</v>
      </c>
      <c r="G249" s="329">
        <f t="shared" si="0"/>
        <v>25.999999999999947</v>
      </c>
      <c r="H249" s="338"/>
      <c r="I249" s="343">
        <v>584</v>
      </c>
      <c r="J249" s="344">
        <f t="shared" si="2"/>
        <v>651.16</v>
      </c>
      <c r="K249" s="343">
        <v>1</v>
      </c>
      <c r="L249" s="345">
        <v>1.32</v>
      </c>
      <c r="M249" s="346">
        <f t="shared" si="3"/>
        <v>1.32</v>
      </c>
      <c r="N249" s="338">
        <f t="shared" si="4"/>
        <v>1.4718000000000002</v>
      </c>
      <c r="O249" s="368"/>
      <c r="P249" s="347">
        <f t="shared" si="19"/>
        <v>0</v>
      </c>
      <c r="Q249" s="348"/>
      <c r="R249" s="369"/>
      <c r="S249" s="349">
        <f t="shared" si="20"/>
        <v>0</v>
      </c>
      <c r="T249" s="348"/>
      <c r="U249" s="369"/>
      <c r="V249" s="349">
        <f t="shared" si="5"/>
        <v>0</v>
      </c>
      <c r="W249" s="348"/>
      <c r="X249" s="318" t="str">
        <f t="shared" si="6"/>
        <v/>
      </c>
      <c r="Y249" s="370" t="e">
        <f t="shared" si="7"/>
        <v>#VALUE!</v>
      </c>
      <c r="Z249" s="343" t="s">
        <v>85</v>
      </c>
      <c r="AA249" s="345">
        <v>0.01</v>
      </c>
      <c r="AB249" s="352">
        <f t="shared" si="8"/>
        <v>5.5750000000000001E-3</v>
      </c>
      <c r="AC249" s="353"/>
      <c r="AD249" s="354"/>
      <c r="AE249" s="378" t="str">
        <f t="shared" si="21"/>
        <v/>
      </c>
      <c r="AF249" s="329"/>
      <c r="AG249" s="358"/>
      <c r="AH249" s="356" t="str">
        <f t="shared" si="22"/>
        <v/>
      </c>
      <c r="AI249" s="329"/>
      <c r="AJ249" s="329"/>
      <c r="AK249" s="356">
        <f t="shared" si="11"/>
        <v>0</v>
      </c>
      <c r="AL249" s="357"/>
      <c r="AM249" s="358"/>
      <c r="AN249" s="356">
        <f t="shared" si="12"/>
        <v>0</v>
      </c>
      <c r="AO249" s="329"/>
      <c r="AP249" s="358"/>
      <c r="AQ249" s="359">
        <f t="shared" si="13"/>
        <v>0</v>
      </c>
      <c r="AR249" s="360"/>
      <c r="AS249" s="358"/>
      <c r="AT249" s="356">
        <f t="shared" si="14"/>
        <v>0</v>
      </c>
      <c r="AU249" s="329"/>
      <c r="AV249" s="358"/>
      <c r="AW249" s="359">
        <f t="shared" si="15"/>
        <v>0</v>
      </c>
      <c r="AX249" s="329"/>
      <c r="AY249" s="358"/>
      <c r="AZ249" s="359">
        <f t="shared" si="16"/>
        <v>0</v>
      </c>
      <c r="BA249" s="329">
        <f>IF('Degrémont Entrée'!K249="",,('Degrémont Entrée'!K249-I249)/'Degrémont Entrée'!K249*100)</f>
        <v>93.307357322942934</v>
      </c>
      <c r="BB249" s="329">
        <f>IF('Degrémont Entrée'!G249="",,('Degrémont Entrée'!G249-G249)/'Degrémont Entrée'!G249*100)</f>
        <v>99.86042516641615</v>
      </c>
      <c r="BC249" s="329">
        <f>IF('Degrémont Entrée'!S249="",,('Degrémont Entrée'!S249-M249)/'Degrémont Entrée'!S249*100)</f>
        <v>99.629213483146074</v>
      </c>
      <c r="BD249" s="425">
        <f ca="1">IFERROR(__xludf.DUMMYFUNCTION("""COMPUTED_VALUE"""),56.025)</f>
        <v>56.024999999999999</v>
      </c>
      <c r="BE249" s="362"/>
      <c r="BF249" s="363"/>
      <c r="BG249" s="363"/>
      <c r="BH249" s="338">
        <f t="shared" si="17"/>
        <v>0</v>
      </c>
      <c r="BI249" s="364"/>
      <c r="BJ249" s="365"/>
      <c r="BK249" s="366">
        <f>'Degrémont Entrée'!BH249</f>
        <v>0</v>
      </c>
      <c r="BL249" s="367">
        <f>'Degrémont Entrée'!BI249</f>
        <v>0</v>
      </c>
    </row>
    <row r="250" spans="1:64" ht="14.25" outlineLevel="1">
      <c r="A250" s="337">
        <f t="shared" si="18"/>
        <v>43702</v>
      </c>
      <c r="B250" s="338">
        <f>'Degrémont Entrée'!B250</f>
        <v>0</v>
      </c>
      <c r="C250" s="339">
        <v>8.16</v>
      </c>
      <c r="D250" s="340">
        <v>89.9</v>
      </c>
      <c r="E250" s="341">
        <v>92.4</v>
      </c>
      <c r="F250" s="342">
        <v>100</v>
      </c>
      <c r="G250" s="329">
        <f t="shared" si="0"/>
        <v>25</v>
      </c>
      <c r="H250" s="338"/>
      <c r="I250" s="343">
        <v>619</v>
      </c>
      <c r="J250" s="344">
        <f t="shared" si="2"/>
        <v>0</v>
      </c>
      <c r="K250" s="343">
        <v>1</v>
      </c>
      <c r="L250" s="345">
        <v>1.59</v>
      </c>
      <c r="M250" s="346">
        <f t="shared" si="3"/>
        <v>1.59</v>
      </c>
      <c r="N250" s="338">
        <f t="shared" si="4"/>
        <v>0</v>
      </c>
      <c r="O250" s="368"/>
      <c r="P250" s="347">
        <f t="shared" si="19"/>
        <v>0</v>
      </c>
      <c r="Q250" s="348"/>
      <c r="R250" s="369"/>
      <c r="S250" s="349">
        <f t="shared" si="20"/>
        <v>0</v>
      </c>
      <c r="T250" s="348"/>
      <c r="U250" s="369"/>
      <c r="V250" s="349">
        <f t="shared" si="5"/>
        <v>0</v>
      </c>
      <c r="W250" s="348"/>
      <c r="X250" s="318" t="str">
        <f t="shared" si="6"/>
        <v/>
      </c>
      <c r="Y250" s="370" t="e">
        <f t="shared" si="7"/>
        <v>#VALUE!</v>
      </c>
      <c r="Z250" s="343" t="s">
        <v>85</v>
      </c>
      <c r="AA250" s="345">
        <v>0.01</v>
      </c>
      <c r="AB250" s="352">
        <f t="shared" si="8"/>
        <v>0</v>
      </c>
      <c r="AC250" s="353"/>
      <c r="AD250" s="354"/>
      <c r="AE250" s="378" t="str">
        <f t="shared" si="21"/>
        <v/>
      </c>
      <c r="AF250" s="329"/>
      <c r="AG250" s="358"/>
      <c r="AH250" s="356" t="str">
        <f t="shared" si="22"/>
        <v/>
      </c>
      <c r="AI250" s="329"/>
      <c r="AJ250" s="329"/>
      <c r="AK250" s="356">
        <f t="shared" si="11"/>
        <v>0</v>
      </c>
      <c r="AL250" s="357"/>
      <c r="AM250" s="358"/>
      <c r="AN250" s="356">
        <f t="shared" si="12"/>
        <v>0</v>
      </c>
      <c r="AO250" s="329"/>
      <c r="AP250" s="358"/>
      <c r="AQ250" s="359">
        <f t="shared" si="13"/>
        <v>0</v>
      </c>
      <c r="AR250" s="360"/>
      <c r="AS250" s="358"/>
      <c r="AT250" s="356">
        <f t="shared" si="14"/>
        <v>0</v>
      </c>
      <c r="AU250" s="329"/>
      <c r="AV250" s="358"/>
      <c r="AW250" s="359">
        <f t="shared" si="15"/>
        <v>0</v>
      </c>
      <c r="AX250" s="329"/>
      <c r="AY250" s="358"/>
      <c r="AZ250" s="359">
        <f t="shared" si="16"/>
        <v>0</v>
      </c>
      <c r="BA250" s="329">
        <f>IF('Degrémont Entrée'!K250="",,('Degrémont Entrée'!K250-I250)/'Degrémont Entrée'!K250*100)</f>
        <v>96.000775293965617</v>
      </c>
      <c r="BB250" s="329">
        <f>IF('Degrémont Entrée'!G250="",,('Degrémont Entrée'!G250-G250)/'Degrémont Entrée'!G250*100)</f>
        <v>99.67932272960492</v>
      </c>
      <c r="BC250" s="329">
        <f>IF('Degrémont Entrée'!S250="",,('Degrémont Entrée'!S250-M250)/'Degrémont Entrée'!S250*100)</f>
        <v>99.744372990353696</v>
      </c>
      <c r="BD250" s="425">
        <f ca="1">IFERROR(__xludf.DUMMYFUNCTION("""COMPUTED_VALUE"""),53.7)</f>
        <v>53.7</v>
      </c>
      <c r="BE250" s="362"/>
      <c r="BF250" s="363"/>
      <c r="BG250" s="363"/>
      <c r="BH250" s="338">
        <f t="shared" si="17"/>
        <v>0</v>
      </c>
      <c r="BI250" s="364"/>
      <c r="BJ250" s="365"/>
      <c r="BK250" s="371">
        <f>'Degrémont Entrée'!BH250</f>
        <v>0</v>
      </c>
      <c r="BL250" s="372">
        <f>'Degrémont Entrée'!BI250</f>
        <v>0</v>
      </c>
    </row>
    <row r="251" spans="1:64" ht="15.75" customHeight="1" outlineLevel="1">
      <c r="A251" s="337">
        <f t="shared" si="18"/>
        <v>43703</v>
      </c>
      <c r="B251" s="338">
        <f>'Degrémont Entrée'!B251</f>
        <v>881</v>
      </c>
      <c r="C251" s="339">
        <v>8.23</v>
      </c>
      <c r="D251" s="340">
        <v>89.3</v>
      </c>
      <c r="E251" s="341">
        <v>90.4</v>
      </c>
      <c r="F251" s="342">
        <v>100</v>
      </c>
      <c r="G251" s="329">
        <f t="shared" si="0"/>
        <v>11.000000000000087</v>
      </c>
      <c r="H251" s="338"/>
      <c r="I251" s="343">
        <v>356</v>
      </c>
      <c r="J251" s="344">
        <f t="shared" si="2"/>
        <v>313.63600000000002</v>
      </c>
      <c r="K251" s="343">
        <v>1</v>
      </c>
      <c r="L251" s="345">
        <v>1.07</v>
      </c>
      <c r="M251" s="346">
        <f t="shared" si="3"/>
        <v>1.07</v>
      </c>
      <c r="N251" s="338">
        <f t="shared" si="4"/>
        <v>0.94267000000000012</v>
      </c>
      <c r="O251" s="368"/>
      <c r="P251" s="347">
        <f t="shared" si="19"/>
        <v>0</v>
      </c>
      <c r="Q251" s="348"/>
      <c r="R251" s="369"/>
      <c r="S251" s="349">
        <f t="shared" si="20"/>
        <v>0</v>
      </c>
      <c r="T251" s="348"/>
      <c r="U251" s="369"/>
      <c r="V251" s="349">
        <f t="shared" si="5"/>
        <v>0</v>
      </c>
      <c r="W251" s="348"/>
      <c r="X251" s="318" t="str">
        <f t="shared" si="6"/>
        <v/>
      </c>
      <c r="Y251" s="370" t="e">
        <f t="shared" si="7"/>
        <v>#VALUE!</v>
      </c>
      <c r="Z251" s="343" t="s">
        <v>85</v>
      </c>
      <c r="AA251" s="345">
        <v>0.02</v>
      </c>
      <c r="AB251" s="352">
        <f t="shared" si="8"/>
        <v>8.8100000000000001E-3</v>
      </c>
      <c r="AC251" s="353"/>
      <c r="AD251" s="354"/>
      <c r="AE251" s="378" t="str">
        <f t="shared" si="21"/>
        <v/>
      </c>
      <c r="AF251" s="329"/>
      <c r="AG251" s="358"/>
      <c r="AH251" s="356" t="str">
        <f t="shared" si="22"/>
        <v/>
      </c>
      <c r="AI251" s="329"/>
      <c r="AJ251" s="329"/>
      <c r="AK251" s="356">
        <f t="shared" si="11"/>
        <v>0</v>
      </c>
      <c r="AL251" s="357"/>
      <c r="AM251" s="358"/>
      <c r="AN251" s="356">
        <f t="shared" si="12"/>
        <v>0</v>
      </c>
      <c r="AO251" s="329"/>
      <c r="AP251" s="358"/>
      <c r="AQ251" s="359">
        <f t="shared" si="13"/>
        <v>0</v>
      </c>
      <c r="AR251" s="360"/>
      <c r="AS251" s="358"/>
      <c r="AT251" s="356">
        <f t="shared" si="14"/>
        <v>0</v>
      </c>
      <c r="AU251" s="329"/>
      <c r="AV251" s="358"/>
      <c r="AW251" s="359">
        <f t="shared" si="15"/>
        <v>0</v>
      </c>
      <c r="AX251" s="329"/>
      <c r="AY251" s="358"/>
      <c r="AZ251" s="359">
        <f t="shared" si="16"/>
        <v>0</v>
      </c>
      <c r="BA251" s="329">
        <f>IF('Degrémont Entrée'!K251="",,('Degrémont Entrée'!K251-I251)/'Degrémont Entrée'!K251*100)</f>
        <v>94.511255010792468</v>
      </c>
      <c r="BB251" s="329">
        <f>IF('Degrémont Entrée'!G251="",,('Degrémont Entrée'!G251-G251)/'Degrémont Entrée'!G251*100)</f>
        <v>99.83393719806763</v>
      </c>
      <c r="BC251" s="329">
        <f>IF('Degrémont Entrée'!S251="",,('Degrémont Entrée'!S251-M251)/'Degrémont Entrée'!S251*100)</f>
        <v>99.728426395939081</v>
      </c>
      <c r="BD251" s="425">
        <f ca="1">IFERROR(__xludf.DUMMYFUNCTION("""COMPUTED_VALUE"""),55.0181818181818)</f>
        <v>55.018181818181802</v>
      </c>
      <c r="BE251" s="386">
        <v>21.8535</v>
      </c>
      <c r="BF251" s="387">
        <v>29.063700000000001</v>
      </c>
      <c r="BG251" s="387">
        <v>25.753</v>
      </c>
      <c r="BH251" s="338">
        <f t="shared" si="17"/>
        <v>54.083104490860165</v>
      </c>
      <c r="BI251" s="364"/>
      <c r="BJ251" s="365"/>
      <c r="BK251" s="366">
        <f>'Degrémont Entrée'!BH251</f>
        <v>0</v>
      </c>
      <c r="BL251" s="367">
        <f>'Degrémont Entrée'!BI251</f>
        <v>0</v>
      </c>
    </row>
    <row r="252" spans="1:64" ht="14.25" outlineLevel="1">
      <c r="A252" s="337">
        <f t="shared" si="18"/>
        <v>43704</v>
      </c>
      <c r="B252" s="338">
        <f>'Degrémont Entrée'!B252</f>
        <v>1213</v>
      </c>
      <c r="C252" s="339">
        <v>8.6300000000000008</v>
      </c>
      <c r="D252" s="340">
        <v>94.3</v>
      </c>
      <c r="E252" s="341">
        <v>94.6</v>
      </c>
      <c r="F252" s="342">
        <v>152</v>
      </c>
      <c r="G252" s="329">
        <f t="shared" si="0"/>
        <v>1.9736842105262971</v>
      </c>
      <c r="H252" s="338"/>
      <c r="I252" s="343">
        <v>253</v>
      </c>
      <c r="J252" s="344">
        <f t="shared" si="2"/>
        <v>306.88900000000001</v>
      </c>
      <c r="K252" s="343">
        <v>1</v>
      </c>
      <c r="L252" s="345">
        <v>1.04</v>
      </c>
      <c r="M252" s="346">
        <f t="shared" si="3"/>
        <v>1.04</v>
      </c>
      <c r="N252" s="338">
        <f t="shared" si="4"/>
        <v>1.26152</v>
      </c>
      <c r="O252" s="341">
        <v>12</v>
      </c>
      <c r="P252" s="347">
        <f t="shared" si="19"/>
        <v>14.555999999999999</v>
      </c>
      <c r="Q252" s="348"/>
      <c r="R252" s="369"/>
      <c r="S252" s="349">
        <f t="shared" si="20"/>
        <v>0</v>
      </c>
      <c r="T252" s="348"/>
      <c r="U252" s="369"/>
      <c r="V252" s="349">
        <f t="shared" si="5"/>
        <v>0</v>
      </c>
      <c r="W252" s="348"/>
      <c r="X252" s="318">
        <f t="shared" si="6"/>
        <v>12</v>
      </c>
      <c r="Y252" s="370">
        <f t="shared" si="7"/>
        <v>14.555999999999999</v>
      </c>
      <c r="Z252" s="343" t="s">
        <v>85</v>
      </c>
      <c r="AA252" s="345">
        <v>0.01</v>
      </c>
      <c r="AB252" s="352">
        <f t="shared" si="8"/>
        <v>6.0650000000000001E-3</v>
      </c>
      <c r="AC252" s="353"/>
      <c r="AD252" s="354"/>
      <c r="AE252" s="378" t="str">
        <f t="shared" si="21"/>
        <v/>
      </c>
      <c r="AF252" s="329"/>
      <c r="AG252" s="355">
        <v>0.67</v>
      </c>
      <c r="AH252" s="356">
        <f t="shared" si="22"/>
        <v>4.4307100000000004</v>
      </c>
      <c r="AI252" s="329"/>
      <c r="AJ252" s="345">
        <v>0.68</v>
      </c>
      <c r="AK252" s="356">
        <f t="shared" si="11"/>
        <v>0.82484000000000002</v>
      </c>
      <c r="AL252" s="357"/>
      <c r="AM252" s="355">
        <v>0.04</v>
      </c>
      <c r="AN252" s="356">
        <f t="shared" si="12"/>
        <v>4.8520000000000001E-2</v>
      </c>
      <c r="AO252" s="329"/>
      <c r="AP252" s="355">
        <v>0.08</v>
      </c>
      <c r="AQ252" s="359">
        <f t="shared" si="13"/>
        <v>9.7040000000000001E-2</v>
      </c>
      <c r="AR252" s="360"/>
      <c r="AS252" s="355">
        <v>0.4</v>
      </c>
      <c r="AT252" s="356">
        <f t="shared" si="14"/>
        <v>0.48520000000000002</v>
      </c>
      <c r="AU252" s="345" t="s">
        <v>85</v>
      </c>
      <c r="AV252" s="355">
        <v>0.15</v>
      </c>
      <c r="AW252" s="359">
        <f t="shared" si="15"/>
        <v>9.0975E-2</v>
      </c>
      <c r="AX252" s="345" t="s">
        <v>85</v>
      </c>
      <c r="AY252" s="355">
        <v>0.13</v>
      </c>
      <c r="AZ252" s="359">
        <f t="shared" si="16"/>
        <v>7.8844999999999998E-2</v>
      </c>
      <c r="BA252" s="329">
        <f>IF('Degrémont Entrée'!K252="",,('Degrémont Entrée'!K252-I252)/'Degrémont Entrée'!K252*100)</f>
        <v>95.394976337823081</v>
      </c>
      <c r="BB252" s="329">
        <f>IF('Degrémont Entrée'!G252="",,('Degrémont Entrée'!G252-G252)/'Degrémont Entrée'!G252*100)</f>
        <v>99.96855650154798</v>
      </c>
      <c r="BC252" s="329">
        <f>IF('Degrémont Entrée'!S252="",,('Degrémont Entrée'!S252-M252)/'Degrémont Entrée'!S252*100)</f>
        <v>99.715846994535511</v>
      </c>
      <c r="BD252" s="425">
        <f ca="1">IFERROR(__xludf.DUMMYFUNCTION("""COMPUTED_VALUE"""),54.5)</f>
        <v>54.5</v>
      </c>
      <c r="BE252" s="362"/>
      <c r="BF252" s="363"/>
      <c r="BG252" s="363"/>
      <c r="BH252" s="338">
        <f t="shared" si="17"/>
        <v>0</v>
      </c>
      <c r="BI252" s="364"/>
      <c r="BJ252" s="365"/>
      <c r="BK252" s="371">
        <f>'Degrémont Entrée'!BH252</f>
        <v>0</v>
      </c>
      <c r="BL252" s="372">
        <f>'Degrémont Entrée'!BI252</f>
        <v>0</v>
      </c>
    </row>
    <row r="253" spans="1:64" ht="15.75" customHeight="1" outlineLevel="1">
      <c r="A253" s="337">
        <f t="shared" si="18"/>
        <v>43705</v>
      </c>
      <c r="B253" s="338">
        <f>'Degrémont Entrée'!B253</f>
        <v>990</v>
      </c>
      <c r="C253" s="339">
        <v>8.75</v>
      </c>
      <c r="D253" s="340">
        <v>90</v>
      </c>
      <c r="E253" s="341">
        <v>91.3</v>
      </c>
      <c r="F253" s="342">
        <v>156</v>
      </c>
      <c r="G253" s="329">
        <f t="shared" si="0"/>
        <v>8.3333333333333162</v>
      </c>
      <c r="H253" s="338"/>
      <c r="I253" s="343">
        <v>220</v>
      </c>
      <c r="J253" s="344">
        <f t="shared" si="2"/>
        <v>217.8</v>
      </c>
      <c r="K253" s="343">
        <v>1</v>
      </c>
      <c r="L253" s="345">
        <v>1.07</v>
      </c>
      <c r="M253" s="346">
        <f t="shared" si="3"/>
        <v>1.07</v>
      </c>
      <c r="N253" s="338">
        <f t="shared" si="4"/>
        <v>1.0592999999999999</v>
      </c>
      <c r="O253" s="368"/>
      <c r="P253" s="347">
        <f t="shared" si="19"/>
        <v>0</v>
      </c>
      <c r="Q253" s="348"/>
      <c r="R253" s="369"/>
      <c r="S253" s="349">
        <f t="shared" si="20"/>
        <v>0</v>
      </c>
      <c r="T253" s="348"/>
      <c r="U253" s="369"/>
      <c r="V253" s="349">
        <f t="shared" si="5"/>
        <v>0</v>
      </c>
      <c r="W253" s="348"/>
      <c r="X253" s="318" t="str">
        <f t="shared" si="6"/>
        <v/>
      </c>
      <c r="Y253" s="370" t="e">
        <f t="shared" si="7"/>
        <v>#VALUE!</v>
      </c>
      <c r="Z253" s="343" t="s">
        <v>85</v>
      </c>
      <c r="AA253" s="345">
        <v>0.01</v>
      </c>
      <c r="AB253" s="352">
        <f t="shared" si="8"/>
        <v>4.9500000000000004E-3</v>
      </c>
      <c r="AC253" s="353"/>
      <c r="AD253" s="354"/>
      <c r="AE253" s="378" t="str">
        <f t="shared" si="21"/>
        <v/>
      </c>
      <c r="AF253" s="329"/>
      <c r="AG253" s="358"/>
      <c r="AH253" s="356" t="str">
        <f t="shared" si="22"/>
        <v/>
      </c>
      <c r="AI253" s="329"/>
      <c r="AJ253" s="329"/>
      <c r="AK253" s="356">
        <f t="shared" si="11"/>
        <v>0</v>
      </c>
      <c r="AL253" s="357"/>
      <c r="AM253" s="358"/>
      <c r="AN253" s="356">
        <f t="shared" si="12"/>
        <v>0</v>
      </c>
      <c r="AO253" s="329"/>
      <c r="AP253" s="358"/>
      <c r="AQ253" s="359">
        <f t="shared" si="13"/>
        <v>0</v>
      </c>
      <c r="AR253" s="360"/>
      <c r="AS253" s="358"/>
      <c r="AT253" s="356">
        <f t="shared" si="14"/>
        <v>0</v>
      </c>
      <c r="AU253" s="329"/>
      <c r="AV253" s="358"/>
      <c r="AW253" s="359">
        <f t="shared" si="15"/>
        <v>0</v>
      </c>
      <c r="AX253" s="329"/>
      <c r="AY253" s="358"/>
      <c r="AZ253" s="359">
        <f t="shared" si="16"/>
        <v>0</v>
      </c>
      <c r="BA253" s="329">
        <f>IF('Degrémont Entrée'!K253="",,('Degrémont Entrée'!K253-I253)/'Degrémont Entrée'!K253*100)</f>
        <v>96.036750135110793</v>
      </c>
      <c r="BB253" s="329">
        <f>IF('Degrémont Entrée'!G253="",,('Degrémont Entrée'!G253-G253)/'Degrémont Entrée'!G253*100)</f>
        <v>99.875192012288792</v>
      </c>
      <c r="BC253" s="329">
        <f>IF('Degrémont Entrée'!S253="",,('Degrémont Entrée'!S253-M253)/'Degrémont Entrée'!S253*100)</f>
        <v>99.480582524271838</v>
      </c>
      <c r="BD253" s="425">
        <f ca="1">IFERROR(__xludf.DUMMYFUNCTION("""COMPUTED_VALUE"""),53.5)</f>
        <v>53.5</v>
      </c>
      <c r="BE253" s="362"/>
      <c r="BF253" s="363"/>
      <c r="BG253" s="363"/>
      <c r="BH253" s="338">
        <f t="shared" si="17"/>
        <v>0</v>
      </c>
      <c r="BI253" s="364"/>
      <c r="BJ253" s="365"/>
      <c r="BK253" s="366">
        <f>'Degrémont Entrée'!BH253</f>
        <v>0</v>
      </c>
      <c r="BL253" s="367">
        <f>'Degrémont Entrée'!BI253</f>
        <v>0</v>
      </c>
    </row>
    <row r="254" spans="1:64" ht="14.25" outlineLevel="1">
      <c r="A254" s="337">
        <f t="shared" si="18"/>
        <v>43706</v>
      </c>
      <c r="B254" s="338">
        <f>'Degrémont Entrée'!B254</f>
        <v>952</v>
      </c>
      <c r="C254" s="339">
        <v>8.16</v>
      </c>
      <c r="D254" s="340">
        <v>88.2</v>
      </c>
      <c r="E254" s="341">
        <v>91.3</v>
      </c>
      <c r="F254" s="342">
        <v>200</v>
      </c>
      <c r="G254" s="329">
        <f t="shared" si="0"/>
        <v>15.499999999999973</v>
      </c>
      <c r="H254" s="338"/>
      <c r="I254" s="343">
        <v>174</v>
      </c>
      <c r="J254" s="344">
        <f t="shared" si="2"/>
        <v>165.648</v>
      </c>
      <c r="K254" s="343">
        <v>1</v>
      </c>
      <c r="L254" s="345">
        <v>1.59</v>
      </c>
      <c r="M254" s="346">
        <f t="shared" si="3"/>
        <v>1.59</v>
      </c>
      <c r="N254" s="338">
        <f t="shared" si="4"/>
        <v>1.5136800000000001</v>
      </c>
      <c r="O254" s="368"/>
      <c r="P254" s="347">
        <f t="shared" si="19"/>
        <v>0</v>
      </c>
      <c r="Q254" s="348"/>
      <c r="R254" s="369"/>
      <c r="S254" s="349">
        <f t="shared" si="20"/>
        <v>0</v>
      </c>
      <c r="T254" s="348"/>
      <c r="U254" s="369"/>
      <c r="V254" s="349">
        <f t="shared" si="5"/>
        <v>0</v>
      </c>
      <c r="W254" s="348"/>
      <c r="X254" s="318" t="str">
        <f t="shared" si="6"/>
        <v/>
      </c>
      <c r="Y254" s="370" t="e">
        <f t="shared" si="7"/>
        <v>#VALUE!</v>
      </c>
      <c r="Z254" s="343" t="s">
        <v>85</v>
      </c>
      <c r="AA254" s="345">
        <v>0.01</v>
      </c>
      <c r="AB254" s="352">
        <f t="shared" si="8"/>
        <v>4.7599999999999995E-3</v>
      </c>
      <c r="AC254" s="353"/>
      <c r="AD254" s="354"/>
      <c r="AE254" s="378" t="str">
        <f t="shared" si="21"/>
        <v/>
      </c>
      <c r="AF254" s="329"/>
      <c r="AG254" s="358"/>
      <c r="AH254" s="356" t="str">
        <f t="shared" si="22"/>
        <v/>
      </c>
      <c r="AI254" s="329"/>
      <c r="AJ254" s="329"/>
      <c r="AK254" s="356">
        <f t="shared" si="11"/>
        <v>0</v>
      </c>
      <c r="AL254" s="357"/>
      <c r="AM254" s="358"/>
      <c r="AN254" s="356">
        <f t="shared" si="12"/>
        <v>0</v>
      </c>
      <c r="AO254" s="329"/>
      <c r="AP254" s="358"/>
      <c r="AQ254" s="359">
        <f t="shared" si="13"/>
        <v>0</v>
      </c>
      <c r="AR254" s="360"/>
      <c r="AS254" s="358"/>
      <c r="AT254" s="356">
        <f t="shared" si="14"/>
        <v>0</v>
      </c>
      <c r="AU254" s="329"/>
      <c r="AV254" s="358"/>
      <c r="AW254" s="359">
        <f t="shared" si="15"/>
        <v>0</v>
      </c>
      <c r="AX254" s="329"/>
      <c r="AY254" s="358"/>
      <c r="AZ254" s="359">
        <f t="shared" si="16"/>
        <v>0</v>
      </c>
      <c r="BA254" s="329">
        <f>IF('Degrémont Entrée'!K254="",,('Degrémont Entrée'!K254-I254)/'Degrémont Entrée'!K254*100)</f>
        <v>96.773595401446329</v>
      </c>
      <c r="BB254" s="329">
        <f>IF('Degrémont Entrée'!G254="",,('Degrémont Entrée'!G254-G254)/'Degrémont Entrée'!G254*100)</f>
        <v>99.749865519096289</v>
      </c>
      <c r="BC254" s="329">
        <f>IF('Degrémont Entrée'!S254="",,('Degrémont Entrée'!S254-M254)/'Degrémont Entrée'!S254*100)</f>
        <v>99.537790697674424</v>
      </c>
      <c r="BD254" s="425">
        <f ca="1">IFERROR(__xludf.DUMMYFUNCTION("""COMPUTED_VALUE"""),52.8222222222222)</f>
        <v>52.822222222222202</v>
      </c>
      <c r="BE254" s="362"/>
      <c r="BF254" s="363"/>
      <c r="BG254" s="363"/>
      <c r="BH254" s="338">
        <f t="shared" si="17"/>
        <v>0</v>
      </c>
      <c r="BI254" s="364"/>
      <c r="BJ254" s="365"/>
      <c r="BK254" s="371">
        <f>'Degrémont Entrée'!BH254</f>
        <v>0</v>
      </c>
      <c r="BL254" s="372">
        <f>'Degrémont Entrée'!BI254</f>
        <v>0</v>
      </c>
    </row>
    <row r="255" spans="1:64" ht="15.75" customHeight="1" outlineLevel="1">
      <c r="A255" s="337">
        <f t="shared" si="18"/>
        <v>43707</v>
      </c>
      <c r="B255" s="338">
        <f>'Degrémont Entrée'!B255</f>
        <v>1082</v>
      </c>
      <c r="C255" s="339">
        <v>8.6300000000000008</v>
      </c>
      <c r="D255" s="340">
        <v>86</v>
      </c>
      <c r="E255" s="341">
        <v>89.2</v>
      </c>
      <c r="F255" s="342">
        <v>250</v>
      </c>
      <c r="G255" s="329">
        <f t="shared" si="0"/>
        <v>12.800000000000011</v>
      </c>
      <c r="H255" s="338"/>
      <c r="I255" s="343">
        <v>159</v>
      </c>
      <c r="J255" s="344">
        <f t="shared" si="2"/>
        <v>172.03800000000001</v>
      </c>
      <c r="K255" s="343">
        <v>1</v>
      </c>
      <c r="L255" s="345">
        <v>1.39</v>
      </c>
      <c r="M255" s="346">
        <f t="shared" si="3"/>
        <v>1.39</v>
      </c>
      <c r="N255" s="338">
        <f t="shared" si="4"/>
        <v>1.5039799999999999</v>
      </c>
      <c r="O255" s="368"/>
      <c r="P255" s="347">
        <f t="shared" si="19"/>
        <v>0</v>
      </c>
      <c r="Q255" s="348"/>
      <c r="R255" s="369"/>
      <c r="S255" s="349">
        <f t="shared" si="20"/>
        <v>0</v>
      </c>
      <c r="T255" s="348"/>
      <c r="U255" s="369"/>
      <c r="V255" s="349">
        <f t="shared" si="5"/>
        <v>0</v>
      </c>
      <c r="W255" s="348"/>
      <c r="X255" s="318" t="str">
        <f t="shared" si="6"/>
        <v/>
      </c>
      <c r="Y255" s="370" t="e">
        <f t="shared" si="7"/>
        <v>#VALUE!</v>
      </c>
      <c r="Z255" s="343" t="s">
        <v>85</v>
      </c>
      <c r="AA255" s="345">
        <v>0.01</v>
      </c>
      <c r="AB255" s="352">
        <f t="shared" si="8"/>
        <v>5.4099999999999999E-3</v>
      </c>
      <c r="AC255" s="353"/>
      <c r="AD255" s="354"/>
      <c r="AE255" s="378" t="str">
        <f t="shared" si="21"/>
        <v/>
      </c>
      <c r="AF255" s="329"/>
      <c r="AG255" s="358"/>
      <c r="AH255" s="356" t="str">
        <f t="shared" si="22"/>
        <v/>
      </c>
      <c r="AI255" s="329"/>
      <c r="AJ255" s="329"/>
      <c r="AK255" s="356">
        <f t="shared" si="11"/>
        <v>0</v>
      </c>
      <c r="AL255" s="357"/>
      <c r="AM255" s="358"/>
      <c r="AN255" s="356">
        <f t="shared" si="12"/>
        <v>0</v>
      </c>
      <c r="AO255" s="329"/>
      <c r="AP255" s="358"/>
      <c r="AQ255" s="359">
        <f t="shared" si="13"/>
        <v>0</v>
      </c>
      <c r="AR255" s="360"/>
      <c r="AS255" s="358"/>
      <c r="AT255" s="356">
        <f t="shared" si="14"/>
        <v>0</v>
      </c>
      <c r="AU255" s="329"/>
      <c r="AV255" s="358"/>
      <c r="AW255" s="359">
        <f t="shared" si="15"/>
        <v>0</v>
      </c>
      <c r="AX255" s="329"/>
      <c r="AY255" s="358"/>
      <c r="AZ255" s="359">
        <f t="shared" si="16"/>
        <v>0</v>
      </c>
      <c r="BA255" s="329">
        <f>IF('Degrémont Entrée'!K255="",,('Degrémont Entrée'!K255-I255)/'Degrémont Entrée'!K255*100)</f>
        <v>95.583333333333329</v>
      </c>
      <c r="BB255" s="329">
        <f>IF('Degrémont Entrée'!G255="",,('Degrémont Entrée'!G255-G255)/'Degrémont Entrée'!G255*100)</f>
        <v>99.733555370524556</v>
      </c>
      <c r="BC255" s="329">
        <f>IF('Degrémont Entrée'!S255="",,('Degrémont Entrée'!S255-M255)/'Degrémont Entrée'!S255*100)</f>
        <v>99.520689655172418</v>
      </c>
      <c r="BD255" s="425">
        <f ca="1">IFERROR(__xludf.DUMMYFUNCTION("""COMPUTED_VALUE"""),52.575)</f>
        <v>52.575000000000003</v>
      </c>
      <c r="BE255" s="362"/>
      <c r="BF255" s="363"/>
      <c r="BG255" s="363"/>
      <c r="BH255" s="338">
        <f t="shared" si="17"/>
        <v>0</v>
      </c>
      <c r="BI255" s="364"/>
      <c r="BJ255" s="365"/>
      <c r="BK255" s="366">
        <f>'Degrémont Entrée'!BH255</f>
        <v>0</v>
      </c>
      <c r="BL255" s="367">
        <f>'Degrémont Entrée'!BI255</f>
        <v>0</v>
      </c>
    </row>
    <row r="256" spans="1:64" ht="14.25" outlineLevel="1">
      <c r="A256" s="337">
        <f t="shared" si="18"/>
        <v>43708</v>
      </c>
      <c r="B256" s="338">
        <f>'Degrémont Entrée'!B256</f>
        <v>672</v>
      </c>
      <c r="C256" s="339">
        <v>8.48</v>
      </c>
      <c r="D256" s="340">
        <v>88.9</v>
      </c>
      <c r="E256" s="341">
        <v>93.5</v>
      </c>
      <c r="F256" s="342">
        <v>250</v>
      </c>
      <c r="G256" s="329">
        <f t="shared" si="0"/>
        <v>18.399999999999977</v>
      </c>
      <c r="H256" s="338"/>
      <c r="I256" s="343">
        <v>226</v>
      </c>
      <c r="J256" s="344">
        <f t="shared" si="2"/>
        <v>151.87200000000001</v>
      </c>
      <c r="K256" s="343">
        <v>1</v>
      </c>
      <c r="L256" s="345">
        <v>1.68</v>
      </c>
      <c r="M256" s="346">
        <f t="shared" si="3"/>
        <v>1.68</v>
      </c>
      <c r="N256" s="338">
        <f t="shared" si="4"/>
        <v>1.12896</v>
      </c>
      <c r="O256" s="368"/>
      <c r="P256" s="347">
        <f t="shared" si="19"/>
        <v>0</v>
      </c>
      <c r="Q256" s="348"/>
      <c r="R256" s="369"/>
      <c r="S256" s="349">
        <f t="shared" si="20"/>
        <v>0</v>
      </c>
      <c r="T256" s="348"/>
      <c r="U256" s="369"/>
      <c r="V256" s="349">
        <f t="shared" si="5"/>
        <v>0</v>
      </c>
      <c r="W256" s="348"/>
      <c r="X256" s="318" t="str">
        <f t="shared" si="6"/>
        <v/>
      </c>
      <c r="Y256" s="370" t="e">
        <f t="shared" si="7"/>
        <v>#VALUE!</v>
      </c>
      <c r="Z256" s="343" t="s">
        <v>85</v>
      </c>
      <c r="AA256" s="345">
        <v>0.01</v>
      </c>
      <c r="AB256" s="352">
        <f t="shared" si="8"/>
        <v>3.3599999999999997E-3</v>
      </c>
      <c r="AC256" s="353"/>
      <c r="AD256" s="354"/>
      <c r="AE256" s="378" t="str">
        <f t="shared" si="21"/>
        <v/>
      </c>
      <c r="AF256" s="329"/>
      <c r="AG256" s="358"/>
      <c r="AH256" s="356" t="str">
        <f t="shared" si="22"/>
        <v/>
      </c>
      <c r="AI256" s="329"/>
      <c r="AJ256" s="329"/>
      <c r="AK256" s="356">
        <f t="shared" si="11"/>
        <v>0</v>
      </c>
      <c r="AL256" s="357"/>
      <c r="AM256" s="358"/>
      <c r="AN256" s="356">
        <f t="shared" si="12"/>
        <v>0</v>
      </c>
      <c r="AO256" s="329"/>
      <c r="AP256" s="358"/>
      <c r="AQ256" s="359">
        <f t="shared" si="13"/>
        <v>0</v>
      </c>
      <c r="AR256" s="360"/>
      <c r="AS256" s="358"/>
      <c r="AT256" s="356">
        <f t="shared" si="14"/>
        <v>0</v>
      </c>
      <c r="AU256" s="329"/>
      <c r="AV256" s="358"/>
      <c r="AW256" s="359">
        <f t="shared" si="15"/>
        <v>0</v>
      </c>
      <c r="AX256" s="329"/>
      <c r="AY256" s="358"/>
      <c r="AZ256" s="359">
        <f t="shared" si="16"/>
        <v>0</v>
      </c>
      <c r="BA256" s="329">
        <f>IF('Degrémont Entrée'!K256="",,('Degrémont Entrée'!K256-I256)/'Degrémont Entrée'!K256*100)</f>
        <v>94.758812615955463</v>
      </c>
      <c r="BB256" s="329">
        <f>IF('Degrémont Entrée'!G256="",,('Degrémont Entrée'!G256-G256)/'Degrémont Entrée'!G256*100)</f>
        <v>99.703034215622992</v>
      </c>
      <c r="BC256" s="329">
        <f>IF('Degrémont Entrée'!S256="",,('Degrémont Entrée'!S256-M256)/'Degrémont Entrée'!S256*100)</f>
        <v>99.53591160220995</v>
      </c>
      <c r="BD256" s="425">
        <f ca="1">IFERROR(__xludf.DUMMYFUNCTION("""COMPUTED_VALUE"""),46)</f>
        <v>46</v>
      </c>
      <c r="BE256" s="386">
        <v>21.8537</v>
      </c>
      <c r="BF256" s="387">
        <v>29.098600000000001</v>
      </c>
      <c r="BG256" s="387">
        <v>26.1371</v>
      </c>
      <c r="BH256" s="338">
        <f t="shared" si="17"/>
        <v>59.122969261135417</v>
      </c>
      <c r="BI256" s="364"/>
      <c r="BJ256" s="365"/>
      <c r="BK256" s="371">
        <f>'Degrémont Entrée'!BH256</f>
        <v>0</v>
      </c>
      <c r="BL256" s="372">
        <f>'Degrémont Entrée'!BI256</f>
        <v>0</v>
      </c>
    </row>
    <row r="257" spans="1:64" ht="15.75" customHeight="1" outlineLevel="1">
      <c r="A257" s="337">
        <f t="shared" si="18"/>
        <v>43709</v>
      </c>
      <c r="B257" s="338">
        <f>'Degrémont Entrée'!B257</f>
        <v>0</v>
      </c>
      <c r="C257" s="338"/>
      <c r="D257" s="388"/>
      <c r="E257" s="368"/>
      <c r="F257" s="357"/>
      <c r="G257" s="329">
        <f t="shared" si="0"/>
        <v>0</v>
      </c>
      <c r="H257" s="338"/>
      <c r="I257" s="346"/>
      <c r="J257" s="344">
        <f t="shared" si="2"/>
        <v>0</v>
      </c>
      <c r="K257" s="343">
        <v>1</v>
      </c>
      <c r="L257" s="329"/>
      <c r="M257" s="346" t="str">
        <f t="shared" si="3"/>
        <v/>
      </c>
      <c r="N257" s="338" t="e">
        <f t="shared" si="4"/>
        <v>#VALUE!</v>
      </c>
      <c r="O257" s="368"/>
      <c r="P257" s="347">
        <f t="shared" si="19"/>
        <v>0</v>
      </c>
      <c r="Q257" s="348"/>
      <c r="R257" s="369"/>
      <c r="S257" s="349">
        <f t="shared" si="20"/>
        <v>0</v>
      </c>
      <c r="T257" s="348"/>
      <c r="U257" s="369"/>
      <c r="V257" s="349">
        <f t="shared" si="5"/>
        <v>0</v>
      </c>
      <c r="W257" s="348"/>
      <c r="X257" s="318" t="str">
        <f t="shared" si="6"/>
        <v/>
      </c>
      <c r="Y257" s="370" t="e">
        <f t="shared" si="7"/>
        <v>#VALUE!</v>
      </c>
      <c r="Z257" s="346"/>
      <c r="AA257" s="329"/>
      <c r="AB257" s="352">
        <f t="shared" si="8"/>
        <v>0</v>
      </c>
      <c r="AC257" s="353"/>
      <c r="AD257" s="354"/>
      <c r="AE257" s="378" t="str">
        <f t="shared" si="21"/>
        <v/>
      </c>
      <c r="AF257" s="329"/>
      <c r="AG257" s="358"/>
      <c r="AH257" s="356" t="str">
        <f t="shared" si="22"/>
        <v/>
      </c>
      <c r="AI257" s="329"/>
      <c r="AJ257" s="329"/>
      <c r="AK257" s="356">
        <f t="shared" si="11"/>
        <v>0</v>
      </c>
      <c r="AL257" s="357"/>
      <c r="AM257" s="358"/>
      <c r="AN257" s="356">
        <f t="shared" si="12"/>
        <v>0</v>
      </c>
      <c r="AO257" s="329"/>
      <c r="AP257" s="358"/>
      <c r="AQ257" s="359">
        <f t="shared" si="13"/>
        <v>0</v>
      </c>
      <c r="AR257" s="360"/>
      <c r="AS257" s="358"/>
      <c r="AT257" s="356">
        <f t="shared" si="14"/>
        <v>0</v>
      </c>
      <c r="AU257" s="329"/>
      <c r="AV257" s="358"/>
      <c r="AW257" s="359">
        <f t="shared" si="15"/>
        <v>0</v>
      </c>
      <c r="AX257" s="329"/>
      <c r="AY257" s="358"/>
      <c r="AZ257" s="359">
        <f t="shared" si="16"/>
        <v>0</v>
      </c>
      <c r="BA257" s="329" t="e">
        <f>IF('Degrémont Entrée'!K257="",,('Degrémont Entrée'!K257-I257)/'Degrémont Entrée'!K257*100)</f>
        <v>#DIV/0!</v>
      </c>
      <c r="BB257" s="329" t="e">
        <f>IF('Degrémont Entrée'!G257="",,('Degrémont Entrée'!G257-G257)/'Degrémont Entrée'!G257*100)</f>
        <v>#DIV/0!</v>
      </c>
      <c r="BC257" s="329">
        <f>IF('Degrémont Entrée'!S257="",,('Degrémont Entrée'!S257-M257)/'Degrémont Entrée'!S257*100)</f>
        <v>0</v>
      </c>
      <c r="BD257" s="425" t="str">
        <f ca="1">IFERROR(__xludf.DUMMYFUNCTION("""COMPUTED_VALUE"""),"#DIV/0!")</f>
        <v>#DIV/0!</v>
      </c>
      <c r="BE257" s="362"/>
      <c r="BF257" s="363"/>
      <c r="BG257" s="363"/>
      <c r="BH257" s="338">
        <f t="shared" si="17"/>
        <v>0</v>
      </c>
      <c r="BI257" s="364"/>
      <c r="BJ257" s="365"/>
      <c r="BK257" s="366">
        <f>'Degrémont Entrée'!BH257</f>
        <v>0</v>
      </c>
      <c r="BL257" s="367">
        <f>'Degrémont Entrée'!BI257</f>
        <v>0</v>
      </c>
    </row>
    <row r="258" spans="1:64" ht="14.25" outlineLevel="1">
      <c r="A258" s="337">
        <f t="shared" si="18"/>
        <v>43710</v>
      </c>
      <c r="B258" s="338">
        <f>'Degrémont Entrée'!B258</f>
        <v>871</v>
      </c>
      <c r="C258" s="339">
        <v>8.6199999999999992</v>
      </c>
      <c r="D258" s="340">
        <v>89.6</v>
      </c>
      <c r="E258" s="341">
        <v>90.3</v>
      </c>
      <c r="F258" s="342">
        <v>155</v>
      </c>
      <c r="G258" s="329">
        <f t="shared" si="0"/>
        <v>4.5161290322580827</v>
      </c>
      <c r="H258" s="338"/>
      <c r="I258" s="343">
        <v>454</v>
      </c>
      <c r="J258" s="344">
        <f t="shared" si="2"/>
        <v>395.43400000000003</v>
      </c>
      <c r="K258" s="343">
        <v>1</v>
      </c>
      <c r="L258" s="345">
        <v>0.94</v>
      </c>
      <c r="M258" s="346">
        <f t="shared" si="3"/>
        <v>0.94</v>
      </c>
      <c r="N258" s="338">
        <f t="shared" si="4"/>
        <v>0.81874000000000002</v>
      </c>
      <c r="O258" s="368"/>
      <c r="P258" s="347">
        <f t="shared" si="19"/>
        <v>0</v>
      </c>
      <c r="Q258" s="348"/>
      <c r="R258" s="369"/>
      <c r="S258" s="349">
        <f t="shared" si="20"/>
        <v>0</v>
      </c>
      <c r="T258" s="348"/>
      <c r="U258" s="369"/>
      <c r="V258" s="349">
        <f t="shared" si="5"/>
        <v>0</v>
      </c>
      <c r="W258" s="348"/>
      <c r="X258" s="318" t="str">
        <f t="shared" si="6"/>
        <v/>
      </c>
      <c r="Y258" s="370" t="e">
        <f t="shared" si="7"/>
        <v>#VALUE!</v>
      </c>
      <c r="Z258" s="343" t="s">
        <v>85</v>
      </c>
      <c r="AA258" s="345">
        <v>0.01</v>
      </c>
      <c r="AB258" s="352">
        <f t="shared" si="8"/>
        <v>4.3550000000000004E-3</v>
      </c>
      <c r="AC258" s="353"/>
      <c r="AD258" s="354"/>
      <c r="AE258" s="378" t="str">
        <f t="shared" si="21"/>
        <v/>
      </c>
      <c r="AF258" s="329"/>
      <c r="AG258" s="358"/>
      <c r="AH258" s="356" t="str">
        <f t="shared" si="22"/>
        <v/>
      </c>
      <c r="AI258" s="329"/>
      <c r="AJ258" s="329"/>
      <c r="AK258" s="356">
        <f t="shared" si="11"/>
        <v>0</v>
      </c>
      <c r="AL258" s="357"/>
      <c r="AM258" s="358"/>
      <c r="AN258" s="356">
        <f t="shared" si="12"/>
        <v>0</v>
      </c>
      <c r="AO258" s="329"/>
      <c r="AP258" s="358"/>
      <c r="AQ258" s="359">
        <f t="shared" si="13"/>
        <v>0</v>
      </c>
      <c r="AR258" s="360"/>
      <c r="AS258" s="358"/>
      <c r="AT258" s="356">
        <f t="shared" si="14"/>
        <v>0</v>
      </c>
      <c r="AU258" s="329"/>
      <c r="AV258" s="358"/>
      <c r="AW258" s="359">
        <f t="shared" si="15"/>
        <v>0</v>
      </c>
      <c r="AX258" s="329"/>
      <c r="AY258" s="358"/>
      <c r="AZ258" s="359">
        <f t="shared" si="16"/>
        <v>0</v>
      </c>
      <c r="BA258" s="329">
        <f>IF('Degrémont Entrée'!K258="",,('Degrémont Entrée'!K258-I258)/'Degrémont Entrée'!K258*100)</f>
        <v>88.649999999999991</v>
      </c>
      <c r="BB258" s="329">
        <f>IF('Degrémont Entrée'!G258="",,('Degrémont Entrée'!G258-G258)/'Degrémont Entrée'!G258*100)</f>
        <v>99.884847705950392</v>
      </c>
      <c r="BC258" s="329">
        <f>IF('Degrémont Entrée'!S258="",,('Degrémont Entrée'!S258-M258)/'Degrémont Entrée'!S258*100)</f>
        <v>99.641221374045813</v>
      </c>
      <c r="BD258" s="425">
        <f ca="1">IFERROR(__xludf.DUMMYFUNCTION("""COMPUTED_VALUE"""),52.9090909090909)</f>
        <v>52.909090909090899</v>
      </c>
      <c r="BE258" s="362"/>
      <c r="BF258" s="363"/>
      <c r="BG258" s="363"/>
      <c r="BH258" s="338">
        <f t="shared" si="17"/>
        <v>0</v>
      </c>
      <c r="BI258" s="364"/>
      <c r="BJ258" s="365"/>
      <c r="BK258" s="371">
        <f>'Degrémont Entrée'!BH258</f>
        <v>0</v>
      </c>
      <c r="BL258" s="372">
        <f>'Degrémont Entrée'!BI258</f>
        <v>0</v>
      </c>
    </row>
    <row r="259" spans="1:64" ht="15.75" customHeight="1" outlineLevel="1">
      <c r="A259" s="337">
        <f t="shared" si="18"/>
        <v>43711</v>
      </c>
      <c r="B259" s="338">
        <f>'Degrémont Entrée'!B259</f>
        <v>835</v>
      </c>
      <c r="C259" s="339">
        <v>8.64</v>
      </c>
      <c r="D259" s="340">
        <v>88.2</v>
      </c>
      <c r="E259" s="341">
        <v>88.7</v>
      </c>
      <c r="F259" s="342">
        <v>100</v>
      </c>
      <c r="G259" s="329">
        <f t="shared" si="0"/>
        <v>5</v>
      </c>
      <c r="H259" s="338"/>
      <c r="I259" s="343">
        <v>175</v>
      </c>
      <c r="J259" s="344">
        <f t="shared" si="2"/>
        <v>146.125</v>
      </c>
      <c r="K259" s="343">
        <v>1</v>
      </c>
      <c r="L259" s="345">
        <v>0.83</v>
      </c>
      <c r="M259" s="346">
        <f t="shared" si="3"/>
        <v>0.83</v>
      </c>
      <c r="N259" s="338">
        <f t="shared" si="4"/>
        <v>0.69304999999999994</v>
      </c>
      <c r="O259" s="341">
        <v>4.8</v>
      </c>
      <c r="P259" s="347">
        <f t="shared" si="19"/>
        <v>4.008</v>
      </c>
      <c r="Q259" s="348"/>
      <c r="R259" s="369"/>
      <c r="S259" s="349">
        <f t="shared" si="20"/>
        <v>0</v>
      </c>
      <c r="T259" s="348"/>
      <c r="U259" s="369"/>
      <c r="V259" s="349">
        <f t="shared" si="5"/>
        <v>0</v>
      </c>
      <c r="W259" s="348"/>
      <c r="X259" s="318">
        <f t="shared" si="6"/>
        <v>4.8</v>
      </c>
      <c r="Y259" s="370">
        <f t="shared" si="7"/>
        <v>4.008</v>
      </c>
      <c r="Z259" s="346"/>
      <c r="AA259" s="329"/>
      <c r="AB259" s="352">
        <f t="shared" si="8"/>
        <v>0</v>
      </c>
      <c r="AC259" s="353"/>
      <c r="AD259" s="354"/>
      <c r="AE259" s="378" t="str">
        <f t="shared" si="21"/>
        <v/>
      </c>
      <c r="AF259" s="329"/>
      <c r="AG259" s="355">
        <v>0.24</v>
      </c>
      <c r="AH259" s="356">
        <f t="shared" si="22"/>
        <v>1.2964800000000001</v>
      </c>
      <c r="AI259" s="329"/>
      <c r="AJ259" s="345">
        <v>1.1200000000000001</v>
      </c>
      <c r="AK259" s="356">
        <f t="shared" si="11"/>
        <v>0.93520000000000003</v>
      </c>
      <c r="AL259" s="342" t="s">
        <v>85</v>
      </c>
      <c r="AM259" s="355">
        <v>0.03</v>
      </c>
      <c r="AN259" s="356">
        <f t="shared" si="12"/>
        <v>1.2525E-2</v>
      </c>
      <c r="AO259" s="329"/>
      <c r="AP259" s="355">
        <v>0.13</v>
      </c>
      <c r="AQ259" s="359">
        <f t="shared" si="13"/>
        <v>0.10854999999999999</v>
      </c>
      <c r="AR259" s="360"/>
      <c r="AS259" s="355">
        <v>0.9</v>
      </c>
      <c r="AT259" s="356">
        <f t="shared" si="14"/>
        <v>0.75149999999999995</v>
      </c>
      <c r="AU259" s="345" t="s">
        <v>85</v>
      </c>
      <c r="AV259" s="355">
        <v>0.15</v>
      </c>
      <c r="AW259" s="359">
        <f t="shared" si="15"/>
        <v>6.2625E-2</v>
      </c>
      <c r="AX259" s="345" t="s">
        <v>85</v>
      </c>
      <c r="AY259" s="355">
        <v>0.13</v>
      </c>
      <c r="AZ259" s="359">
        <f t="shared" si="16"/>
        <v>5.4274999999999997E-2</v>
      </c>
      <c r="BA259" s="329">
        <f>IF('Degrémont Entrée'!K259="",,('Degrémont Entrée'!K259-I259)/'Degrémont Entrée'!K259*100)</f>
        <v>93.069306930693074</v>
      </c>
      <c r="BB259" s="329">
        <f>IF('Degrémont Entrée'!G259="",,('Degrémont Entrée'!G259-G259)/'Degrémont Entrée'!G259*100)</f>
        <v>99.808714133900111</v>
      </c>
      <c r="BC259" s="329">
        <f>IF('Degrémont Entrée'!S259="",,('Degrémont Entrée'!S259-M259)/'Degrémont Entrée'!S259*100)</f>
        <v>99.526255707762544</v>
      </c>
      <c r="BD259" s="425">
        <f ca="1">IFERROR(__xludf.DUMMYFUNCTION("""COMPUTED_VALUE"""),53.2799999999999)</f>
        <v>53.279999999999902</v>
      </c>
      <c r="BE259" s="362"/>
      <c r="BF259" s="363"/>
      <c r="BG259" s="363"/>
      <c r="BH259" s="338">
        <f t="shared" si="17"/>
        <v>0</v>
      </c>
      <c r="BI259" s="364"/>
      <c r="BJ259" s="365"/>
      <c r="BK259" s="366">
        <f>'Degrémont Entrée'!BH259</f>
        <v>0</v>
      </c>
      <c r="BL259" s="367">
        <f>'Degrémont Entrée'!BI259</f>
        <v>0</v>
      </c>
    </row>
    <row r="260" spans="1:64" ht="14.25" outlineLevel="1">
      <c r="A260" s="337">
        <f t="shared" si="18"/>
        <v>43712</v>
      </c>
      <c r="B260" s="338">
        <f>'Degrémont Entrée'!B260</f>
        <v>1004</v>
      </c>
      <c r="C260" s="339">
        <v>9.09</v>
      </c>
      <c r="D260" s="340">
        <v>89.4</v>
      </c>
      <c r="E260" s="341">
        <v>90.1</v>
      </c>
      <c r="F260" s="342">
        <v>100</v>
      </c>
      <c r="G260" s="329">
        <f t="shared" si="0"/>
        <v>6.9999999999998863</v>
      </c>
      <c r="H260" s="338"/>
      <c r="I260" s="343">
        <v>190</v>
      </c>
      <c r="J260" s="344">
        <f t="shared" si="2"/>
        <v>190.76</v>
      </c>
      <c r="K260" s="343">
        <v>1</v>
      </c>
      <c r="L260" s="345">
        <v>0.7</v>
      </c>
      <c r="M260" s="346">
        <f t="shared" si="3"/>
        <v>0.7</v>
      </c>
      <c r="N260" s="338">
        <f t="shared" si="4"/>
        <v>0.70279999999999998</v>
      </c>
      <c r="O260" s="368"/>
      <c r="P260" s="347">
        <f t="shared" si="19"/>
        <v>0</v>
      </c>
      <c r="Q260" s="348"/>
      <c r="R260" s="369"/>
      <c r="S260" s="349">
        <f t="shared" si="20"/>
        <v>0</v>
      </c>
      <c r="T260" s="348"/>
      <c r="U260" s="369"/>
      <c r="V260" s="349">
        <f t="shared" si="5"/>
        <v>0</v>
      </c>
      <c r="W260" s="348"/>
      <c r="X260" s="318" t="str">
        <f t="shared" si="6"/>
        <v/>
      </c>
      <c r="Y260" s="370" t="e">
        <f t="shared" si="7"/>
        <v>#VALUE!</v>
      </c>
      <c r="Z260" s="343" t="s">
        <v>85</v>
      </c>
      <c r="AA260" s="345">
        <v>0.01</v>
      </c>
      <c r="AB260" s="352">
        <f t="shared" si="8"/>
        <v>5.0200000000000002E-3</v>
      </c>
      <c r="AC260" s="353"/>
      <c r="AD260" s="354"/>
      <c r="AE260" s="378" t="str">
        <f t="shared" si="21"/>
        <v/>
      </c>
      <c r="AF260" s="329"/>
      <c r="AG260" s="358"/>
      <c r="AH260" s="356" t="str">
        <f t="shared" si="22"/>
        <v/>
      </c>
      <c r="AI260" s="329"/>
      <c r="AJ260" s="329"/>
      <c r="AK260" s="356">
        <f t="shared" si="11"/>
        <v>0</v>
      </c>
      <c r="AL260" s="357"/>
      <c r="AM260" s="358"/>
      <c r="AN260" s="356">
        <f t="shared" si="12"/>
        <v>0</v>
      </c>
      <c r="AO260" s="329"/>
      <c r="AP260" s="358"/>
      <c r="AQ260" s="359">
        <f t="shared" si="13"/>
        <v>0</v>
      </c>
      <c r="AR260" s="360"/>
      <c r="AS260" s="358"/>
      <c r="AT260" s="356">
        <f t="shared" si="14"/>
        <v>0</v>
      </c>
      <c r="AU260" s="329"/>
      <c r="AV260" s="358"/>
      <c r="AW260" s="359">
        <f t="shared" si="15"/>
        <v>0</v>
      </c>
      <c r="AX260" s="329"/>
      <c r="AY260" s="358"/>
      <c r="AZ260" s="359">
        <f t="shared" si="16"/>
        <v>0</v>
      </c>
      <c r="BA260" s="329">
        <f>IF('Degrémont Entrée'!K260="",,('Degrémont Entrée'!K260-I260)/'Degrémont Entrée'!K260*100)</f>
        <v>95.588576735546781</v>
      </c>
      <c r="BB260" s="329">
        <f>IF('Degrémont Entrée'!G260="",,('Degrémont Entrée'!G260-G260)/'Degrémont Entrée'!G260*100)</f>
        <v>99.849259757738892</v>
      </c>
      <c r="BC260" s="329">
        <f>IF('Degrémont Entrée'!S260="",,('Degrémont Entrée'!S260-M260)/'Degrémont Entrée'!S260*100)</f>
        <v>99.768211920529808</v>
      </c>
      <c r="BD260" s="425">
        <f ca="1">IFERROR(__xludf.DUMMYFUNCTION("""COMPUTED_VALUE"""),52.6299999999999)</f>
        <v>52.629999999999903</v>
      </c>
      <c r="BE260" s="362"/>
      <c r="BF260" s="363"/>
      <c r="BG260" s="363"/>
      <c r="BH260" s="338">
        <f t="shared" si="17"/>
        <v>0</v>
      </c>
      <c r="BI260" s="364"/>
      <c r="BJ260" s="365"/>
      <c r="BK260" s="371">
        <f>'Degrémont Entrée'!BH260</f>
        <v>0</v>
      </c>
      <c r="BL260" s="372">
        <f>'Degrémont Entrée'!BI260</f>
        <v>0</v>
      </c>
    </row>
    <row r="261" spans="1:64" ht="15.75" customHeight="1" outlineLevel="1">
      <c r="A261" s="337">
        <f t="shared" si="18"/>
        <v>43713</v>
      </c>
      <c r="B261" s="338">
        <f>'Degrémont Entrée'!B261</f>
        <v>771</v>
      </c>
      <c r="C261" s="339">
        <v>8.75</v>
      </c>
      <c r="D261" s="340">
        <v>87.3</v>
      </c>
      <c r="E261" s="341">
        <v>88.5</v>
      </c>
      <c r="F261" s="342">
        <v>100</v>
      </c>
      <c r="G261" s="329">
        <f t="shared" si="0"/>
        <v>12.000000000000027</v>
      </c>
      <c r="H261" s="338"/>
      <c r="I261" s="343">
        <v>878</v>
      </c>
      <c r="J261" s="344">
        <f t="shared" si="2"/>
        <v>676.93799999999999</v>
      </c>
      <c r="K261" s="343">
        <v>1</v>
      </c>
      <c r="L261" s="345">
        <v>0.6</v>
      </c>
      <c r="M261" s="346">
        <f t="shared" si="3"/>
        <v>0.6</v>
      </c>
      <c r="N261" s="338">
        <f t="shared" si="4"/>
        <v>0.46259999999999996</v>
      </c>
      <c r="O261" s="368"/>
      <c r="P261" s="347">
        <f t="shared" si="19"/>
        <v>0</v>
      </c>
      <c r="Q261" s="348"/>
      <c r="R261" s="369"/>
      <c r="S261" s="349">
        <f t="shared" si="20"/>
        <v>0</v>
      </c>
      <c r="T261" s="348"/>
      <c r="U261" s="369"/>
      <c r="V261" s="349">
        <f t="shared" si="5"/>
        <v>0</v>
      </c>
      <c r="W261" s="348"/>
      <c r="X261" s="318" t="str">
        <f t="shared" si="6"/>
        <v/>
      </c>
      <c r="Y261" s="370" t="e">
        <f t="shared" si="7"/>
        <v>#VALUE!</v>
      </c>
      <c r="Z261" s="343" t="s">
        <v>85</v>
      </c>
      <c r="AA261" s="345">
        <v>0.01</v>
      </c>
      <c r="AB261" s="352">
        <f t="shared" si="8"/>
        <v>3.8549999999999999E-3</v>
      </c>
      <c r="AC261" s="353"/>
      <c r="AD261" s="354"/>
      <c r="AE261" s="378" t="str">
        <f t="shared" si="21"/>
        <v/>
      </c>
      <c r="AF261" s="329"/>
      <c r="AG261" s="358"/>
      <c r="AH261" s="356" t="str">
        <f t="shared" si="22"/>
        <v/>
      </c>
      <c r="AI261" s="329"/>
      <c r="AJ261" s="329"/>
      <c r="AK261" s="356">
        <f t="shared" si="11"/>
        <v>0</v>
      </c>
      <c r="AL261" s="357"/>
      <c r="AM261" s="358"/>
      <c r="AN261" s="356">
        <f t="shared" si="12"/>
        <v>0</v>
      </c>
      <c r="AO261" s="329"/>
      <c r="AP261" s="358"/>
      <c r="AQ261" s="359">
        <f t="shared" si="13"/>
        <v>0</v>
      </c>
      <c r="AR261" s="360"/>
      <c r="AS261" s="358"/>
      <c r="AT261" s="356">
        <f t="shared" si="14"/>
        <v>0</v>
      </c>
      <c r="AU261" s="329"/>
      <c r="AV261" s="358"/>
      <c r="AW261" s="359">
        <f t="shared" si="15"/>
        <v>0</v>
      </c>
      <c r="AX261" s="329"/>
      <c r="AY261" s="358"/>
      <c r="AZ261" s="359">
        <f t="shared" si="16"/>
        <v>0</v>
      </c>
      <c r="BA261" s="329">
        <f>IF('Degrémont Entrée'!K261="",,('Degrémont Entrée'!K261-I261)/'Degrémont Entrée'!K261*100)</f>
        <v>89.616840113528852</v>
      </c>
      <c r="BB261" s="329">
        <f>IF('Degrémont Entrée'!G261="",,('Degrémont Entrée'!G261-G261)/'Degrémont Entrée'!G261*100)</f>
        <v>99.902834008097159</v>
      </c>
      <c r="BC261" s="329">
        <f>IF('Degrémont Entrée'!S261="",,('Degrémont Entrée'!S261-M261)/'Degrémont Entrée'!S261*100)</f>
        <v>99.849246231155774</v>
      </c>
      <c r="BD261" s="425">
        <f ca="1">IFERROR(__xludf.DUMMYFUNCTION("""COMPUTED_VALUE"""),52.4875)</f>
        <v>52.487499999999997</v>
      </c>
      <c r="BE261" s="362"/>
      <c r="BF261" s="363"/>
      <c r="BG261" s="363"/>
      <c r="BH261" s="338">
        <f t="shared" si="17"/>
        <v>0</v>
      </c>
      <c r="BI261" s="364"/>
      <c r="BJ261" s="365"/>
      <c r="BK261" s="366">
        <f>'Degrémont Entrée'!BH261</f>
        <v>0</v>
      </c>
      <c r="BL261" s="367">
        <f>'Degrémont Entrée'!BI261</f>
        <v>0</v>
      </c>
    </row>
    <row r="262" spans="1:64" ht="14.25" outlineLevel="1">
      <c r="A262" s="337">
        <f t="shared" si="18"/>
        <v>43714</v>
      </c>
      <c r="B262" s="338">
        <f>'Degrémont Entrée'!B262</f>
        <v>1596</v>
      </c>
      <c r="C262" s="339">
        <v>8.6</v>
      </c>
      <c r="D262" s="340">
        <v>87.3</v>
      </c>
      <c r="E262" s="341">
        <v>88.2</v>
      </c>
      <c r="F262" s="342">
        <v>100</v>
      </c>
      <c r="G262" s="329">
        <f t="shared" si="0"/>
        <v>9.0000000000000568</v>
      </c>
      <c r="H262" s="338"/>
      <c r="I262" s="343">
        <v>212</v>
      </c>
      <c r="J262" s="344">
        <f t="shared" si="2"/>
        <v>338.35199999999998</v>
      </c>
      <c r="K262" s="343">
        <v>1</v>
      </c>
      <c r="L262" s="345">
        <v>0.59</v>
      </c>
      <c r="M262" s="346">
        <f t="shared" si="3"/>
        <v>0.59</v>
      </c>
      <c r="N262" s="338">
        <f t="shared" si="4"/>
        <v>0.94164000000000003</v>
      </c>
      <c r="O262" s="368"/>
      <c r="P262" s="347">
        <f t="shared" si="19"/>
        <v>0</v>
      </c>
      <c r="Q262" s="348"/>
      <c r="R262" s="369"/>
      <c r="S262" s="349">
        <f t="shared" si="20"/>
        <v>0</v>
      </c>
      <c r="T262" s="348"/>
      <c r="U262" s="369"/>
      <c r="V262" s="349">
        <f t="shared" si="5"/>
        <v>0</v>
      </c>
      <c r="W262" s="348"/>
      <c r="X262" s="318" t="str">
        <f t="shared" si="6"/>
        <v/>
      </c>
      <c r="Y262" s="370" t="e">
        <f t="shared" si="7"/>
        <v>#VALUE!</v>
      </c>
      <c r="Z262" s="343" t="s">
        <v>85</v>
      </c>
      <c r="AA262" s="345">
        <v>0.01</v>
      </c>
      <c r="AB262" s="352">
        <f t="shared" si="8"/>
        <v>7.980000000000001E-3</v>
      </c>
      <c r="AC262" s="353"/>
      <c r="AD262" s="354"/>
      <c r="AE262" s="378" t="str">
        <f t="shared" si="21"/>
        <v/>
      </c>
      <c r="AF262" s="329"/>
      <c r="AG262" s="358"/>
      <c r="AH262" s="356" t="str">
        <f t="shared" si="22"/>
        <v/>
      </c>
      <c r="AI262" s="329"/>
      <c r="AJ262" s="329"/>
      <c r="AK262" s="356">
        <f t="shared" si="11"/>
        <v>0</v>
      </c>
      <c r="AL262" s="357"/>
      <c r="AM262" s="358"/>
      <c r="AN262" s="356">
        <f t="shared" si="12"/>
        <v>0</v>
      </c>
      <c r="AO262" s="329"/>
      <c r="AP262" s="358"/>
      <c r="AQ262" s="359">
        <f t="shared" si="13"/>
        <v>0</v>
      </c>
      <c r="AR262" s="360"/>
      <c r="AS262" s="358"/>
      <c r="AT262" s="356">
        <f t="shared" si="14"/>
        <v>0</v>
      </c>
      <c r="AU262" s="329"/>
      <c r="AV262" s="358"/>
      <c r="AW262" s="359">
        <f t="shared" si="15"/>
        <v>0</v>
      </c>
      <c r="AX262" s="329"/>
      <c r="AY262" s="358"/>
      <c r="AZ262" s="359">
        <f t="shared" si="16"/>
        <v>0</v>
      </c>
      <c r="BA262" s="329">
        <f>IF('Degrémont Entrée'!K262="",,('Degrémont Entrée'!K262-I262)/'Degrémont Entrée'!K262*100)</f>
        <v>95.642343268242541</v>
      </c>
      <c r="BB262" s="329">
        <f>IF('Degrémont Entrée'!G262="",,('Degrémont Entrée'!G262-G262)/'Degrémont Entrée'!G262*100)</f>
        <v>99.937470052707226</v>
      </c>
      <c r="BC262" s="329">
        <f>IF('Degrémont Entrée'!S262="",,('Degrémont Entrée'!S262-M262)/'Degrémont Entrée'!S262*100)</f>
        <v>99.895759717314476</v>
      </c>
      <c r="BD262" s="425">
        <f ca="1">IFERROR(__xludf.DUMMYFUNCTION("""COMPUTED_VALUE"""),52.45)</f>
        <v>52.45</v>
      </c>
      <c r="BE262" s="362"/>
      <c r="BF262" s="363"/>
      <c r="BG262" s="363"/>
      <c r="BH262" s="338">
        <f t="shared" si="17"/>
        <v>0</v>
      </c>
      <c r="BI262" s="364"/>
      <c r="BJ262" s="365"/>
      <c r="BK262" s="371">
        <f>'Degrémont Entrée'!BH262</f>
        <v>0</v>
      </c>
      <c r="BL262" s="372">
        <f>'Degrémont Entrée'!BI262</f>
        <v>0</v>
      </c>
    </row>
    <row r="263" spans="1:64" ht="15.75" customHeight="1" outlineLevel="1">
      <c r="A263" s="337">
        <f t="shared" si="18"/>
        <v>43715</v>
      </c>
      <c r="B263" s="338">
        <f>'Degrémont Entrée'!B263</f>
        <v>0</v>
      </c>
      <c r="C263" s="338"/>
      <c r="D263" s="388"/>
      <c r="E263" s="368"/>
      <c r="F263" s="357"/>
      <c r="G263" s="329">
        <f t="shared" si="0"/>
        <v>0</v>
      </c>
      <c r="H263" s="338"/>
      <c r="I263" s="346"/>
      <c r="J263" s="344">
        <f t="shared" si="2"/>
        <v>0</v>
      </c>
      <c r="K263" s="343">
        <v>1</v>
      </c>
      <c r="L263" s="329"/>
      <c r="M263" s="346" t="str">
        <f t="shared" si="3"/>
        <v/>
      </c>
      <c r="N263" s="338" t="e">
        <f t="shared" si="4"/>
        <v>#VALUE!</v>
      </c>
      <c r="O263" s="368"/>
      <c r="P263" s="347">
        <f t="shared" si="19"/>
        <v>0</v>
      </c>
      <c r="Q263" s="348"/>
      <c r="R263" s="369"/>
      <c r="S263" s="349">
        <f t="shared" si="20"/>
        <v>0</v>
      </c>
      <c r="T263" s="348"/>
      <c r="U263" s="369"/>
      <c r="V263" s="349">
        <f t="shared" si="5"/>
        <v>0</v>
      </c>
      <c r="W263" s="348"/>
      <c r="X263" s="318" t="str">
        <f t="shared" si="6"/>
        <v/>
      </c>
      <c r="Y263" s="370" t="e">
        <f t="shared" si="7"/>
        <v>#VALUE!</v>
      </c>
      <c r="Z263" s="346"/>
      <c r="AA263" s="329"/>
      <c r="AB263" s="352">
        <f t="shared" si="8"/>
        <v>0</v>
      </c>
      <c r="AC263" s="353"/>
      <c r="AD263" s="354"/>
      <c r="AE263" s="378" t="str">
        <f t="shared" si="21"/>
        <v/>
      </c>
      <c r="AF263" s="329"/>
      <c r="AG263" s="358"/>
      <c r="AH263" s="356" t="str">
        <f t="shared" si="22"/>
        <v/>
      </c>
      <c r="AI263" s="329"/>
      <c r="AJ263" s="329"/>
      <c r="AK263" s="356">
        <f t="shared" si="11"/>
        <v>0</v>
      </c>
      <c r="AL263" s="357"/>
      <c r="AM263" s="358"/>
      <c r="AN263" s="356">
        <f t="shared" si="12"/>
        <v>0</v>
      </c>
      <c r="AO263" s="329"/>
      <c r="AP263" s="358"/>
      <c r="AQ263" s="359">
        <f t="shared" si="13"/>
        <v>0</v>
      </c>
      <c r="AR263" s="360"/>
      <c r="AS263" s="358"/>
      <c r="AT263" s="356">
        <f t="shared" si="14"/>
        <v>0</v>
      </c>
      <c r="AU263" s="329"/>
      <c r="AV263" s="358"/>
      <c r="AW263" s="359">
        <f t="shared" si="15"/>
        <v>0</v>
      </c>
      <c r="AX263" s="329"/>
      <c r="AY263" s="358"/>
      <c r="AZ263" s="359">
        <f t="shared" si="16"/>
        <v>0</v>
      </c>
      <c r="BA263" s="329" t="e">
        <f>IF('Degrémont Entrée'!K263="",,('Degrémont Entrée'!K263-I263)/'Degrémont Entrée'!K263*100)</f>
        <v>#DIV/0!</v>
      </c>
      <c r="BB263" s="329" t="e">
        <f>IF('Degrémont Entrée'!G263="",,('Degrémont Entrée'!G263-G263)/'Degrémont Entrée'!G263*100)</f>
        <v>#DIV/0!</v>
      </c>
      <c r="BC263" s="329">
        <f>IF('Degrémont Entrée'!S263="",,('Degrémont Entrée'!S263-M263)/'Degrémont Entrée'!S263*100)</f>
        <v>0</v>
      </c>
      <c r="BD263" s="425" t="str">
        <f ca="1">IFERROR(__xludf.DUMMYFUNCTION("""COMPUTED_VALUE"""),"#DIV/0!")</f>
        <v>#DIV/0!</v>
      </c>
      <c r="BE263" s="362"/>
      <c r="BF263" s="363"/>
      <c r="BG263" s="363"/>
      <c r="BH263" s="338">
        <f t="shared" si="17"/>
        <v>0</v>
      </c>
      <c r="BI263" s="364"/>
      <c r="BJ263" s="365"/>
      <c r="BK263" s="366">
        <f>'Degrémont Entrée'!BH263</f>
        <v>0</v>
      </c>
      <c r="BL263" s="367">
        <f>'Degrémont Entrée'!BI263</f>
        <v>0</v>
      </c>
    </row>
    <row r="264" spans="1:64" ht="14.25" outlineLevel="1">
      <c r="A264" s="337">
        <f t="shared" si="18"/>
        <v>43716</v>
      </c>
      <c r="B264" s="338">
        <f>'Degrémont Entrée'!B264</f>
        <v>0</v>
      </c>
      <c r="C264" s="338"/>
      <c r="D264" s="388"/>
      <c r="E264" s="368"/>
      <c r="F264" s="357"/>
      <c r="G264" s="329">
        <f t="shared" si="0"/>
        <v>0</v>
      </c>
      <c r="H264" s="338"/>
      <c r="I264" s="346"/>
      <c r="J264" s="344">
        <f t="shared" si="2"/>
        <v>0</v>
      </c>
      <c r="K264" s="343">
        <v>1</v>
      </c>
      <c r="L264" s="329"/>
      <c r="M264" s="346" t="str">
        <f t="shared" si="3"/>
        <v/>
      </c>
      <c r="N264" s="338" t="e">
        <f t="shared" si="4"/>
        <v>#VALUE!</v>
      </c>
      <c r="O264" s="368"/>
      <c r="P264" s="347">
        <f t="shared" si="19"/>
        <v>0</v>
      </c>
      <c r="Q264" s="348"/>
      <c r="R264" s="369"/>
      <c r="S264" s="349">
        <f t="shared" si="20"/>
        <v>0</v>
      </c>
      <c r="T264" s="348"/>
      <c r="U264" s="369"/>
      <c r="V264" s="349">
        <f t="shared" si="5"/>
        <v>0</v>
      </c>
      <c r="W264" s="348"/>
      <c r="X264" s="318" t="str">
        <f t="shared" si="6"/>
        <v/>
      </c>
      <c r="Y264" s="370" t="e">
        <f t="shared" si="7"/>
        <v>#VALUE!</v>
      </c>
      <c r="Z264" s="346"/>
      <c r="AA264" s="329"/>
      <c r="AB264" s="352">
        <f t="shared" si="8"/>
        <v>0</v>
      </c>
      <c r="AC264" s="353"/>
      <c r="AD264" s="354"/>
      <c r="AE264" s="378" t="str">
        <f t="shared" si="21"/>
        <v/>
      </c>
      <c r="AF264" s="329"/>
      <c r="AG264" s="358"/>
      <c r="AH264" s="356" t="str">
        <f t="shared" si="22"/>
        <v/>
      </c>
      <c r="AI264" s="329"/>
      <c r="AJ264" s="329"/>
      <c r="AK264" s="356">
        <f t="shared" si="11"/>
        <v>0</v>
      </c>
      <c r="AL264" s="357"/>
      <c r="AM264" s="358"/>
      <c r="AN264" s="356">
        <f t="shared" si="12"/>
        <v>0</v>
      </c>
      <c r="AO264" s="329"/>
      <c r="AP264" s="358"/>
      <c r="AQ264" s="359">
        <f t="shared" si="13"/>
        <v>0</v>
      </c>
      <c r="AR264" s="360"/>
      <c r="AS264" s="358"/>
      <c r="AT264" s="356">
        <f t="shared" si="14"/>
        <v>0</v>
      </c>
      <c r="AU264" s="329"/>
      <c r="AV264" s="358"/>
      <c r="AW264" s="359">
        <f t="shared" si="15"/>
        <v>0</v>
      </c>
      <c r="AX264" s="329"/>
      <c r="AY264" s="358"/>
      <c r="AZ264" s="359">
        <f t="shared" si="16"/>
        <v>0</v>
      </c>
      <c r="BA264" s="329" t="e">
        <f>IF('Degrémont Entrée'!K264="",,('Degrémont Entrée'!K264-I264)/'Degrémont Entrée'!K264*100)</f>
        <v>#DIV/0!</v>
      </c>
      <c r="BB264" s="329" t="e">
        <f>IF('Degrémont Entrée'!G264="",,('Degrémont Entrée'!G264-G264)/'Degrémont Entrée'!G264*100)</f>
        <v>#DIV/0!</v>
      </c>
      <c r="BC264" s="329">
        <f>IF('Degrémont Entrée'!S264="",,('Degrémont Entrée'!S264-M264)/'Degrémont Entrée'!S264*100)</f>
        <v>0</v>
      </c>
      <c r="BD264" s="425" t="str">
        <f ca="1">IFERROR(__xludf.DUMMYFUNCTION("""COMPUTED_VALUE"""),"#DIV/0!")</f>
        <v>#DIV/0!</v>
      </c>
      <c r="BE264" s="362"/>
      <c r="BF264" s="363"/>
      <c r="BG264" s="363"/>
      <c r="BH264" s="338">
        <f t="shared" si="17"/>
        <v>0</v>
      </c>
      <c r="BI264" s="364"/>
      <c r="BJ264" s="365"/>
      <c r="BK264" s="371">
        <f>'Degrémont Entrée'!BH264</f>
        <v>0</v>
      </c>
      <c r="BL264" s="372">
        <f>'Degrémont Entrée'!BI264</f>
        <v>0</v>
      </c>
    </row>
    <row r="265" spans="1:64" ht="15.75" customHeight="1" outlineLevel="1">
      <c r="A265" s="337">
        <f t="shared" si="18"/>
        <v>43717</v>
      </c>
      <c r="B265" s="338">
        <f>'Degrémont Entrée'!B265</f>
        <v>808</v>
      </c>
      <c r="C265" s="339">
        <v>8.61</v>
      </c>
      <c r="D265" s="340">
        <v>87.8</v>
      </c>
      <c r="E265" s="341">
        <v>89</v>
      </c>
      <c r="F265" s="342">
        <v>100</v>
      </c>
      <c r="G265" s="329">
        <f t="shared" si="0"/>
        <v>12.000000000000027</v>
      </c>
      <c r="H265" s="338"/>
      <c r="I265" s="343">
        <v>531</v>
      </c>
      <c r="J265" s="344">
        <f t="shared" si="2"/>
        <v>429.048</v>
      </c>
      <c r="K265" s="343">
        <v>1</v>
      </c>
      <c r="L265" s="345">
        <v>0.56000000000000005</v>
      </c>
      <c r="M265" s="346">
        <f t="shared" si="3"/>
        <v>0.56000000000000005</v>
      </c>
      <c r="N265" s="338">
        <f t="shared" si="4"/>
        <v>0.45247999999999999</v>
      </c>
      <c r="O265" s="368"/>
      <c r="P265" s="347">
        <f t="shared" si="19"/>
        <v>0</v>
      </c>
      <c r="Q265" s="348"/>
      <c r="R265" s="369"/>
      <c r="S265" s="349">
        <f t="shared" si="20"/>
        <v>0</v>
      </c>
      <c r="T265" s="348"/>
      <c r="U265" s="369"/>
      <c r="V265" s="349">
        <f t="shared" si="5"/>
        <v>0</v>
      </c>
      <c r="W265" s="348"/>
      <c r="X265" s="318" t="str">
        <f t="shared" si="6"/>
        <v/>
      </c>
      <c r="Y265" s="370" t="e">
        <f t="shared" si="7"/>
        <v>#VALUE!</v>
      </c>
      <c r="Z265" s="343" t="s">
        <v>85</v>
      </c>
      <c r="AA265" s="345">
        <v>0.02</v>
      </c>
      <c r="AB265" s="352">
        <f t="shared" si="8"/>
        <v>8.0800000000000004E-3</v>
      </c>
      <c r="AC265" s="353"/>
      <c r="AD265" s="354"/>
      <c r="AE265" s="378" t="str">
        <f t="shared" si="21"/>
        <v/>
      </c>
      <c r="AF265" s="329"/>
      <c r="AG265" s="358"/>
      <c r="AH265" s="356" t="str">
        <f t="shared" si="22"/>
        <v/>
      </c>
      <c r="AI265" s="329"/>
      <c r="AJ265" s="329"/>
      <c r="AK265" s="356">
        <f t="shared" si="11"/>
        <v>0</v>
      </c>
      <c r="AL265" s="357"/>
      <c r="AM265" s="358"/>
      <c r="AN265" s="356">
        <f t="shared" si="12"/>
        <v>0</v>
      </c>
      <c r="AO265" s="329"/>
      <c r="AP265" s="358"/>
      <c r="AQ265" s="359">
        <f t="shared" si="13"/>
        <v>0</v>
      </c>
      <c r="AR265" s="360"/>
      <c r="AS265" s="358"/>
      <c r="AT265" s="356">
        <f t="shared" si="14"/>
        <v>0</v>
      </c>
      <c r="AU265" s="329"/>
      <c r="AV265" s="358"/>
      <c r="AW265" s="359">
        <f t="shared" si="15"/>
        <v>0</v>
      </c>
      <c r="AX265" s="329"/>
      <c r="AY265" s="358"/>
      <c r="AZ265" s="359">
        <f t="shared" si="16"/>
        <v>0</v>
      </c>
      <c r="BA265" s="329">
        <f>IF('Degrémont Entrée'!K265="",,('Degrémont Entrée'!K265-I265)/'Degrémont Entrée'!K265*100)</f>
        <v>93.327469213370193</v>
      </c>
      <c r="BB265" s="329">
        <f>IF('Degrémont Entrée'!G265="",,('Degrémont Entrée'!G265-G265)/'Degrémont Entrée'!G265*100)</f>
        <v>99.880124009645201</v>
      </c>
      <c r="BC265" s="329">
        <f>IF('Degrémont Entrée'!S265="",,('Degrémont Entrée'!S265-M265)/'Degrémont Entrée'!S265*100)</f>
        <v>99.890625</v>
      </c>
      <c r="BD265" s="425">
        <f ca="1">IFERROR(__xludf.DUMMYFUNCTION("""COMPUTED_VALUE"""),52.3099999999999)</f>
        <v>52.309999999999903</v>
      </c>
      <c r="BE265" s="386">
        <v>21.853899999999999</v>
      </c>
      <c r="BF265" s="387">
        <v>25.573599999999999</v>
      </c>
      <c r="BG265" s="387">
        <v>23.843800000000002</v>
      </c>
      <c r="BH265" s="338">
        <f t="shared" si="17"/>
        <v>53.496249697556323</v>
      </c>
      <c r="BI265" s="364"/>
      <c r="BJ265" s="365"/>
      <c r="BK265" s="366">
        <f>'Degrémont Entrée'!BH265</f>
        <v>0</v>
      </c>
      <c r="BL265" s="367">
        <f>'Degrémont Entrée'!BI265</f>
        <v>0</v>
      </c>
    </row>
    <row r="266" spans="1:64" ht="14.25" outlineLevel="1">
      <c r="A266" s="337">
        <f t="shared" si="18"/>
        <v>43718</v>
      </c>
      <c r="B266" s="338">
        <f>'Degrémont Entrée'!B266</f>
        <v>1192</v>
      </c>
      <c r="C266" s="339">
        <v>8.7799999999999994</v>
      </c>
      <c r="D266" s="340">
        <v>88.9</v>
      </c>
      <c r="E266" s="341">
        <v>89.5</v>
      </c>
      <c r="F266" s="342">
        <v>100</v>
      </c>
      <c r="G266" s="329">
        <f t="shared" si="0"/>
        <v>5.9999999999999432</v>
      </c>
      <c r="H266" s="338"/>
      <c r="I266" s="343">
        <v>364</v>
      </c>
      <c r="J266" s="344">
        <f t="shared" si="2"/>
        <v>433.88799999999998</v>
      </c>
      <c r="K266" s="343">
        <v>1</v>
      </c>
      <c r="L266" s="345">
        <v>0.47</v>
      </c>
      <c r="M266" s="346">
        <f t="shared" si="3"/>
        <v>0.47</v>
      </c>
      <c r="N266" s="338">
        <f t="shared" si="4"/>
        <v>0.56023999999999996</v>
      </c>
      <c r="O266" s="341">
        <v>5.6</v>
      </c>
      <c r="P266" s="347">
        <f t="shared" si="19"/>
        <v>6.6752000000000002</v>
      </c>
      <c r="Q266" s="348"/>
      <c r="R266" s="369"/>
      <c r="S266" s="349">
        <f t="shared" si="20"/>
        <v>0</v>
      </c>
      <c r="T266" s="348"/>
      <c r="U266" s="369"/>
      <c r="V266" s="349">
        <f t="shared" si="5"/>
        <v>0</v>
      </c>
      <c r="W266" s="348"/>
      <c r="X266" s="318">
        <f t="shared" si="6"/>
        <v>5.6</v>
      </c>
      <c r="Y266" s="370">
        <f t="shared" si="7"/>
        <v>6.6752000000000002</v>
      </c>
      <c r="Z266" s="343" t="s">
        <v>85</v>
      </c>
      <c r="AA266" s="345">
        <v>0.01</v>
      </c>
      <c r="AB266" s="352">
        <f t="shared" si="8"/>
        <v>5.96E-3</v>
      </c>
      <c r="AC266" s="353"/>
      <c r="AD266" s="354"/>
      <c r="AE266" s="378" t="str">
        <f t="shared" si="21"/>
        <v/>
      </c>
      <c r="AF266" s="329"/>
      <c r="AG266" s="355">
        <v>0.42</v>
      </c>
      <c r="AH266" s="356">
        <f t="shared" si="22"/>
        <v>2.2558199999999999</v>
      </c>
      <c r="AI266" s="329"/>
      <c r="AJ266" s="345">
        <v>1.1299999999999999</v>
      </c>
      <c r="AK266" s="356">
        <f t="shared" si="11"/>
        <v>1.3469599999999997</v>
      </c>
      <c r="AL266" s="357"/>
      <c r="AM266" s="355">
        <v>0.09</v>
      </c>
      <c r="AN266" s="356">
        <f t="shared" si="12"/>
        <v>0.10728</v>
      </c>
      <c r="AO266" s="329"/>
      <c r="AP266" s="355">
        <v>0.09</v>
      </c>
      <c r="AQ266" s="359">
        <f t="shared" si="13"/>
        <v>0.10728</v>
      </c>
      <c r="AR266" s="360"/>
      <c r="AS266" s="355">
        <v>0.4</v>
      </c>
      <c r="AT266" s="356">
        <f t="shared" si="14"/>
        <v>0.4768</v>
      </c>
      <c r="AU266" s="345" t="s">
        <v>85</v>
      </c>
      <c r="AV266" s="355">
        <v>0.15</v>
      </c>
      <c r="AW266" s="359">
        <f t="shared" si="15"/>
        <v>8.9399999999999993E-2</v>
      </c>
      <c r="AX266" s="345" t="s">
        <v>85</v>
      </c>
      <c r="AY266" s="355">
        <v>0.13</v>
      </c>
      <c r="AZ266" s="359">
        <f t="shared" si="16"/>
        <v>7.7480000000000007E-2</v>
      </c>
      <c r="BA266" s="329">
        <f>IF('Degrémont Entrée'!K266="",,('Degrémont Entrée'!K266-I266)/'Degrémont Entrée'!K266*100)</f>
        <v>95.632349412047034</v>
      </c>
      <c r="BB266" s="329">
        <f>IF('Degrémont Entrée'!G266="",,('Degrémont Entrée'!G266-G266)/'Degrémont Entrée'!G266*100)</f>
        <v>99.946412622804402</v>
      </c>
      <c r="BC266" s="329">
        <f>IF('Degrémont Entrée'!S266="",,('Degrémont Entrée'!S266-M266)/'Degrémont Entrée'!S266*100)</f>
        <v>99.902083333333323</v>
      </c>
      <c r="BD266" s="425">
        <f ca="1">IFERROR(__xludf.DUMMYFUNCTION("""COMPUTED_VALUE"""),52.8399999999999)</f>
        <v>52.839999999999897</v>
      </c>
      <c r="BE266" s="362"/>
      <c r="BF266" s="363"/>
      <c r="BG266" s="363"/>
      <c r="BH266" s="338">
        <f t="shared" si="17"/>
        <v>0</v>
      </c>
      <c r="BI266" s="364"/>
      <c r="BJ266" s="365"/>
      <c r="BK266" s="371">
        <f>'Degrémont Entrée'!BH266</f>
        <v>0</v>
      </c>
      <c r="BL266" s="372">
        <f>'Degrémont Entrée'!BI266</f>
        <v>0</v>
      </c>
    </row>
    <row r="267" spans="1:64" ht="15.75" customHeight="1" outlineLevel="1">
      <c r="A267" s="337">
        <f t="shared" si="18"/>
        <v>43719</v>
      </c>
      <c r="B267" s="338">
        <f>'Degrémont Entrée'!B267</f>
        <v>920</v>
      </c>
      <c r="C267" s="339">
        <v>8.7899999999999991</v>
      </c>
      <c r="D267" s="340">
        <v>86.1</v>
      </c>
      <c r="E267" s="341">
        <v>87.4</v>
      </c>
      <c r="F267" s="342">
        <v>100</v>
      </c>
      <c r="G267" s="329">
        <f t="shared" si="0"/>
        <v>13.000000000000114</v>
      </c>
      <c r="H267" s="338"/>
      <c r="I267" s="343">
        <v>197</v>
      </c>
      <c r="J267" s="344">
        <f t="shared" si="2"/>
        <v>181.24</v>
      </c>
      <c r="K267" s="343">
        <v>1</v>
      </c>
      <c r="L267" s="345">
        <v>0.52</v>
      </c>
      <c r="M267" s="346">
        <f t="shared" si="3"/>
        <v>0.52</v>
      </c>
      <c r="N267" s="338">
        <f t="shared" si="4"/>
        <v>0.47840000000000005</v>
      </c>
      <c r="O267" s="368"/>
      <c r="P267" s="347">
        <f t="shared" si="19"/>
        <v>0</v>
      </c>
      <c r="Q267" s="348"/>
      <c r="R267" s="369"/>
      <c r="S267" s="349">
        <f t="shared" si="20"/>
        <v>0</v>
      </c>
      <c r="T267" s="348"/>
      <c r="U267" s="369"/>
      <c r="V267" s="349">
        <f t="shared" si="5"/>
        <v>0</v>
      </c>
      <c r="W267" s="348"/>
      <c r="X267" s="318" t="str">
        <f t="shared" si="6"/>
        <v/>
      </c>
      <c r="Y267" s="370" t="e">
        <f t="shared" si="7"/>
        <v>#VALUE!</v>
      </c>
      <c r="Z267" s="343" t="s">
        <v>85</v>
      </c>
      <c r="AA267" s="345">
        <v>0.01</v>
      </c>
      <c r="AB267" s="352">
        <f t="shared" si="8"/>
        <v>4.6000000000000008E-3</v>
      </c>
      <c r="AC267" s="353"/>
      <c r="AD267" s="354"/>
      <c r="AE267" s="378" t="str">
        <f t="shared" si="21"/>
        <v/>
      </c>
      <c r="AF267" s="329"/>
      <c r="AG267" s="358"/>
      <c r="AH267" s="356" t="str">
        <f t="shared" si="22"/>
        <v/>
      </c>
      <c r="AI267" s="329"/>
      <c r="AJ267" s="329"/>
      <c r="AK267" s="356">
        <f t="shared" si="11"/>
        <v>0</v>
      </c>
      <c r="AL267" s="357"/>
      <c r="AM267" s="358"/>
      <c r="AN267" s="356">
        <f t="shared" si="12"/>
        <v>0</v>
      </c>
      <c r="AO267" s="329"/>
      <c r="AP267" s="358"/>
      <c r="AQ267" s="359">
        <f t="shared" si="13"/>
        <v>0</v>
      </c>
      <c r="AR267" s="360"/>
      <c r="AS267" s="358"/>
      <c r="AT267" s="356">
        <f t="shared" si="14"/>
        <v>0</v>
      </c>
      <c r="AU267" s="329"/>
      <c r="AV267" s="358"/>
      <c r="AW267" s="359">
        <f t="shared" si="15"/>
        <v>0</v>
      </c>
      <c r="AX267" s="329"/>
      <c r="AY267" s="358"/>
      <c r="AZ267" s="359">
        <f t="shared" si="16"/>
        <v>0</v>
      </c>
      <c r="BA267" s="329">
        <f>IF('Degrémont Entrée'!K267="",,('Degrémont Entrée'!K267-I267)/'Degrémont Entrée'!K267*100)</f>
        <v>97.095252138012384</v>
      </c>
      <c r="BB267" s="329">
        <f>IF('Degrémont Entrée'!G267="",,('Degrémont Entrée'!G267-G267)/'Degrémont Entrée'!G267*100)</f>
        <v>99.854440154440155</v>
      </c>
      <c r="BC267" s="329">
        <f>IF('Degrémont Entrée'!S267="",,('Degrémont Entrée'!S267-M267)/'Degrémont Entrée'!S267*100)</f>
        <v>99.892561983471069</v>
      </c>
      <c r="BD267" s="425">
        <f ca="1">IFERROR(__xludf.DUMMYFUNCTION("""COMPUTED_VALUE"""),52.95)</f>
        <v>52.95</v>
      </c>
      <c r="BE267" s="362"/>
      <c r="BF267" s="363"/>
      <c r="BG267" s="363"/>
      <c r="BH267" s="338">
        <f t="shared" si="17"/>
        <v>0</v>
      </c>
      <c r="BI267" s="364"/>
      <c r="BJ267" s="365"/>
      <c r="BK267" s="366">
        <f>'Degrémont Entrée'!BH267</f>
        <v>0</v>
      </c>
      <c r="BL267" s="367">
        <f>'Degrémont Entrée'!BI267</f>
        <v>0</v>
      </c>
    </row>
    <row r="268" spans="1:64" ht="14.25" outlineLevel="1">
      <c r="A268" s="337">
        <f t="shared" si="18"/>
        <v>43720</v>
      </c>
      <c r="B268" s="338">
        <f>'Degrémont Entrée'!B268</f>
        <v>1065</v>
      </c>
      <c r="C268" s="339">
        <v>8.91</v>
      </c>
      <c r="D268" s="340">
        <v>86.2</v>
      </c>
      <c r="E268" s="341">
        <v>87.6</v>
      </c>
      <c r="F268" s="342">
        <v>100</v>
      </c>
      <c r="G268" s="329">
        <f t="shared" si="0"/>
        <v>13.999999999999913</v>
      </c>
      <c r="H268" s="338"/>
      <c r="I268" s="343">
        <v>117</v>
      </c>
      <c r="J268" s="344">
        <f t="shared" si="2"/>
        <v>124.605</v>
      </c>
      <c r="K268" s="343">
        <v>1</v>
      </c>
      <c r="L268" s="345">
        <v>0.61</v>
      </c>
      <c r="M268" s="346">
        <f t="shared" si="3"/>
        <v>0.61</v>
      </c>
      <c r="N268" s="338">
        <f t="shared" si="4"/>
        <v>0.64964999999999995</v>
      </c>
      <c r="O268" s="368"/>
      <c r="P268" s="347">
        <f t="shared" si="19"/>
        <v>0</v>
      </c>
      <c r="Q268" s="348"/>
      <c r="R268" s="369"/>
      <c r="S268" s="349">
        <f t="shared" si="20"/>
        <v>0</v>
      </c>
      <c r="T268" s="348"/>
      <c r="U268" s="369"/>
      <c r="V268" s="349">
        <f t="shared" si="5"/>
        <v>0</v>
      </c>
      <c r="W268" s="348"/>
      <c r="X268" s="318" t="str">
        <f t="shared" si="6"/>
        <v/>
      </c>
      <c r="Y268" s="370" t="e">
        <f t="shared" si="7"/>
        <v>#VALUE!</v>
      </c>
      <c r="Z268" s="343" t="s">
        <v>85</v>
      </c>
      <c r="AA268" s="345">
        <v>0.01</v>
      </c>
      <c r="AB268" s="352">
        <f t="shared" si="8"/>
        <v>5.3249999999999999E-3</v>
      </c>
      <c r="AC268" s="353"/>
      <c r="AD268" s="354"/>
      <c r="AE268" s="378" t="str">
        <f t="shared" si="21"/>
        <v/>
      </c>
      <c r="AF268" s="329"/>
      <c r="AG268" s="358"/>
      <c r="AH268" s="356" t="str">
        <f t="shared" si="22"/>
        <v/>
      </c>
      <c r="AI268" s="329"/>
      <c r="AJ268" s="329"/>
      <c r="AK268" s="356">
        <f t="shared" si="11"/>
        <v>0</v>
      </c>
      <c r="AL268" s="357"/>
      <c r="AM268" s="358"/>
      <c r="AN268" s="356">
        <f t="shared" si="12"/>
        <v>0</v>
      </c>
      <c r="AO268" s="329"/>
      <c r="AP268" s="358"/>
      <c r="AQ268" s="359">
        <f t="shared" si="13"/>
        <v>0</v>
      </c>
      <c r="AR268" s="360"/>
      <c r="AS268" s="358"/>
      <c r="AT268" s="356">
        <f t="shared" si="14"/>
        <v>0</v>
      </c>
      <c r="AU268" s="329"/>
      <c r="AV268" s="358"/>
      <c r="AW268" s="359">
        <f t="shared" si="15"/>
        <v>0</v>
      </c>
      <c r="AX268" s="329"/>
      <c r="AY268" s="358"/>
      <c r="AZ268" s="359">
        <f t="shared" si="16"/>
        <v>0</v>
      </c>
      <c r="BA268" s="329">
        <f>IF('Degrémont Entrée'!K268="",,('Degrémont Entrée'!K268-I268)/'Degrémont Entrée'!K268*100)</f>
        <v>98.105569948186528</v>
      </c>
      <c r="BB268" s="329">
        <f>IF('Degrémont Entrée'!G268="",,('Degrémont Entrée'!G268-G268)/'Degrémont Entrée'!G268*100)</f>
        <v>99.862186014935503</v>
      </c>
      <c r="BC268" s="329">
        <f>IF('Degrémont Entrée'!S268="",,('Degrémont Entrée'!S268-M268)/'Degrémont Entrée'!S268*100)</f>
        <v>99.86322869955157</v>
      </c>
      <c r="BD268" s="425">
        <f ca="1">IFERROR(__xludf.DUMMYFUNCTION("""COMPUTED_VALUE"""),52.4545454545454)</f>
        <v>52.454545454545404</v>
      </c>
      <c r="BE268" s="362"/>
      <c r="BF268" s="363"/>
      <c r="BG268" s="363"/>
      <c r="BH268" s="338">
        <f t="shared" si="17"/>
        <v>0</v>
      </c>
      <c r="BI268" s="364"/>
      <c r="BJ268" s="365"/>
      <c r="BK268" s="371">
        <f>'Degrémont Entrée'!BH268</f>
        <v>0</v>
      </c>
      <c r="BL268" s="372">
        <f>'Degrémont Entrée'!BI268</f>
        <v>0</v>
      </c>
    </row>
    <row r="269" spans="1:64" ht="15.75" customHeight="1" outlineLevel="1">
      <c r="A269" s="337">
        <f t="shared" si="18"/>
        <v>43721</v>
      </c>
      <c r="B269" s="338">
        <f>'Degrémont Entrée'!B269</f>
        <v>995</v>
      </c>
      <c r="C269" s="339">
        <v>8.11</v>
      </c>
      <c r="D269" s="340">
        <v>88.2</v>
      </c>
      <c r="E269" s="341">
        <v>89.6</v>
      </c>
      <c r="F269" s="342">
        <v>100</v>
      </c>
      <c r="G269" s="329">
        <f t="shared" si="0"/>
        <v>13.999999999999913</v>
      </c>
      <c r="H269" s="338"/>
      <c r="I269" s="343">
        <v>1023</v>
      </c>
      <c r="J269" s="344">
        <f t="shared" si="2"/>
        <v>1017.885</v>
      </c>
      <c r="K269" s="343">
        <v>1</v>
      </c>
      <c r="L269" s="345">
        <v>0.88</v>
      </c>
      <c r="M269" s="346">
        <f t="shared" si="3"/>
        <v>0.88</v>
      </c>
      <c r="N269" s="338">
        <f t="shared" si="4"/>
        <v>0.87560000000000004</v>
      </c>
      <c r="O269" s="368"/>
      <c r="P269" s="347">
        <f t="shared" si="19"/>
        <v>0</v>
      </c>
      <c r="Q269" s="348"/>
      <c r="R269" s="369"/>
      <c r="S269" s="349">
        <f t="shared" si="20"/>
        <v>0</v>
      </c>
      <c r="T269" s="348"/>
      <c r="U269" s="369"/>
      <c r="V269" s="349">
        <f t="shared" si="5"/>
        <v>0</v>
      </c>
      <c r="W269" s="348"/>
      <c r="X269" s="318" t="str">
        <f t="shared" si="6"/>
        <v/>
      </c>
      <c r="Y269" s="370" t="e">
        <f t="shared" si="7"/>
        <v>#VALUE!</v>
      </c>
      <c r="Z269" s="343" t="s">
        <v>85</v>
      </c>
      <c r="AA269" s="345">
        <v>0.01</v>
      </c>
      <c r="AB269" s="352">
        <f t="shared" si="8"/>
        <v>4.9750000000000003E-3</v>
      </c>
      <c r="AC269" s="353"/>
      <c r="AD269" s="354"/>
      <c r="AE269" s="378" t="str">
        <f t="shared" si="21"/>
        <v/>
      </c>
      <c r="AF269" s="329"/>
      <c r="AG269" s="358"/>
      <c r="AH269" s="356" t="str">
        <f t="shared" si="22"/>
        <v/>
      </c>
      <c r="AI269" s="329"/>
      <c r="AJ269" s="329"/>
      <c r="AK269" s="356">
        <f t="shared" si="11"/>
        <v>0</v>
      </c>
      <c r="AL269" s="357"/>
      <c r="AM269" s="358"/>
      <c r="AN269" s="356">
        <f t="shared" si="12"/>
        <v>0</v>
      </c>
      <c r="AO269" s="329"/>
      <c r="AP269" s="358"/>
      <c r="AQ269" s="359">
        <f t="shared" si="13"/>
        <v>0</v>
      </c>
      <c r="AR269" s="360"/>
      <c r="AS269" s="358"/>
      <c r="AT269" s="356">
        <f t="shared" si="14"/>
        <v>0</v>
      </c>
      <c r="AU269" s="329"/>
      <c r="AV269" s="358"/>
      <c r="AW269" s="359">
        <f t="shared" si="15"/>
        <v>0</v>
      </c>
      <c r="AX269" s="329"/>
      <c r="AY269" s="358"/>
      <c r="AZ269" s="359">
        <f t="shared" si="16"/>
        <v>0</v>
      </c>
      <c r="BA269" s="329">
        <f>IF('Degrémont Entrée'!K269="",,('Degrémont Entrée'!K269-I269)/'Degrémont Entrée'!K269*100)</f>
        <v>83.37666558336042</v>
      </c>
      <c r="BB269" s="329">
        <f>IF('Degrémont Entrée'!G269="",,('Degrémont Entrée'!G269-G269)/'Degrémont Entrée'!G269*100)</f>
        <v>99.827674023769092</v>
      </c>
      <c r="BC269" s="329">
        <f>IF('Degrémont Entrée'!S269="",,('Degrémont Entrée'!S269-M269)/'Degrémont Entrée'!S269*100)</f>
        <v>99.794392523364479</v>
      </c>
      <c r="BD269" s="425">
        <f ca="1">IFERROR(__xludf.DUMMYFUNCTION("""COMPUTED_VALUE"""),52.5545454545454)</f>
        <v>52.554545454545398</v>
      </c>
      <c r="BE269" s="362"/>
      <c r="BF269" s="363"/>
      <c r="BG269" s="363"/>
      <c r="BH269" s="338">
        <f t="shared" si="17"/>
        <v>0</v>
      </c>
      <c r="BI269" s="364"/>
      <c r="BJ269" s="365"/>
      <c r="BK269" s="366">
        <f>'Degrémont Entrée'!BH269</f>
        <v>0</v>
      </c>
      <c r="BL269" s="367">
        <f>'Degrémont Entrée'!BI269</f>
        <v>0</v>
      </c>
    </row>
    <row r="270" spans="1:64" ht="14.25" outlineLevel="1">
      <c r="A270" s="337">
        <f t="shared" si="18"/>
        <v>43722</v>
      </c>
      <c r="B270" s="338">
        <f>'Degrémont Entrée'!B270</f>
        <v>784</v>
      </c>
      <c r="C270" s="339">
        <v>8.35</v>
      </c>
      <c r="D270" s="340">
        <v>88.1</v>
      </c>
      <c r="E270" s="341">
        <v>89.5</v>
      </c>
      <c r="F270" s="342">
        <v>100</v>
      </c>
      <c r="G270" s="329">
        <f t="shared" si="0"/>
        <v>14.000000000000057</v>
      </c>
      <c r="H270" s="338"/>
      <c r="I270" s="343">
        <v>1354</v>
      </c>
      <c r="J270" s="344">
        <f t="shared" si="2"/>
        <v>1061.5360000000001</v>
      </c>
      <c r="K270" s="343">
        <v>1</v>
      </c>
      <c r="L270" s="345">
        <v>0.77</v>
      </c>
      <c r="M270" s="346">
        <f t="shared" si="3"/>
        <v>0.77</v>
      </c>
      <c r="N270" s="338">
        <f t="shared" si="4"/>
        <v>0.60368000000000011</v>
      </c>
      <c r="O270" s="368"/>
      <c r="P270" s="347">
        <f t="shared" si="19"/>
        <v>0</v>
      </c>
      <c r="Q270" s="348"/>
      <c r="R270" s="369"/>
      <c r="S270" s="349">
        <f t="shared" si="20"/>
        <v>0</v>
      </c>
      <c r="T270" s="348"/>
      <c r="U270" s="369"/>
      <c r="V270" s="349">
        <f t="shared" si="5"/>
        <v>0</v>
      </c>
      <c r="W270" s="348"/>
      <c r="X270" s="318" t="str">
        <f t="shared" si="6"/>
        <v/>
      </c>
      <c r="Y270" s="370" t="e">
        <f t="shared" si="7"/>
        <v>#VALUE!</v>
      </c>
      <c r="Z270" s="343" t="s">
        <v>85</v>
      </c>
      <c r="AA270" s="345">
        <v>0.01</v>
      </c>
      <c r="AB270" s="352">
        <f t="shared" si="8"/>
        <v>3.9199999999999999E-3</v>
      </c>
      <c r="AC270" s="353"/>
      <c r="AD270" s="354"/>
      <c r="AE270" s="378" t="str">
        <f t="shared" si="21"/>
        <v/>
      </c>
      <c r="AF270" s="329"/>
      <c r="AG270" s="358"/>
      <c r="AH270" s="356" t="str">
        <f t="shared" si="22"/>
        <v/>
      </c>
      <c r="AI270" s="329"/>
      <c r="AJ270" s="329"/>
      <c r="AK270" s="356">
        <f t="shared" si="11"/>
        <v>0</v>
      </c>
      <c r="AL270" s="357"/>
      <c r="AM270" s="358"/>
      <c r="AN270" s="356">
        <f t="shared" si="12"/>
        <v>0</v>
      </c>
      <c r="AO270" s="329"/>
      <c r="AP270" s="358"/>
      <c r="AQ270" s="359">
        <f t="shared" si="13"/>
        <v>0</v>
      </c>
      <c r="AR270" s="360"/>
      <c r="AS270" s="358"/>
      <c r="AT270" s="356">
        <f t="shared" si="14"/>
        <v>0</v>
      </c>
      <c r="AU270" s="329"/>
      <c r="AV270" s="358"/>
      <c r="AW270" s="359">
        <f t="shared" si="15"/>
        <v>0</v>
      </c>
      <c r="AX270" s="329"/>
      <c r="AY270" s="358"/>
      <c r="AZ270" s="359">
        <f t="shared" si="16"/>
        <v>0</v>
      </c>
      <c r="BA270" s="329">
        <f>IF('Degrémont Entrée'!K270="",,('Degrémont Entrée'!K270-I270)/'Degrémont Entrée'!K270*100)</f>
        <v>82.009035344140315</v>
      </c>
      <c r="BB270" s="329">
        <f>IF('Degrémont Entrée'!G270="",,('Degrémont Entrée'!G270-G270)/'Degrémont Entrée'!G270*100)</f>
        <v>99.858240223463696</v>
      </c>
      <c r="BC270" s="329">
        <f>IF('Degrémont Entrée'!S270="",,('Degrémont Entrée'!S270-M270)/'Degrémont Entrée'!S270*100)</f>
        <v>99.834763948497866</v>
      </c>
      <c r="BD270" s="425">
        <f ca="1">IFERROR(__xludf.DUMMYFUNCTION("""COMPUTED_VALUE"""),52.85)</f>
        <v>52.85</v>
      </c>
      <c r="BE270" s="362"/>
      <c r="BF270" s="363"/>
      <c r="BG270" s="363"/>
      <c r="BH270" s="338">
        <f t="shared" si="17"/>
        <v>0</v>
      </c>
      <c r="BI270" s="364"/>
      <c r="BJ270" s="365"/>
      <c r="BK270" s="371">
        <f>'Degrémont Entrée'!BH270</f>
        <v>0</v>
      </c>
      <c r="BL270" s="372">
        <f>'Degrémont Entrée'!BI270</f>
        <v>0</v>
      </c>
    </row>
    <row r="271" spans="1:64" ht="15.75" customHeight="1" outlineLevel="1">
      <c r="A271" s="337">
        <f t="shared" si="18"/>
        <v>43723</v>
      </c>
      <c r="B271" s="338">
        <f>'Degrémont Entrée'!B271</f>
        <v>0</v>
      </c>
      <c r="C271" s="338"/>
      <c r="D271" s="388"/>
      <c r="E271" s="368"/>
      <c r="F271" s="357"/>
      <c r="G271" s="329">
        <f t="shared" si="0"/>
        <v>0</v>
      </c>
      <c r="H271" s="338"/>
      <c r="I271" s="346"/>
      <c r="J271" s="344">
        <f t="shared" si="2"/>
        <v>0</v>
      </c>
      <c r="K271" s="343">
        <v>1</v>
      </c>
      <c r="L271" s="329"/>
      <c r="M271" s="346" t="str">
        <f t="shared" si="3"/>
        <v/>
      </c>
      <c r="N271" s="338" t="e">
        <f t="shared" si="4"/>
        <v>#VALUE!</v>
      </c>
      <c r="O271" s="368"/>
      <c r="P271" s="347">
        <f t="shared" si="19"/>
        <v>0</v>
      </c>
      <c r="Q271" s="348"/>
      <c r="R271" s="369"/>
      <c r="S271" s="349">
        <f t="shared" si="20"/>
        <v>0</v>
      </c>
      <c r="T271" s="348"/>
      <c r="U271" s="369"/>
      <c r="V271" s="349">
        <f t="shared" si="5"/>
        <v>0</v>
      </c>
      <c r="W271" s="348"/>
      <c r="X271" s="318" t="str">
        <f t="shared" si="6"/>
        <v/>
      </c>
      <c r="Y271" s="370" t="e">
        <f t="shared" si="7"/>
        <v>#VALUE!</v>
      </c>
      <c r="Z271" s="343" t="s">
        <v>85</v>
      </c>
      <c r="AA271" s="345">
        <v>0.01</v>
      </c>
      <c r="AB271" s="352">
        <f t="shared" si="8"/>
        <v>0</v>
      </c>
      <c r="AC271" s="353"/>
      <c r="AD271" s="354"/>
      <c r="AE271" s="378" t="str">
        <f t="shared" si="21"/>
        <v/>
      </c>
      <c r="AF271" s="329"/>
      <c r="AG271" s="358"/>
      <c r="AH271" s="356" t="str">
        <f t="shared" si="22"/>
        <v/>
      </c>
      <c r="AI271" s="329"/>
      <c r="AJ271" s="329"/>
      <c r="AK271" s="356">
        <f t="shared" si="11"/>
        <v>0</v>
      </c>
      <c r="AL271" s="357"/>
      <c r="AM271" s="358"/>
      <c r="AN271" s="356">
        <f t="shared" si="12"/>
        <v>0</v>
      </c>
      <c r="AO271" s="329"/>
      <c r="AP271" s="358"/>
      <c r="AQ271" s="359">
        <f t="shared" si="13"/>
        <v>0</v>
      </c>
      <c r="AR271" s="360"/>
      <c r="AS271" s="358"/>
      <c r="AT271" s="356">
        <f t="shared" si="14"/>
        <v>0</v>
      </c>
      <c r="AU271" s="329"/>
      <c r="AV271" s="358"/>
      <c r="AW271" s="359">
        <f t="shared" si="15"/>
        <v>0</v>
      </c>
      <c r="AX271" s="329"/>
      <c r="AY271" s="358"/>
      <c r="AZ271" s="359">
        <f t="shared" si="16"/>
        <v>0</v>
      </c>
      <c r="BA271" s="329" t="e">
        <f>IF('Degrémont Entrée'!K271="",,('Degrémont Entrée'!K271-I271)/'Degrémont Entrée'!K271*100)</f>
        <v>#DIV/0!</v>
      </c>
      <c r="BB271" s="329" t="e">
        <f>IF('Degrémont Entrée'!G271="",,('Degrémont Entrée'!G271-G271)/'Degrémont Entrée'!G271*100)</f>
        <v>#DIV/0!</v>
      </c>
      <c r="BC271" s="329">
        <f>IF('Degrémont Entrée'!S271="",,('Degrémont Entrée'!S271-M271)/'Degrémont Entrée'!S271*100)</f>
        <v>0</v>
      </c>
      <c r="BD271" s="425" t="str">
        <f ca="1">IFERROR(__xludf.DUMMYFUNCTION("""COMPUTED_VALUE"""),"#DIV/0!")</f>
        <v>#DIV/0!</v>
      </c>
      <c r="BE271" s="362"/>
      <c r="BF271" s="363"/>
      <c r="BG271" s="363"/>
      <c r="BH271" s="338">
        <f t="shared" si="17"/>
        <v>0</v>
      </c>
      <c r="BI271" s="364"/>
      <c r="BJ271" s="365"/>
      <c r="BK271" s="366">
        <f>'Degrémont Entrée'!BH271</f>
        <v>0</v>
      </c>
      <c r="BL271" s="367">
        <f>'Degrémont Entrée'!BI271</f>
        <v>0</v>
      </c>
    </row>
    <row r="272" spans="1:64" ht="14.25" outlineLevel="1">
      <c r="A272" s="337">
        <f t="shared" si="18"/>
        <v>43724</v>
      </c>
      <c r="B272" s="338">
        <f>'Degrémont Entrée'!B272</f>
        <v>747</v>
      </c>
      <c r="C272" s="339">
        <v>8.76</v>
      </c>
      <c r="D272" s="340">
        <v>90.3</v>
      </c>
      <c r="E272" s="341">
        <v>91</v>
      </c>
      <c r="F272" s="342">
        <v>100</v>
      </c>
      <c r="G272" s="329">
        <f t="shared" si="0"/>
        <v>7.0000000000000284</v>
      </c>
      <c r="H272" s="338"/>
      <c r="I272" s="343">
        <v>249</v>
      </c>
      <c r="J272" s="344">
        <f t="shared" si="2"/>
        <v>186.00299999999999</v>
      </c>
      <c r="K272" s="343">
        <v>1</v>
      </c>
      <c r="L272" s="345">
        <v>0.48</v>
      </c>
      <c r="M272" s="346">
        <f t="shared" si="3"/>
        <v>0.48</v>
      </c>
      <c r="N272" s="338">
        <f t="shared" si="4"/>
        <v>0.35855999999999999</v>
      </c>
      <c r="O272" s="368"/>
      <c r="P272" s="347">
        <f t="shared" si="19"/>
        <v>0</v>
      </c>
      <c r="Q272" s="348"/>
      <c r="R272" s="369"/>
      <c r="S272" s="349">
        <f t="shared" si="20"/>
        <v>0</v>
      </c>
      <c r="T272" s="348"/>
      <c r="U272" s="369"/>
      <c r="V272" s="349">
        <f t="shared" si="5"/>
        <v>0</v>
      </c>
      <c r="W272" s="348"/>
      <c r="X272" s="318" t="str">
        <f t="shared" si="6"/>
        <v/>
      </c>
      <c r="Y272" s="370" t="e">
        <f t="shared" si="7"/>
        <v>#VALUE!</v>
      </c>
      <c r="Z272" s="343" t="s">
        <v>85</v>
      </c>
      <c r="AA272" s="345">
        <v>0.01</v>
      </c>
      <c r="AB272" s="352">
        <f t="shared" si="8"/>
        <v>3.735E-3</v>
      </c>
      <c r="AC272" s="353"/>
      <c r="AD272" s="354"/>
      <c r="AE272" s="378" t="str">
        <f t="shared" si="21"/>
        <v/>
      </c>
      <c r="AF272" s="329"/>
      <c r="AG272" s="358"/>
      <c r="AH272" s="356" t="str">
        <f t="shared" si="22"/>
        <v/>
      </c>
      <c r="AI272" s="329"/>
      <c r="AJ272" s="329"/>
      <c r="AK272" s="356">
        <f t="shared" si="11"/>
        <v>0</v>
      </c>
      <c r="AL272" s="357"/>
      <c r="AM272" s="358"/>
      <c r="AN272" s="356">
        <f t="shared" si="12"/>
        <v>0</v>
      </c>
      <c r="AO272" s="329"/>
      <c r="AP272" s="358"/>
      <c r="AQ272" s="359">
        <f t="shared" si="13"/>
        <v>0</v>
      </c>
      <c r="AR272" s="360"/>
      <c r="AS272" s="358"/>
      <c r="AT272" s="356">
        <f t="shared" si="14"/>
        <v>0</v>
      </c>
      <c r="AU272" s="329"/>
      <c r="AV272" s="358"/>
      <c r="AW272" s="359">
        <f t="shared" si="15"/>
        <v>0</v>
      </c>
      <c r="AX272" s="329"/>
      <c r="AY272" s="358"/>
      <c r="AZ272" s="359">
        <f t="shared" si="16"/>
        <v>0</v>
      </c>
      <c r="BA272" s="329">
        <f>IF('Degrémont Entrée'!K272="",,('Degrémont Entrée'!K272-I272)/'Degrémont Entrée'!K272*100)</f>
        <v>94.454342984409806</v>
      </c>
      <c r="BB272" s="329">
        <f>IF('Degrémont Entrée'!G272="",,('Degrémont Entrée'!G272-G272)/'Degrémont Entrée'!G272*100)</f>
        <v>99.883720930232556</v>
      </c>
      <c r="BC272" s="329">
        <f>IF('Degrémont Entrée'!S272="",,('Degrémont Entrée'!S272-M272)/'Degrémont Entrée'!S272*100)</f>
        <v>99.8032786885246</v>
      </c>
      <c r="BD272" s="425">
        <f ca="1">IFERROR(__xludf.DUMMYFUNCTION("""COMPUTED_VALUE"""),52.1285714285714)</f>
        <v>52.128571428571398</v>
      </c>
      <c r="BE272" s="362"/>
      <c r="BF272" s="363"/>
      <c r="BG272" s="363"/>
      <c r="BH272" s="338">
        <f t="shared" si="17"/>
        <v>0</v>
      </c>
      <c r="BI272" s="364"/>
      <c r="BJ272" s="365"/>
      <c r="BK272" s="371">
        <f>'Degrémont Entrée'!BH272</f>
        <v>0</v>
      </c>
      <c r="BL272" s="372">
        <f>'Degrémont Entrée'!BI272</f>
        <v>0</v>
      </c>
    </row>
    <row r="273" spans="1:64" ht="15.75" customHeight="1" outlineLevel="1">
      <c r="A273" s="337">
        <f t="shared" si="18"/>
        <v>43725</v>
      </c>
      <c r="B273" s="338">
        <f>'Degrémont Entrée'!B273</f>
        <v>1027</v>
      </c>
      <c r="C273" s="339">
        <v>8.61</v>
      </c>
      <c r="D273" s="340">
        <v>89.5</v>
      </c>
      <c r="E273" s="341">
        <v>90</v>
      </c>
      <c r="F273" s="342">
        <v>100</v>
      </c>
      <c r="G273" s="329">
        <f t="shared" si="0"/>
        <v>5</v>
      </c>
      <c r="H273" s="338"/>
      <c r="I273" s="343">
        <v>162</v>
      </c>
      <c r="J273" s="344">
        <f t="shared" si="2"/>
        <v>166.374</v>
      </c>
      <c r="K273" s="343">
        <v>1</v>
      </c>
      <c r="L273" s="345">
        <v>0.38</v>
      </c>
      <c r="M273" s="346">
        <f t="shared" si="3"/>
        <v>0.38</v>
      </c>
      <c r="N273" s="338">
        <f t="shared" si="4"/>
        <v>0.39026</v>
      </c>
      <c r="O273" s="341">
        <v>5.6</v>
      </c>
      <c r="P273" s="347">
        <f t="shared" si="19"/>
        <v>5.7511999999999999</v>
      </c>
      <c r="Q273" s="348"/>
      <c r="R273" s="369"/>
      <c r="S273" s="349">
        <f t="shared" si="20"/>
        <v>0</v>
      </c>
      <c r="T273" s="348"/>
      <c r="U273" s="369"/>
      <c r="V273" s="349">
        <f t="shared" si="5"/>
        <v>0</v>
      </c>
      <c r="W273" s="348"/>
      <c r="X273" s="318">
        <f t="shared" si="6"/>
        <v>5.6</v>
      </c>
      <c r="Y273" s="370">
        <f t="shared" si="7"/>
        <v>5.7511999999999999</v>
      </c>
      <c r="Z273" s="343" t="s">
        <v>85</v>
      </c>
      <c r="AA273" s="345">
        <v>0.01</v>
      </c>
      <c r="AB273" s="352">
        <f t="shared" si="8"/>
        <v>5.1349999999999998E-3</v>
      </c>
      <c r="AC273" s="353"/>
      <c r="AD273" s="354"/>
      <c r="AE273" s="378" t="str">
        <f t="shared" si="21"/>
        <v/>
      </c>
      <c r="AF273" s="329"/>
      <c r="AG273" s="355">
        <v>0.34</v>
      </c>
      <c r="AH273" s="356">
        <f t="shared" si="22"/>
        <v>1.8829200000000001</v>
      </c>
      <c r="AI273" s="329"/>
      <c r="AJ273" s="345">
        <v>0.41</v>
      </c>
      <c r="AK273" s="356">
        <f t="shared" si="11"/>
        <v>0.42107</v>
      </c>
      <c r="AL273" s="357"/>
      <c r="AM273" s="355">
        <v>0.04</v>
      </c>
      <c r="AN273" s="356">
        <f t="shared" si="12"/>
        <v>4.1079999999999998E-2</v>
      </c>
      <c r="AO273" s="329"/>
      <c r="AP273" s="355">
        <v>0.09</v>
      </c>
      <c r="AQ273" s="359">
        <f t="shared" si="13"/>
        <v>9.2429999999999998E-2</v>
      </c>
      <c r="AR273" s="360"/>
      <c r="AS273" s="355">
        <v>0.38</v>
      </c>
      <c r="AT273" s="356">
        <f t="shared" si="14"/>
        <v>0.39026</v>
      </c>
      <c r="AU273" s="345" t="s">
        <v>85</v>
      </c>
      <c r="AV273" s="355">
        <v>0.15</v>
      </c>
      <c r="AW273" s="359">
        <f t="shared" si="15"/>
        <v>7.7024999999999996E-2</v>
      </c>
      <c r="AX273" s="345" t="s">
        <v>85</v>
      </c>
      <c r="AY273" s="355">
        <v>0.13</v>
      </c>
      <c r="AZ273" s="359">
        <f t="shared" si="16"/>
        <v>6.6754999999999995E-2</v>
      </c>
      <c r="BA273" s="329">
        <f>IF('Degrémont Entrée'!K273="",,('Degrémont Entrée'!K273-I273)/'Degrémont Entrée'!K273*100)</f>
        <v>96.994991652754592</v>
      </c>
      <c r="BB273" s="329">
        <f>IF('Degrémont Entrée'!G273="",,('Degrémont Entrée'!G273-G273)/'Degrémont Entrée'!G273*100)</f>
        <v>99.925595238095227</v>
      </c>
      <c r="BC273" s="329">
        <f>IF('Degrémont Entrée'!S273="",,('Degrémont Entrée'!S273-M273)/'Degrémont Entrée'!S273*100)</f>
        <v>99.905940594059402</v>
      </c>
      <c r="BD273" s="425">
        <f ca="1">IFERROR(__xludf.DUMMYFUNCTION("""COMPUTED_VALUE"""),52.1272727272727)</f>
        <v>52.127272727272697</v>
      </c>
      <c r="BE273" s="386">
        <v>21.853400000000001</v>
      </c>
      <c r="BF273" s="387">
        <v>25.462599999999998</v>
      </c>
      <c r="BG273" s="387">
        <v>23.972200000000001</v>
      </c>
      <c r="BH273" s="338">
        <f t="shared" si="17"/>
        <v>58.705530311426401</v>
      </c>
      <c r="BI273" s="364"/>
      <c r="BJ273" s="365"/>
      <c r="BK273" s="366">
        <f>'Degrémont Entrée'!BH273</f>
        <v>0</v>
      </c>
      <c r="BL273" s="367">
        <f>'Degrémont Entrée'!BI273</f>
        <v>0</v>
      </c>
    </row>
    <row r="274" spans="1:64" ht="14.25" outlineLevel="1">
      <c r="A274" s="337">
        <f t="shared" si="18"/>
        <v>43726</v>
      </c>
      <c r="B274" s="338">
        <f>'Degrémont Entrée'!B274</f>
        <v>1095</v>
      </c>
      <c r="C274" s="339">
        <v>8.9600000000000009</v>
      </c>
      <c r="D274" s="340">
        <v>88.7</v>
      </c>
      <c r="E274" s="341">
        <v>89.5</v>
      </c>
      <c r="F274" s="342">
        <v>100</v>
      </c>
      <c r="G274" s="329">
        <f t="shared" si="0"/>
        <v>7.9999999999999716</v>
      </c>
      <c r="H274" s="338"/>
      <c r="I274" s="343">
        <v>533</v>
      </c>
      <c r="J274" s="344">
        <f t="shared" si="2"/>
        <v>583.63499999999999</v>
      </c>
      <c r="K274" s="343">
        <v>1</v>
      </c>
      <c r="L274" s="345">
        <v>0.61</v>
      </c>
      <c r="M274" s="346">
        <f t="shared" si="3"/>
        <v>0.61</v>
      </c>
      <c r="N274" s="338">
        <f t="shared" si="4"/>
        <v>0.66794999999999993</v>
      </c>
      <c r="O274" s="368"/>
      <c r="P274" s="347">
        <f t="shared" si="19"/>
        <v>0</v>
      </c>
      <c r="Q274" s="348"/>
      <c r="R274" s="369"/>
      <c r="S274" s="349">
        <f t="shared" si="20"/>
        <v>0</v>
      </c>
      <c r="T274" s="348"/>
      <c r="U274" s="369"/>
      <c r="V274" s="349">
        <f t="shared" si="5"/>
        <v>0</v>
      </c>
      <c r="W274" s="348"/>
      <c r="X274" s="318" t="str">
        <f t="shared" si="6"/>
        <v/>
      </c>
      <c r="Y274" s="370" t="e">
        <f t="shared" si="7"/>
        <v>#VALUE!</v>
      </c>
      <c r="Z274" s="343" t="s">
        <v>85</v>
      </c>
      <c r="AA274" s="345">
        <v>0.01</v>
      </c>
      <c r="AB274" s="352">
        <f t="shared" si="8"/>
        <v>5.4750000000000007E-3</v>
      </c>
      <c r="AC274" s="353"/>
      <c r="AD274" s="354"/>
      <c r="AE274" s="378" t="str">
        <f t="shared" si="21"/>
        <v/>
      </c>
      <c r="AF274" s="329"/>
      <c r="AG274" s="358"/>
      <c r="AH274" s="356" t="str">
        <f t="shared" si="22"/>
        <v/>
      </c>
      <c r="AI274" s="329"/>
      <c r="AJ274" s="329"/>
      <c r="AK274" s="356">
        <f t="shared" si="11"/>
        <v>0</v>
      </c>
      <c r="AL274" s="357"/>
      <c r="AM274" s="358"/>
      <c r="AN274" s="356">
        <f t="shared" si="12"/>
        <v>0</v>
      </c>
      <c r="AO274" s="329"/>
      <c r="AP274" s="358"/>
      <c r="AQ274" s="359">
        <f t="shared" si="13"/>
        <v>0</v>
      </c>
      <c r="AR274" s="360"/>
      <c r="AS274" s="358"/>
      <c r="AT274" s="356">
        <f t="shared" si="14"/>
        <v>0</v>
      </c>
      <c r="AU274" s="329"/>
      <c r="AV274" s="358"/>
      <c r="AW274" s="359">
        <f t="shared" si="15"/>
        <v>0</v>
      </c>
      <c r="AX274" s="329"/>
      <c r="AY274" s="358"/>
      <c r="AZ274" s="359">
        <f t="shared" si="16"/>
        <v>0</v>
      </c>
      <c r="BA274" s="329">
        <f>IF('Degrémont Entrée'!K274="",,('Degrémont Entrée'!K274-I274)/'Degrémont Entrée'!K274*100)</f>
        <v>88.767123287671239</v>
      </c>
      <c r="BB274" s="329">
        <f>IF('Degrémont Entrée'!G274="",,('Degrémont Entrée'!G274-G274)/'Degrémont Entrée'!G274*100)</f>
        <v>99.848580441640379</v>
      </c>
      <c r="BC274" s="329">
        <f>IF('Degrémont Entrée'!S274="",,('Degrémont Entrée'!S274-M274)/'Degrémont Entrée'!S274*100)</f>
        <v>99.730088495575217</v>
      </c>
      <c r="BD274" s="425">
        <f ca="1">IFERROR(__xludf.DUMMYFUNCTION("""COMPUTED_VALUE"""),52.0090909090909)</f>
        <v>52.009090909090901</v>
      </c>
      <c r="BE274" s="362"/>
      <c r="BF274" s="363"/>
      <c r="BG274" s="363"/>
      <c r="BH274" s="338">
        <f t="shared" si="17"/>
        <v>0</v>
      </c>
      <c r="BI274" s="364"/>
      <c r="BJ274" s="365"/>
      <c r="BK274" s="371">
        <f>'Degrémont Entrée'!BH274</f>
        <v>0</v>
      </c>
      <c r="BL274" s="372">
        <f>'Degrémont Entrée'!BI274</f>
        <v>0</v>
      </c>
    </row>
    <row r="275" spans="1:64" ht="15.75" customHeight="1" outlineLevel="1">
      <c r="A275" s="337">
        <f t="shared" si="18"/>
        <v>43727</v>
      </c>
      <c r="B275" s="338">
        <f>'Degrémont Entrée'!B275</f>
        <v>969</v>
      </c>
      <c r="C275" s="339">
        <v>8.9499999999999993</v>
      </c>
      <c r="D275" s="340">
        <v>88.5</v>
      </c>
      <c r="E275" s="341">
        <v>88.8</v>
      </c>
      <c r="F275" s="342">
        <v>100</v>
      </c>
      <c r="G275" s="329">
        <f t="shared" si="0"/>
        <v>2.9999999999999716</v>
      </c>
      <c r="H275" s="338"/>
      <c r="I275" s="343">
        <v>316</v>
      </c>
      <c r="J275" s="344">
        <f t="shared" si="2"/>
        <v>306.20400000000001</v>
      </c>
      <c r="K275" s="343">
        <v>1</v>
      </c>
      <c r="L275" s="345">
        <v>0.69</v>
      </c>
      <c r="M275" s="346">
        <f t="shared" si="3"/>
        <v>0.69</v>
      </c>
      <c r="N275" s="338">
        <f t="shared" si="4"/>
        <v>0.66860999999999993</v>
      </c>
      <c r="O275" s="368"/>
      <c r="P275" s="347">
        <f t="shared" si="19"/>
        <v>0</v>
      </c>
      <c r="Q275" s="348"/>
      <c r="R275" s="369"/>
      <c r="S275" s="349">
        <f t="shared" si="20"/>
        <v>0</v>
      </c>
      <c r="T275" s="348"/>
      <c r="U275" s="369"/>
      <c r="V275" s="349">
        <f t="shared" si="5"/>
        <v>0</v>
      </c>
      <c r="W275" s="348"/>
      <c r="X275" s="318" t="str">
        <f t="shared" si="6"/>
        <v/>
      </c>
      <c r="Y275" s="370" t="e">
        <f t="shared" si="7"/>
        <v>#VALUE!</v>
      </c>
      <c r="Z275" s="343" t="s">
        <v>85</v>
      </c>
      <c r="AA275" s="345">
        <v>0.01</v>
      </c>
      <c r="AB275" s="352">
        <f t="shared" si="8"/>
        <v>4.8449999999999995E-3</v>
      </c>
      <c r="AC275" s="353"/>
      <c r="AD275" s="354"/>
      <c r="AE275" s="378" t="str">
        <f t="shared" si="21"/>
        <v/>
      </c>
      <c r="AF275" s="329"/>
      <c r="AG275" s="358"/>
      <c r="AH275" s="356" t="str">
        <f t="shared" si="22"/>
        <v/>
      </c>
      <c r="AI275" s="329"/>
      <c r="AJ275" s="329"/>
      <c r="AK275" s="356">
        <f t="shared" si="11"/>
        <v>0</v>
      </c>
      <c r="AL275" s="357"/>
      <c r="AM275" s="358"/>
      <c r="AN275" s="356">
        <f t="shared" si="12"/>
        <v>0</v>
      </c>
      <c r="AO275" s="329"/>
      <c r="AP275" s="358"/>
      <c r="AQ275" s="359">
        <f t="shared" si="13"/>
        <v>0</v>
      </c>
      <c r="AR275" s="360"/>
      <c r="AS275" s="358"/>
      <c r="AT275" s="356">
        <f t="shared" si="14"/>
        <v>0</v>
      </c>
      <c r="AU275" s="329"/>
      <c r="AV275" s="358"/>
      <c r="AW275" s="359">
        <f t="shared" si="15"/>
        <v>0</v>
      </c>
      <c r="AX275" s="329"/>
      <c r="AY275" s="358"/>
      <c r="AZ275" s="359">
        <f t="shared" si="16"/>
        <v>0</v>
      </c>
      <c r="BA275" s="329">
        <f>IF('Degrémont Entrée'!K275="",,('Degrémont Entrée'!K275-I275)/'Degrémont Entrée'!K275*100)</f>
        <v>95.03924646781789</v>
      </c>
      <c r="BB275" s="329">
        <f>IF('Degrémont Entrée'!G275="",,('Degrémont Entrée'!G275-G275)/'Degrémont Entrée'!G275*100)</f>
        <v>99.965156794425098</v>
      </c>
      <c r="BC275" s="329">
        <f>IF('Degrémont Entrée'!S275="",,('Degrémont Entrée'!S275-M275)/'Degrémont Entrée'!S275*100)</f>
        <v>99.835714285714289</v>
      </c>
      <c r="BD275" s="425">
        <f ca="1">IFERROR(__xludf.DUMMYFUNCTION("""COMPUTED_VALUE"""),52.17)</f>
        <v>52.17</v>
      </c>
      <c r="BE275" s="362"/>
      <c r="BF275" s="363"/>
      <c r="BG275" s="363"/>
      <c r="BH275" s="338">
        <f t="shared" si="17"/>
        <v>0</v>
      </c>
      <c r="BI275" s="364"/>
      <c r="BJ275" s="365"/>
      <c r="BK275" s="366">
        <f>'Degrémont Entrée'!BH275</f>
        <v>0</v>
      </c>
      <c r="BL275" s="367">
        <f>'Degrémont Entrée'!BI275</f>
        <v>0</v>
      </c>
    </row>
    <row r="276" spans="1:64" ht="14.25" outlineLevel="1">
      <c r="A276" s="337">
        <f t="shared" si="18"/>
        <v>43728</v>
      </c>
      <c r="B276" s="338">
        <f>'Degrémont Entrée'!B276</f>
        <v>965</v>
      </c>
      <c r="C276" s="339">
        <v>9.01</v>
      </c>
      <c r="D276" s="340">
        <v>88.1</v>
      </c>
      <c r="E276" s="341">
        <v>89</v>
      </c>
      <c r="F276" s="342">
        <v>100</v>
      </c>
      <c r="G276" s="329">
        <f t="shared" si="0"/>
        <v>9.0000000000000568</v>
      </c>
      <c r="H276" s="338"/>
      <c r="I276" s="343">
        <v>209</v>
      </c>
      <c r="J276" s="344">
        <f t="shared" si="2"/>
        <v>201.685</v>
      </c>
      <c r="K276" s="343">
        <v>1</v>
      </c>
      <c r="L276" s="345">
        <v>1.4</v>
      </c>
      <c r="M276" s="346">
        <f t="shared" si="3"/>
        <v>1.4</v>
      </c>
      <c r="N276" s="338">
        <f t="shared" si="4"/>
        <v>1.351</v>
      </c>
      <c r="O276" s="368"/>
      <c r="P276" s="347">
        <f t="shared" si="19"/>
        <v>0</v>
      </c>
      <c r="Q276" s="348"/>
      <c r="R276" s="369"/>
      <c r="S276" s="349">
        <f t="shared" si="20"/>
        <v>0</v>
      </c>
      <c r="T276" s="348"/>
      <c r="U276" s="369"/>
      <c r="V276" s="349">
        <f t="shared" si="5"/>
        <v>0</v>
      </c>
      <c r="W276" s="348"/>
      <c r="X276" s="318" t="str">
        <f t="shared" si="6"/>
        <v/>
      </c>
      <c r="Y276" s="370" t="e">
        <f t="shared" si="7"/>
        <v>#VALUE!</v>
      </c>
      <c r="Z276" s="343" t="s">
        <v>85</v>
      </c>
      <c r="AA276" s="345">
        <v>0.01</v>
      </c>
      <c r="AB276" s="352">
        <f t="shared" si="8"/>
        <v>4.8250000000000003E-3</v>
      </c>
      <c r="AC276" s="353"/>
      <c r="AD276" s="354"/>
      <c r="AE276" s="378" t="str">
        <f t="shared" si="21"/>
        <v/>
      </c>
      <c r="AF276" s="329"/>
      <c r="AG276" s="358"/>
      <c r="AH276" s="356" t="str">
        <f t="shared" si="22"/>
        <v/>
      </c>
      <c r="AI276" s="329"/>
      <c r="AJ276" s="329"/>
      <c r="AK276" s="356">
        <f t="shared" si="11"/>
        <v>0</v>
      </c>
      <c r="AL276" s="357"/>
      <c r="AM276" s="358"/>
      <c r="AN276" s="356">
        <f t="shared" si="12"/>
        <v>0</v>
      </c>
      <c r="AO276" s="329"/>
      <c r="AP276" s="358"/>
      <c r="AQ276" s="359">
        <f t="shared" si="13"/>
        <v>0</v>
      </c>
      <c r="AR276" s="360"/>
      <c r="AS276" s="358"/>
      <c r="AT276" s="356">
        <f t="shared" si="14"/>
        <v>0</v>
      </c>
      <c r="AU276" s="329"/>
      <c r="AV276" s="358"/>
      <c r="AW276" s="359">
        <f t="shared" si="15"/>
        <v>0</v>
      </c>
      <c r="AX276" s="329"/>
      <c r="AY276" s="358"/>
      <c r="AZ276" s="359">
        <f t="shared" si="16"/>
        <v>0</v>
      </c>
      <c r="BA276" s="329">
        <f>IF('Degrémont Entrée'!K276="",,('Degrémont Entrée'!K276-I276)/'Degrémont Entrée'!K276*100)</f>
        <v>96.139637975618768</v>
      </c>
      <c r="BB276" s="329">
        <f>IF('Degrémont Entrée'!G276="",,('Degrémont Entrée'!G276-G276)/'Degrémont Entrée'!G276*100)</f>
        <v>99.872521246458916</v>
      </c>
      <c r="BC276" s="329">
        <f>IF('Degrémont Entrée'!S276="",,('Degrémont Entrée'!S276-M276)/'Degrémont Entrée'!S276*100)</f>
        <v>99.65</v>
      </c>
      <c r="BD276" s="425">
        <f ca="1">IFERROR(__xludf.DUMMYFUNCTION("""COMPUTED_VALUE"""),52.0875)</f>
        <v>52.087499999999999</v>
      </c>
      <c r="BE276" s="362"/>
      <c r="BF276" s="363"/>
      <c r="BG276" s="363"/>
      <c r="BH276" s="338">
        <f t="shared" si="17"/>
        <v>0</v>
      </c>
      <c r="BI276" s="364"/>
      <c r="BJ276" s="365"/>
      <c r="BK276" s="371">
        <f>'Degrémont Entrée'!BH276</f>
        <v>0</v>
      </c>
      <c r="BL276" s="372">
        <f>'Degrémont Entrée'!BI276</f>
        <v>0</v>
      </c>
    </row>
    <row r="277" spans="1:64" ht="15.75" customHeight="1" outlineLevel="1">
      <c r="A277" s="337">
        <f t="shared" si="18"/>
        <v>43729</v>
      </c>
      <c r="B277" s="338">
        <f>'Degrémont Entrée'!B277</f>
        <v>730</v>
      </c>
      <c r="C277" s="339">
        <v>8.7100000000000009</v>
      </c>
      <c r="D277" s="340">
        <v>89.9</v>
      </c>
      <c r="E277" s="341">
        <v>91.1</v>
      </c>
      <c r="F277" s="342">
        <v>100</v>
      </c>
      <c r="G277" s="329">
        <f t="shared" si="0"/>
        <v>11.999999999999886</v>
      </c>
      <c r="H277" s="338"/>
      <c r="I277" s="343">
        <v>488</v>
      </c>
      <c r="J277" s="344">
        <f t="shared" si="2"/>
        <v>356.24</v>
      </c>
      <c r="K277" s="343">
        <v>1</v>
      </c>
      <c r="L277" s="329"/>
      <c r="M277" s="346" t="str">
        <f t="shared" si="3"/>
        <v/>
      </c>
      <c r="N277" s="338" t="e">
        <f t="shared" si="4"/>
        <v>#VALUE!</v>
      </c>
      <c r="O277" s="368"/>
      <c r="P277" s="347">
        <f t="shared" si="19"/>
        <v>0</v>
      </c>
      <c r="Q277" s="348"/>
      <c r="R277" s="369"/>
      <c r="S277" s="349">
        <f t="shared" si="20"/>
        <v>0</v>
      </c>
      <c r="T277" s="348"/>
      <c r="U277" s="369"/>
      <c r="V277" s="349">
        <f t="shared" si="5"/>
        <v>0</v>
      </c>
      <c r="W277" s="348"/>
      <c r="X277" s="318" t="str">
        <f t="shared" si="6"/>
        <v/>
      </c>
      <c r="Y277" s="370" t="e">
        <f t="shared" si="7"/>
        <v>#VALUE!</v>
      </c>
      <c r="Z277" s="343" t="s">
        <v>85</v>
      </c>
      <c r="AA277" s="345">
        <v>0.01</v>
      </c>
      <c r="AB277" s="352">
        <f t="shared" si="8"/>
        <v>3.65E-3</v>
      </c>
      <c r="AC277" s="353"/>
      <c r="AD277" s="354"/>
      <c r="AE277" s="378" t="str">
        <f t="shared" si="21"/>
        <v/>
      </c>
      <c r="AF277" s="329"/>
      <c r="AG277" s="358"/>
      <c r="AH277" s="356" t="str">
        <f t="shared" si="22"/>
        <v/>
      </c>
      <c r="AI277" s="329"/>
      <c r="AJ277" s="329"/>
      <c r="AK277" s="356">
        <f t="shared" si="11"/>
        <v>0</v>
      </c>
      <c r="AL277" s="357"/>
      <c r="AM277" s="358"/>
      <c r="AN277" s="356">
        <f t="shared" si="12"/>
        <v>0</v>
      </c>
      <c r="AO277" s="329"/>
      <c r="AP277" s="358"/>
      <c r="AQ277" s="359">
        <f t="shared" si="13"/>
        <v>0</v>
      </c>
      <c r="AR277" s="360"/>
      <c r="AS277" s="358"/>
      <c r="AT277" s="356">
        <f t="shared" si="14"/>
        <v>0</v>
      </c>
      <c r="AU277" s="329"/>
      <c r="AV277" s="358"/>
      <c r="AW277" s="359">
        <f t="shared" si="15"/>
        <v>0</v>
      </c>
      <c r="AX277" s="329"/>
      <c r="AY277" s="358"/>
      <c r="AZ277" s="359">
        <f t="shared" si="16"/>
        <v>0</v>
      </c>
      <c r="BA277" s="329">
        <f>IF('Degrémont Entrée'!K277="",,('Degrémont Entrée'!K277-I277)/'Degrémont Entrée'!K277*100)</f>
        <v>94.624366600572813</v>
      </c>
      <c r="BB277" s="329">
        <f>IF('Degrémont Entrée'!G277="",,('Degrémont Entrée'!G277-G277)/'Degrémont Entrée'!G277*100)</f>
        <v>99.910820451843037</v>
      </c>
      <c r="BC277" s="329" t="e">
        <f>IF('Degrémont Entrée'!S277="",,('Degrémont Entrée'!S277-M277)/'Degrémont Entrée'!S277*100)</f>
        <v>#VALUE!</v>
      </c>
      <c r="BD277" s="425">
        <f ca="1">IFERROR(__xludf.DUMMYFUNCTION("""COMPUTED_VALUE"""),52.4)</f>
        <v>52.4</v>
      </c>
      <c r="BE277" s="362"/>
      <c r="BF277" s="363"/>
      <c r="BG277" s="363"/>
      <c r="BH277" s="338">
        <f t="shared" si="17"/>
        <v>0</v>
      </c>
      <c r="BI277" s="364"/>
      <c r="BJ277" s="365"/>
      <c r="BK277" s="366">
        <f>'Degrémont Entrée'!BH277</f>
        <v>0</v>
      </c>
      <c r="BL277" s="367">
        <f>'Degrémont Entrée'!BI277</f>
        <v>0</v>
      </c>
    </row>
    <row r="278" spans="1:64" ht="14.25" outlineLevel="1">
      <c r="A278" s="337">
        <f t="shared" si="18"/>
        <v>43730</v>
      </c>
      <c r="B278" s="338">
        <f>'Degrémont Entrée'!B278</f>
        <v>0</v>
      </c>
      <c r="C278" s="338"/>
      <c r="D278" s="388"/>
      <c r="E278" s="368"/>
      <c r="F278" s="357"/>
      <c r="G278" s="329">
        <f t="shared" si="0"/>
        <v>0</v>
      </c>
      <c r="H278" s="338"/>
      <c r="I278" s="346"/>
      <c r="J278" s="344">
        <f t="shared" si="2"/>
        <v>0</v>
      </c>
      <c r="K278" s="343">
        <v>1</v>
      </c>
      <c r="L278" s="329"/>
      <c r="M278" s="346" t="str">
        <f t="shared" si="3"/>
        <v/>
      </c>
      <c r="N278" s="338" t="e">
        <f t="shared" si="4"/>
        <v>#VALUE!</v>
      </c>
      <c r="O278" s="368"/>
      <c r="P278" s="347">
        <f t="shared" si="19"/>
        <v>0</v>
      </c>
      <c r="Q278" s="348"/>
      <c r="R278" s="369"/>
      <c r="S278" s="349">
        <f t="shared" si="20"/>
        <v>0</v>
      </c>
      <c r="T278" s="348"/>
      <c r="U278" s="369"/>
      <c r="V278" s="349">
        <f t="shared" si="5"/>
        <v>0</v>
      </c>
      <c r="W278" s="348"/>
      <c r="X278" s="318" t="str">
        <f t="shared" si="6"/>
        <v/>
      </c>
      <c r="Y278" s="370" t="e">
        <f t="shared" si="7"/>
        <v>#VALUE!</v>
      </c>
      <c r="Z278" s="346"/>
      <c r="AA278" s="329"/>
      <c r="AB278" s="352">
        <f t="shared" si="8"/>
        <v>0</v>
      </c>
      <c r="AC278" s="353"/>
      <c r="AD278" s="354"/>
      <c r="AE278" s="378" t="str">
        <f t="shared" si="21"/>
        <v/>
      </c>
      <c r="AF278" s="329"/>
      <c r="AG278" s="358"/>
      <c r="AH278" s="356" t="str">
        <f t="shared" si="22"/>
        <v/>
      </c>
      <c r="AI278" s="329"/>
      <c r="AJ278" s="329"/>
      <c r="AK278" s="356">
        <f t="shared" si="11"/>
        <v>0</v>
      </c>
      <c r="AL278" s="357"/>
      <c r="AM278" s="358"/>
      <c r="AN278" s="356">
        <f t="shared" si="12"/>
        <v>0</v>
      </c>
      <c r="AO278" s="329"/>
      <c r="AP278" s="358"/>
      <c r="AQ278" s="359">
        <f t="shared" si="13"/>
        <v>0</v>
      </c>
      <c r="AR278" s="360"/>
      <c r="AS278" s="358"/>
      <c r="AT278" s="356">
        <f t="shared" si="14"/>
        <v>0</v>
      </c>
      <c r="AU278" s="329"/>
      <c r="AV278" s="358"/>
      <c r="AW278" s="359">
        <f t="shared" si="15"/>
        <v>0</v>
      </c>
      <c r="AX278" s="329"/>
      <c r="AY278" s="358"/>
      <c r="AZ278" s="359">
        <f t="shared" si="16"/>
        <v>0</v>
      </c>
      <c r="BA278" s="329" t="e">
        <f>IF('Degrémont Entrée'!K278="",,('Degrémont Entrée'!K278-I278)/'Degrémont Entrée'!K278*100)</f>
        <v>#DIV/0!</v>
      </c>
      <c r="BB278" s="329" t="e">
        <f>IF('Degrémont Entrée'!G278="",,('Degrémont Entrée'!G278-G278)/'Degrémont Entrée'!G278*100)</f>
        <v>#DIV/0!</v>
      </c>
      <c r="BC278" s="329">
        <f>IF('Degrémont Entrée'!S278="",,('Degrémont Entrée'!S278-M278)/'Degrémont Entrée'!S278*100)</f>
        <v>0</v>
      </c>
      <c r="BD278" s="425" t="str">
        <f ca="1">IFERROR(__xludf.DUMMYFUNCTION("""COMPUTED_VALUE"""),"#DIV/0!")</f>
        <v>#DIV/0!</v>
      </c>
      <c r="BE278" s="362"/>
      <c r="BF278" s="363"/>
      <c r="BG278" s="363"/>
      <c r="BH278" s="338">
        <f t="shared" si="17"/>
        <v>0</v>
      </c>
      <c r="BI278" s="364"/>
      <c r="BJ278" s="365"/>
      <c r="BK278" s="371">
        <f>'Degrémont Entrée'!BH278</f>
        <v>0</v>
      </c>
      <c r="BL278" s="372">
        <f>'Degrémont Entrée'!BI278</f>
        <v>0</v>
      </c>
    </row>
    <row r="279" spans="1:64" ht="15.75" customHeight="1" outlineLevel="1">
      <c r="A279" s="337">
        <f t="shared" si="18"/>
        <v>43731</v>
      </c>
      <c r="B279" s="338">
        <f>'Degrémont Entrée'!B279</f>
        <v>796</v>
      </c>
      <c r="C279" s="339">
        <v>9.1</v>
      </c>
      <c r="D279" s="340">
        <v>87.5</v>
      </c>
      <c r="E279" s="341">
        <v>88.2</v>
      </c>
      <c r="F279" s="342">
        <v>100</v>
      </c>
      <c r="G279" s="329">
        <f t="shared" si="0"/>
        <v>7.0000000000000284</v>
      </c>
      <c r="H279" s="338"/>
      <c r="I279" s="343">
        <v>267</v>
      </c>
      <c r="J279" s="344">
        <f t="shared" si="2"/>
        <v>212.53200000000001</v>
      </c>
      <c r="K279" s="343">
        <v>1</v>
      </c>
      <c r="L279" s="345">
        <v>0.63</v>
      </c>
      <c r="M279" s="346">
        <f t="shared" si="3"/>
        <v>0.63</v>
      </c>
      <c r="N279" s="338">
        <f t="shared" si="4"/>
        <v>0.50148000000000004</v>
      </c>
      <c r="O279" s="368"/>
      <c r="P279" s="347">
        <f t="shared" si="19"/>
        <v>0</v>
      </c>
      <c r="Q279" s="348"/>
      <c r="R279" s="369"/>
      <c r="S279" s="349">
        <f t="shared" si="20"/>
        <v>0</v>
      </c>
      <c r="T279" s="348"/>
      <c r="U279" s="369"/>
      <c r="V279" s="349">
        <f t="shared" si="5"/>
        <v>0</v>
      </c>
      <c r="W279" s="348"/>
      <c r="X279" s="318" t="str">
        <f t="shared" si="6"/>
        <v/>
      </c>
      <c r="Y279" s="370" t="e">
        <f t="shared" si="7"/>
        <v>#VALUE!</v>
      </c>
      <c r="Z279" s="343" t="s">
        <v>85</v>
      </c>
      <c r="AA279" s="345">
        <v>0.01</v>
      </c>
      <c r="AB279" s="352">
        <f t="shared" si="8"/>
        <v>3.98E-3</v>
      </c>
      <c r="AC279" s="353"/>
      <c r="AD279" s="354"/>
      <c r="AE279" s="378" t="str">
        <f t="shared" si="21"/>
        <v/>
      </c>
      <c r="AF279" s="329"/>
      <c r="AG279" s="358"/>
      <c r="AH279" s="356" t="str">
        <f t="shared" si="22"/>
        <v/>
      </c>
      <c r="AI279" s="329"/>
      <c r="AJ279" s="329"/>
      <c r="AK279" s="356">
        <f t="shared" si="11"/>
        <v>0</v>
      </c>
      <c r="AL279" s="357"/>
      <c r="AM279" s="358"/>
      <c r="AN279" s="356">
        <f t="shared" si="12"/>
        <v>0</v>
      </c>
      <c r="AO279" s="329"/>
      <c r="AP279" s="358"/>
      <c r="AQ279" s="359">
        <f t="shared" si="13"/>
        <v>0</v>
      </c>
      <c r="AR279" s="360"/>
      <c r="AS279" s="358"/>
      <c r="AT279" s="356">
        <f t="shared" si="14"/>
        <v>0</v>
      </c>
      <c r="AU279" s="329"/>
      <c r="AV279" s="358"/>
      <c r="AW279" s="359">
        <f t="shared" si="15"/>
        <v>0</v>
      </c>
      <c r="AX279" s="329"/>
      <c r="AY279" s="358"/>
      <c r="AZ279" s="359">
        <f t="shared" si="16"/>
        <v>0</v>
      </c>
      <c r="BA279" s="329">
        <f>IF('Degrémont Entrée'!K279="",,('Degrémont Entrée'!K279-I279)/'Degrémont Entrée'!K279*100)</f>
        <v>93.985131786438387</v>
      </c>
      <c r="BB279" s="329">
        <f>IF('Degrémont Entrée'!G279="",,('Degrémont Entrée'!G279-G279)/'Degrémont Entrée'!G279*100)</f>
        <v>99.876397881106541</v>
      </c>
      <c r="BC279" s="329">
        <f>IF('Degrémont Entrée'!S279="",,('Degrémont Entrée'!S279-M279)/'Degrémont Entrée'!S279*100)</f>
        <v>99.79</v>
      </c>
      <c r="BD279" s="425">
        <f ca="1">IFERROR(__xludf.DUMMYFUNCTION("""COMPUTED_VALUE"""),52.8599999999999)</f>
        <v>52.8599999999999</v>
      </c>
      <c r="BE279" s="386">
        <v>21.8523</v>
      </c>
      <c r="BF279" s="387">
        <v>26.165199999999999</v>
      </c>
      <c r="BG279" s="387">
        <v>24.272600000000001</v>
      </c>
      <c r="BH279" s="338">
        <f t="shared" si="17"/>
        <v>56.11769343133394</v>
      </c>
      <c r="BI279" s="364"/>
      <c r="BJ279" s="365"/>
      <c r="BK279" s="366">
        <f>'Degrémont Entrée'!BH279</f>
        <v>0</v>
      </c>
      <c r="BL279" s="367">
        <f>'Degrémont Entrée'!BI279</f>
        <v>0</v>
      </c>
    </row>
    <row r="280" spans="1:64" ht="14.25" outlineLevel="1">
      <c r="A280" s="337">
        <f t="shared" si="18"/>
        <v>43732</v>
      </c>
      <c r="B280" s="338">
        <f>'Degrémont Entrée'!B280</f>
        <v>1280</v>
      </c>
      <c r="C280" s="339">
        <v>8.94</v>
      </c>
      <c r="D280" s="340">
        <v>87.1</v>
      </c>
      <c r="E280" s="341">
        <v>87.9</v>
      </c>
      <c r="F280" s="342">
        <v>100</v>
      </c>
      <c r="G280" s="329">
        <f t="shared" si="0"/>
        <v>8.0000000000001137</v>
      </c>
      <c r="H280" s="338"/>
      <c r="I280" s="343">
        <v>1080</v>
      </c>
      <c r="J280" s="344">
        <f t="shared" si="2"/>
        <v>1382.4</v>
      </c>
      <c r="K280" s="343">
        <v>1</v>
      </c>
      <c r="L280" s="345">
        <v>0.8</v>
      </c>
      <c r="M280" s="346">
        <f t="shared" si="3"/>
        <v>0.8</v>
      </c>
      <c r="N280" s="338">
        <f t="shared" si="4"/>
        <v>1.024</v>
      </c>
      <c r="O280" s="341">
        <v>11.6</v>
      </c>
      <c r="P280" s="347">
        <f t="shared" si="19"/>
        <v>14.848000000000001</v>
      </c>
      <c r="Q280" s="348"/>
      <c r="R280" s="369"/>
      <c r="S280" s="349">
        <f t="shared" si="20"/>
        <v>0</v>
      </c>
      <c r="T280" s="348"/>
      <c r="U280" s="369"/>
      <c r="V280" s="349">
        <f t="shared" si="5"/>
        <v>0</v>
      </c>
      <c r="W280" s="348"/>
      <c r="X280" s="318">
        <f t="shared" si="6"/>
        <v>11.6</v>
      </c>
      <c r="Y280" s="370">
        <f t="shared" si="7"/>
        <v>14.848000000000001</v>
      </c>
      <c r="Z280" s="343" t="s">
        <v>85</v>
      </c>
      <c r="AA280" s="345">
        <v>0.01</v>
      </c>
      <c r="AB280" s="352">
        <f t="shared" si="8"/>
        <v>6.4000000000000003E-3</v>
      </c>
      <c r="AC280" s="353"/>
      <c r="AD280" s="354"/>
      <c r="AE280" s="378" t="str">
        <f t="shared" si="21"/>
        <v/>
      </c>
      <c r="AF280" s="329"/>
      <c r="AG280" s="355">
        <v>0.48</v>
      </c>
      <c r="AH280" s="356">
        <f t="shared" si="22"/>
        <v>2.8007999999999997</v>
      </c>
      <c r="AI280" s="329"/>
      <c r="AJ280" s="345">
        <v>0.99</v>
      </c>
      <c r="AK280" s="356">
        <f t="shared" si="11"/>
        <v>1.2672000000000001</v>
      </c>
      <c r="AL280" s="342" t="s">
        <v>85</v>
      </c>
      <c r="AM280" s="355">
        <v>0.03</v>
      </c>
      <c r="AN280" s="356">
        <f t="shared" si="12"/>
        <v>1.9199999999999998E-2</v>
      </c>
      <c r="AO280" s="329"/>
      <c r="AP280" s="355">
        <v>0.11</v>
      </c>
      <c r="AQ280" s="359">
        <f t="shared" si="13"/>
        <v>0.14080000000000001</v>
      </c>
      <c r="AR280" s="360"/>
      <c r="AS280" s="355">
        <v>0.99</v>
      </c>
      <c r="AT280" s="356">
        <f t="shared" si="14"/>
        <v>1.2672000000000001</v>
      </c>
      <c r="AU280" s="345" t="s">
        <v>85</v>
      </c>
      <c r="AV280" s="355">
        <v>0.15</v>
      </c>
      <c r="AW280" s="359">
        <f t="shared" si="15"/>
        <v>9.6000000000000002E-2</v>
      </c>
      <c r="AX280" s="345" t="s">
        <v>85</v>
      </c>
      <c r="AY280" s="355">
        <v>0.13</v>
      </c>
      <c r="AZ280" s="359">
        <f t="shared" si="16"/>
        <v>8.3199999999999996E-2</v>
      </c>
      <c r="BA280" s="329">
        <f>IF('Degrémont Entrée'!K280="",,('Degrémont Entrée'!K280-I280)/'Degrémont Entrée'!K280*100)</f>
        <v>85.716175109112541</v>
      </c>
      <c r="BB280" s="329">
        <f>IF('Degrémont Entrée'!G280="",,('Degrémont Entrée'!G280-G280)/'Degrémont Entrée'!G280*100)</f>
        <v>99.894133215703576</v>
      </c>
      <c r="BC280" s="329">
        <f>IF('Degrémont Entrée'!S280="",,('Degrémont Entrée'!S280-M280)/'Degrémont Entrée'!S280*100)</f>
        <v>99.77653631284916</v>
      </c>
      <c r="BD280" s="425">
        <f ca="1">IFERROR(__xludf.DUMMYFUNCTION("""COMPUTED_VALUE"""),52.675)</f>
        <v>52.674999999999997</v>
      </c>
      <c r="BE280" s="362"/>
      <c r="BF280" s="363"/>
      <c r="BG280" s="363"/>
      <c r="BH280" s="338">
        <f t="shared" si="17"/>
        <v>0</v>
      </c>
      <c r="BI280" s="364"/>
      <c r="BJ280" s="365"/>
      <c r="BK280" s="371">
        <f>'Degrémont Entrée'!BH280</f>
        <v>0</v>
      </c>
      <c r="BL280" s="372">
        <f>'Degrémont Entrée'!BI280</f>
        <v>0</v>
      </c>
    </row>
    <row r="281" spans="1:64" ht="15.75" customHeight="1" outlineLevel="1">
      <c r="A281" s="337">
        <f t="shared" si="18"/>
        <v>43733</v>
      </c>
      <c r="B281" s="338">
        <f>'Degrémont Entrée'!B281</f>
        <v>1047</v>
      </c>
      <c r="C281" s="339">
        <v>8.86</v>
      </c>
      <c r="D281" s="340">
        <v>87.5</v>
      </c>
      <c r="E281" s="341">
        <v>89.3</v>
      </c>
      <c r="F281" s="342">
        <v>100</v>
      </c>
      <c r="G281" s="329">
        <f t="shared" si="0"/>
        <v>17.999999999999972</v>
      </c>
      <c r="H281" s="338"/>
      <c r="I281" s="343">
        <v>1203</v>
      </c>
      <c r="J281" s="344">
        <f t="shared" si="2"/>
        <v>1259.5409999999999</v>
      </c>
      <c r="K281" s="343">
        <v>1</v>
      </c>
      <c r="L281" s="345">
        <v>0.92</v>
      </c>
      <c r="M281" s="346">
        <f t="shared" si="3"/>
        <v>0.92</v>
      </c>
      <c r="N281" s="338">
        <f t="shared" si="4"/>
        <v>0.96323999999999999</v>
      </c>
      <c r="O281" s="368"/>
      <c r="P281" s="347">
        <f t="shared" si="19"/>
        <v>0</v>
      </c>
      <c r="Q281" s="348"/>
      <c r="R281" s="369"/>
      <c r="S281" s="349">
        <f t="shared" si="20"/>
        <v>0</v>
      </c>
      <c r="T281" s="348"/>
      <c r="U281" s="369"/>
      <c r="V281" s="349">
        <f t="shared" si="5"/>
        <v>0</v>
      </c>
      <c r="W281" s="348"/>
      <c r="X281" s="318" t="str">
        <f t="shared" si="6"/>
        <v/>
      </c>
      <c r="Y281" s="370" t="e">
        <f t="shared" si="7"/>
        <v>#VALUE!</v>
      </c>
      <c r="Z281" s="343" t="s">
        <v>85</v>
      </c>
      <c r="AA281" s="345">
        <v>0.01</v>
      </c>
      <c r="AB281" s="352">
        <f t="shared" si="8"/>
        <v>5.2350000000000001E-3</v>
      </c>
      <c r="AC281" s="353"/>
      <c r="AD281" s="354"/>
      <c r="AE281" s="378" t="str">
        <f t="shared" si="21"/>
        <v/>
      </c>
      <c r="AF281" s="329"/>
      <c r="AG281" s="358"/>
      <c r="AH281" s="356" t="str">
        <f t="shared" si="22"/>
        <v/>
      </c>
      <c r="AI281" s="329"/>
      <c r="AJ281" s="329"/>
      <c r="AK281" s="356">
        <f t="shared" si="11"/>
        <v>0</v>
      </c>
      <c r="AL281" s="357"/>
      <c r="AM281" s="358"/>
      <c r="AN281" s="356">
        <f t="shared" si="12"/>
        <v>0</v>
      </c>
      <c r="AO281" s="329"/>
      <c r="AP281" s="358"/>
      <c r="AQ281" s="359">
        <f t="shared" si="13"/>
        <v>0</v>
      </c>
      <c r="AR281" s="360"/>
      <c r="AS281" s="358"/>
      <c r="AT281" s="356">
        <f t="shared" si="14"/>
        <v>0</v>
      </c>
      <c r="AU281" s="329"/>
      <c r="AV281" s="358"/>
      <c r="AW281" s="359">
        <f t="shared" si="15"/>
        <v>0</v>
      </c>
      <c r="AX281" s="329"/>
      <c r="AY281" s="358"/>
      <c r="AZ281" s="359">
        <f t="shared" si="16"/>
        <v>0</v>
      </c>
      <c r="BA281" s="329">
        <f>IF('Degrémont Entrée'!K281="",,('Degrémont Entrée'!K281-I281)/'Degrémont Entrée'!K281*100)</f>
        <v>85.105856134703487</v>
      </c>
      <c r="BB281" s="329">
        <f>IF('Degrémont Entrée'!G281="",,('Degrémont Entrée'!G281-G281)/'Degrémont Entrée'!G281*100)</f>
        <v>99.762637362637363</v>
      </c>
      <c r="BC281" s="329">
        <f>IF('Degrémont Entrée'!S281="",,('Degrémont Entrée'!S281-M281)/'Degrémont Entrée'!S281*100)</f>
        <v>99.74444444444444</v>
      </c>
      <c r="BD281" s="425">
        <f ca="1">IFERROR(__xludf.DUMMYFUNCTION("""COMPUTED_VALUE"""),52.6125)</f>
        <v>52.612499999999997</v>
      </c>
      <c r="BE281" s="362"/>
      <c r="BF281" s="363"/>
      <c r="BG281" s="363"/>
      <c r="BH281" s="338">
        <f t="shared" si="17"/>
        <v>0</v>
      </c>
      <c r="BI281" s="364"/>
      <c r="BJ281" s="365"/>
      <c r="BK281" s="366">
        <f>'Degrémont Entrée'!BH281</f>
        <v>0</v>
      </c>
      <c r="BL281" s="367">
        <f>'Degrémont Entrée'!BI281</f>
        <v>0</v>
      </c>
    </row>
    <row r="282" spans="1:64" ht="14.25" outlineLevel="1">
      <c r="A282" s="337">
        <f t="shared" si="18"/>
        <v>43734</v>
      </c>
      <c r="B282" s="338">
        <f>'Degrémont Entrée'!B282</f>
        <v>1194</v>
      </c>
      <c r="C282" s="339">
        <v>9.2100000000000009</v>
      </c>
      <c r="D282" s="340">
        <v>89.3</v>
      </c>
      <c r="E282" s="341">
        <v>89.9</v>
      </c>
      <c r="F282" s="342">
        <v>100</v>
      </c>
      <c r="G282" s="329">
        <f t="shared" si="0"/>
        <v>6.0000000000000853</v>
      </c>
      <c r="H282" s="338"/>
      <c r="I282" s="343">
        <v>1149</v>
      </c>
      <c r="J282" s="344">
        <f t="shared" si="2"/>
        <v>1371.9059999999999</v>
      </c>
      <c r="K282" s="343">
        <v>1</v>
      </c>
      <c r="L282" s="345">
        <v>0.38</v>
      </c>
      <c r="M282" s="346">
        <f t="shared" si="3"/>
        <v>0.38</v>
      </c>
      <c r="N282" s="338">
        <f t="shared" si="4"/>
        <v>0.45372000000000001</v>
      </c>
      <c r="O282" s="368"/>
      <c r="P282" s="347">
        <f t="shared" si="19"/>
        <v>0</v>
      </c>
      <c r="Q282" s="348"/>
      <c r="R282" s="369"/>
      <c r="S282" s="349">
        <f t="shared" si="20"/>
        <v>0</v>
      </c>
      <c r="T282" s="348"/>
      <c r="U282" s="369"/>
      <c r="V282" s="349">
        <f t="shared" si="5"/>
        <v>0</v>
      </c>
      <c r="W282" s="348"/>
      <c r="X282" s="318" t="str">
        <f t="shared" si="6"/>
        <v/>
      </c>
      <c r="Y282" s="370" t="e">
        <f t="shared" si="7"/>
        <v>#VALUE!</v>
      </c>
      <c r="Z282" s="343" t="s">
        <v>85</v>
      </c>
      <c r="AA282" s="345">
        <v>0.01</v>
      </c>
      <c r="AB282" s="352">
        <f t="shared" si="8"/>
        <v>5.9699999999999996E-3</v>
      </c>
      <c r="AC282" s="353"/>
      <c r="AD282" s="354"/>
      <c r="AE282" s="378" t="str">
        <f t="shared" si="21"/>
        <v/>
      </c>
      <c r="AF282" s="329"/>
      <c r="AG282" s="358"/>
      <c r="AH282" s="356" t="str">
        <f t="shared" si="22"/>
        <v/>
      </c>
      <c r="AI282" s="329"/>
      <c r="AJ282" s="329"/>
      <c r="AK282" s="356">
        <f t="shared" si="11"/>
        <v>0</v>
      </c>
      <c r="AL282" s="357"/>
      <c r="AM282" s="358"/>
      <c r="AN282" s="356">
        <f t="shared" si="12"/>
        <v>0</v>
      </c>
      <c r="AO282" s="329"/>
      <c r="AP282" s="358"/>
      <c r="AQ282" s="359">
        <f t="shared" si="13"/>
        <v>0</v>
      </c>
      <c r="AR282" s="360"/>
      <c r="AS282" s="358"/>
      <c r="AT282" s="356">
        <f t="shared" si="14"/>
        <v>0</v>
      </c>
      <c r="AU282" s="329"/>
      <c r="AV282" s="358"/>
      <c r="AW282" s="359">
        <f t="shared" si="15"/>
        <v>0</v>
      </c>
      <c r="AX282" s="329"/>
      <c r="AY282" s="358"/>
      <c r="AZ282" s="359">
        <f t="shared" si="16"/>
        <v>0</v>
      </c>
      <c r="BA282" s="329">
        <f>IF('Degrémont Entrée'!K282="",,('Degrémont Entrée'!K282-I282)/'Degrémont Entrée'!K282*100)</f>
        <v>83.058094957239746</v>
      </c>
      <c r="BB282" s="329">
        <f>IF('Degrémont Entrée'!G282="",,('Degrémont Entrée'!G282-G282)/'Degrémont Entrée'!G282*100)</f>
        <v>99.882198952879591</v>
      </c>
      <c r="BC282" s="329">
        <f>IF('Degrémont Entrée'!S282="",,('Degrémont Entrée'!S282-M282)/'Degrémont Entrée'!S282*100)</f>
        <v>99.834782608695647</v>
      </c>
      <c r="BD282" s="425">
        <f ca="1">IFERROR(__xludf.DUMMYFUNCTION("""COMPUTED_VALUE"""),52.5875)</f>
        <v>52.587499999999999</v>
      </c>
      <c r="BE282" s="362"/>
      <c r="BF282" s="363"/>
      <c r="BG282" s="363"/>
      <c r="BH282" s="338">
        <f t="shared" si="17"/>
        <v>0</v>
      </c>
      <c r="BI282" s="364"/>
      <c r="BJ282" s="365"/>
      <c r="BK282" s="371">
        <f>'Degrémont Entrée'!BH282</f>
        <v>0</v>
      </c>
      <c r="BL282" s="372">
        <f>'Degrémont Entrée'!BI282</f>
        <v>0</v>
      </c>
    </row>
    <row r="283" spans="1:64" ht="15.75" customHeight="1" outlineLevel="1">
      <c r="A283" s="337">
        <f t="shared" si="18"/>
        <v>43735</v>
      </c>
      <c r="B283" s="338">
        <f>'Degrémont Entrée'!B283</f>
        <v>1051</v>
      </c>
      <c r="C283" s="339">
        <v>8.52</v>
      </c>
      <c r="D283" s="340">
        <v>88.8</v>
      </c>
      <c r="E283" s="341">
        <v>89.4</v>
      </c>
      <c r="F283" s="342">
        <v>100</v>
      </c>
      <c r="G283" s="329">
        <f t="shared" si="0"/>
        <v>6.0000000000000853</v>
      </c>
      <c r="H283" s="338"/>
      <c r="I283" s="343">
        <v>536</v>
      </c>
      <c r="J283" s="344">
        <f t="shared" si="2"/>
        <v>563.33600000000001</v>
      </c>
      <c r="K283" s="343">
        <v>1</v>
      </c>
      <c r="L283" s="345">
        <v>0.23</v>
      </c>
      <c r="M283" s="346">
        <f t="shared" si="3"/>
        <v>0.23</v>
      </c>
      <c r="N283" s="338">
        <f t="shared" si="4"/>
        <v>0.24173000000000003</v>
      </c>
      <c r="O283" s="368"/>
      <c r="P283" s="347">
        <f t="shared" si="19"/>
        <v>0</v>
      </c>
      <c r="Q283" s="348"/>
      <c r="R283" s="369"/>
      <c r="S283" s="349">
        <f t="shared" si="20"/>
        <v>0</v>
      </c>
      <c r="T283" s="348"/>
      <c r="U283" s="369"/>
      <c r="V283" s="349">
        <f t="shared" si="5"/>
        <v>0</v>
      </c>
      <c r="W283" s="348"/>
      <c r="X283" s="318" t="str">
        <f t="shared" si="6"/>
        <v/>
      </c>
      <c r="Y283" s="370" t="e">
        <f t="shared" si="7"/>
        <v>#VALUE!</v>
      </c>
      <c r="Z283" s="343" t="s">
        <v>85</v>
      </c>
      <c r="AA283" s="345">
        <v>0.01</v>
      </c>
      <c r="AB283" s="352">
        <f t="shared" si="8"/>
        <v>5.2550000000000001E-3</v>
      </c>
      <c r="AC283" s="353"/>
      <c r="AD283" s="354"/>
      <c r="AE283" s="378" t="str">
        <f t="shared" si="21"/>
        <v/>
      </c>
      <c r="AF283" s="329"/>
      <c r="AG283" s="358"/>
      <c r="AH283" s="356" t="str">
        <f t="shared" si="22"/>
        <v/>
      </c>
      <c r="AI283" s="329"/>
      <c r="AJ283" s="329"/>
      <c r="AK283" s="356">
        <f t="shared" si="11"/>
        <v>0</v>
      </c>
      <c r="AL283" s="357"/>
      <c r="AM283" s="358"/>
      <c r="AN283" s="356">
        <f t="shared" si="12"/>
        <v>0</v>
      </c>
      <c r="AO283" s="329"/>
      <c r="AP283" s="358"/>
      <c r="AQ283" s="359">
        <f t="shared" si="13"/>
        <v>0</v>
      </c>
      <c r="AR283" s="360"/>
      <c r="AS283" s="358"/>
      <c r="AT283" s="356">
        <f t="shared" si="14"/>
        <v>0</v>
      </c>
      <c r="AU283" s="329"/>
      <c r="AV283" s="358"/>
      <c r="AW283" s="359">
        <f t="shared" si="15"/>
        <v>0</v>
      </c>
      <c r="AX283" s="329"/>
      <c r="AY283" s="358"/>
      <c r="AZ283" s="359">
        <f t="shared" si="16"/>
        <v>0</v>
      </c>
      <c r="BA283" s="329">
        <f>IF('Degrémont Entrée'!K283="",,('Degrémont Entrée'!K283-I283)/'Degrémont Entrée'!K283*100)</f>
        <v>88.154696132596683</v>
      </c>
      <c r="BB283" s="329">
        <f>IF('Degrémont Entrée'!G283="",,('Degrémont Entrée'!G283-G283)/'Degrémont Entrée'!G283*100)</f>
        <v>99.854014598540147</v>
      </c>
      <c r="BC283" s="329">
        <f>IF('Degrémont Entrée'!S283="",,('Degrémont Entrée'!S283-M283)/'Degrémont Entrée'!S283*100)</f>
        <v>99.881075491209941</v>
      </c>
      <c r="BD283" s="425">
        <f ca="1">IFERROR(__xludf.DUMMYFUNCTION("""COMPUTED_VALUE"""),53.5625)</f>
        <v>53.5625</v>
      </c>
      <c r="BE283" s="362"/>
      <c r="BF283" s="363"/>
      <c r="BG283" s="363"/>
      <c r="BH283" s="338">
        <f t="shared" si="17"/>
        <v>0</v>
      </c>
      <c r="BI283" s="364"/>
      <c r="BJ283" s="365"/>
      <c r="BK283" s="366">
        <f>'Degrémont Entrée'!BH283</f>
        <v>0</v>
      </c>
      <c r="BL283" s="367">
        <f>'Degrémont Entrée'!BI283</f>
        <v>0</v>
      </c>
    </row>
    <row r="284" spans="1:64" ht="14.25" outlineLevel="1">
      <c r="A284" s="337">
        <f t="shared" si="18"/>
        <v>43736</v>
      </c>
      <c r="B284" s="338">
        <f>'Degrémont Entrée'!B284</f>
        <v>1806</v>
      </c>
      <c r="C284" s="339">
        <v>8.65</v>
      </c>
      <c r="D284" s="340">
        <v>87.6</v>
      </c>
      <c r="E284" s="341">
        <v>88.2</v>
      </c>
      <c r="F284" s="342">
        <v>100</v>
      </c>
      <c r="G284" s="329">
        <f t="shared" si="0"/>
        <v>6.0000000000000853</v>
      </c>
      <c r="H284" s="338"/>
      <c r="I284" s="343">
        <v>600</v>
      </c>
      <c r="J284" s="344">
        <f t="shared" si="2"/>
        <v>1083.5999999999999</v>
      </c>
      <c r="K284" s="343">
        <v>1</v>
      </c>
      <c r="L284" s="345">
        <v>0.59</v>
      </c>
      <c r="M284" s="346">
        <f t="shared" si="3"/>
        <v>0.59</v>
      </c>
      <c r="N284" s="338">
        <f t="shared" si="4"/>
        <v>1.0655399999999999</v>
      </c>
      <c r="O284" s="368"/>
      <c r="P284" s="347">
        <f t="shared" si="19"/>
        <v>0</v>
      </c>
      <c r="Q284" s="348"/>
      <c r="R284" s="369"/>
      <c r="S284" s="349">
        <f t="shared" si="20"/>
        <v>0</v>
      </c>
      <c r="T284" s="348"/>
      <c r="U284" s="369"/>
      <c r="V284" s="349">
        <f t="shared" si="5"/>
        <v>0</v>
      </c>
      <c r="W284" s="348"/>
      <c r="X284" s="318" t="str">
        <f t="shared" si="6"/>
        <v/>
      </c>
      <c r="Y284" s="370" t="e">
        <f t="shared" si="7"/>
        <v>#VALUE!</v>
      </c>
      <c r="Z284" s="343" t="s">
        <v>85</v>
      </c>
      <c r="AA284" s="345">
        <v>0.01</v>
      </c>
      <c r="AB284" s="352">
        <f t="shared" si="8"/>
        <v>9.0299999999999998E-3</v>
      </c>
      <c r="AC284" s="353"/>
      <c r="AD284" s="354"/>
      <c r="AE284" s="378" t="str">
        <f t="shared" si="21"/>
        <v/>
      </c>
      <c r="AF284" s="329"/>
      <c r="AG284" s="358"/>
      <c r="AH284" s="356" t="str">
        <f t="shared" si="22"/>
        <v/>
      </c>
      <c r="AI284" s="329"/>
      <c r="AJ284" s="329"/>
      <c r="AK284" s="356">
        <f t="shared" si="11"/>
        <v>0</v>
      </c>
      <c r="AL284" s="357"/>
      <c r="AM284" s="358"/>
      <c r="AN284" s="356">
        <f t="shared" si="12"/>
        <v>0</v>
      </c>
      <c r="AO284" s="329"/>
      <c r="AP284" s="358"/>
      <c r="AQ284" s="359">
        <f t="shared" si="13"/>
        <v>0</v>
      </c>
      <c r="AR284" s="360"/>
      <c r="AS284" s="358"/>
      <c r="AT284" s="356">
        <f t="shared" si="14"/>
        <v>0</v>
      </c>
      <c r="AU284" s="329"/>
      <c r="AV284" s="358"/>
      <c r="AW284" s="359">
        <f t="shared" si="15"/>
        <v>0</v>
      </c>
      <c r="AX284" s="329"/>
      <c r="AY284" s="358"/>
      <c r="AZ284" s="359">
        <f t="shared" si="16"/>
        <v>0</v>
      </c>
      <c r="BA284" s="329">
        <f>IF('Degrémont Entrée'!K284="",,('Degrémont Entrée'!K284-I284)/'Degrémont Entrée'!K284*100)</f>
        <v>88.492520138089759</v>
      </c>
      <c r="BB284" s="329">
        <f>IF('Degrémont Entrée'!G284="",,('Degrémont Entrée'!G284-G284)/'Degrémont Entrée'!G284*100)</f>
        <v>99.880308880308874</v>
      </c>
      <c r="BC284" s="329">
        <f>IF('Degrémont Entrée'!S284="",,('Degrémont Entrée'!S284-M284)/'Degrémont Entrée'!S284*100)</f>
        <v>99.774809160305352</v>
      </c>
      <c r="BD284" s="425">
        <f ca="1">IFERROR(__xludf.DUMMYFUNCTION("""COMPUTED_VALUE"""),53.075)</f>
        <v>53.075000000000003</v>
      </c>
      <c r="BE284" s="362"/>
      <c r="BF284" s="363"/>
      <c r="BG284" s="363"/>
      <c r="BH284" s="338">
        <f t="shared" si="17"/>
        <v>0</v>
      </c>
      <c r="BI284" s="364"/>
      <c r="BJ284" s="365"/>
      <c r="BK284" s="371">
        <f>'Degrémont Entrée'!BH284</f>
        <v>0</v>
      </c>
      <c r="BL284" s="372">
        <f>'Degrémont Entrée'!BI284</f>
        <v>0</v>
      </c>
    </row>
    <row r="285" spans="1:64" ht="15.75" customHeight="1" outlineLevel="1">
      <c r="A285" s="337">
        <f t="shared" si="18"/>
        <v>43737</v>
      </c>
      <c r="B285" s="338">
        <f>'Degrémont Entrée'!B285</f>
        <v>0</v>
      </c>
      <c r="C285" s="338"/>
      <c r="D285" s="388"/>
      <c r="E285" s="368"/>
      <c r="F285" s="357"/>
      <c r="G285" s="329">
        <f t="shared" si="0"/>
        <v>0</v>
      </c>
      <c r="H285" s="338"/>
      <c r="I285" s="346"/>
      <c r="J285" s="344">
        <f t="shared" si="2"/>
        <v>0</v>
      </c>
      <c r="K285" s="343">
        <v>1</v>
      </c>
      <c r="L285" s="329"/>
      <c r="M285" s="346" t="str">
        <f t="shared" si="3"/>
        <v/>
      </c>
      <c r="N285" s="338" t="e">
        <f t="shared" si="4"/>
        <v>#VALUE!</v>
      </c>
      <c r="O285" s="368"/>
      <c r="P285" s="347">
        <f t="shared" si="19"/>
        <v>0</v>
      </c>
      <c r="Q285" s="348"/>
      <c r="R285" s="369"/>
      <c r="S285" s="349">
        <f t="shared" si="20"/>
        <v>0</v>
      </c>
      <c r="T285" s="348"/>
      <c r="U285" s="369"/>
      <c r="V285" s="349">
        <f t="shared" si="5"/>
        <v>0</v>
      </c>
      <c r="W285" s="348"/>
      <c r="X285" s="318" t="str">
        <f t="shared" si="6"/>
        <v/>
      </c>
      <c r="Y285" s="370" t="e">
        <f t="shared" si="7"/>
        <v>#VALUE!</v>
      </c>
      <c r="Z285" s="346"/>
      <c r="AA285" s="329"/>
      <c r="AB285" s="352">
        <f t="shared" si="8"/>
        <v>0</v>
      </c>
      <c r="AC285" s="353"/>
      <c r="AD285" s="354"/>
      <c r="AE285" s="378" t="str">
        <f t="shared" si="21"/>
        <v/>
      </c>
      <c r="AF285" s="329"/>
      <c r="AG285" s="358"/>
      <c r="AH285" s="356" t="str">
        <f t="shared" si="22"/>
        <v/>
      </c>
      <c r="AI285" s="329"/>
      <c r="AJ285" s="329"/>
      <c r="AK285" s="356">
        <f t="shared" si="11"/>
        <v>0</v>
      </c>
      <c r="AL285" s="357"/>
      <c r="AM285" s="358"/>
      <c r="AN285" s="356">
        <f t="shared" si="12"/>
        <v>0</v>
      </c>
      <c r="AO285" s="329"/>
      <c r="AP285" s="358"/>
      <c r="AQ285" s="359">
        <f t="shared" si="13"/>
        <v>0</v>
      </c>
      <c r="AR285" s="360"/>
      <c r="AS285" s="358"/>
      <c r="AT285" s="356">
        <f t="shared" si="14"/>
        <v>0</v>
      </c>
      <c r="AU285" s="329"/>
      <c r="AV285" s="358"/>
      <c r="AW285" s="359">
        <f t="shared" si="15"/>
        <v>0</v>
      </c>
      <c r="AX285" s="329"/>
      <c r="AY285" s="358"/>
      <c r="AZ285" s="359">
        <f t="shared" si="16"/>
        <v>0</v>
      </c>
      <c r="BA285" s="329" t="e">
        <f>IF('Degrémont Entrée'!K285="",,('Degrémont Entrée'!K285-I285)/'Degrémont Entrée'!K285*100)</f>
        <v>#DIV/0!</v>
      </c>
      <c r="BB285" s="329" t="e">
        <f>IF('Degrémont Entrée'!G285="",,('Degrémont Entrée'!G285-G285)/'Degrémont Entrée'!G285*100)</f>
        <v>#DIV/0!</v>
      </c>
      <c r="BC285" s="329">
        <f>IF('Degrémont Entrée'!S285="",,('Degrémont Entrée'!S285-M285)/'Degrémont Entrée'!S285*100)</f>
        <v>0</v>
      </c>
      <c r="BD285" s="425" t="str">
        <f ca="1">IFERROR(__xludf.DUMMYFUNCTION("""COMPUTED_VALUE"""),"#DIV/0!")</f>
        <v>#DIV/0!</v>
      </c>
      <c r="BE285" s="362"/>
      <c r="BF285" s="363"/>
      <c r="BG285" s="363"/>
      <c r="BH285" s="338">
        <f t="shared" si="17"/>
        <v>0</v>
      </c>
      <c r="BI285" s="364"/>
      <c r="BJ285" s="365"/>
      <c r="BK285" s="366">
        <f>'Degrémont Entrée'!BH285</f>
        <v>0</v>
      </c>
      <c r="BL285" s="367">
        <f>'Degrémont Entrée'!BI285</f>
        <v>0</v>
      </c>
    </row>
    <row r="286" spans="1:64" ht="14.25" outlineLevel="1">
      <c r="A286" s="337">
        <f t="shared" si="18"/>
        <v>43738</v>
      </c>
      <c r="B286" s="338">
        <f>'Degrémont Entrée'!B286</f>
        <v>880</v>
      </c>
      <c r="C286" s="339">
        <v>8.77</v>
      </c>
      <c r="D286" s="340">
        <v>86.3</v>
      </c>
      <c r="E286" s="341">
        <v>87.8</v>
      </c>
      <c r="F286" s="342">
        <v>100</v>
      </c>
      <c r="G286" s="329">
        <f t="shared" si="0"/>
        <v>15</v>
      </c>
      <c r="H286" s="338"/>
      <c r="I286" s="343">
        <v>261</v>
      </c>
      <c r="J286" s="344">
        <f t="shared" si="2"/>
        <v>229.68</v>
      </c>
      <c r="K286" s="343">
        <v>1</v>
      </c>
      <c r="L286" s="345">
        <v>0.41</v>
      </c>
      <c r="M286" s="346">
        <f t="shared" si="3"/>
        <v>0.41</v>
      </c>
      <c r="N286" s="338">
        <f t="shared" si="4"/>
        <v>0.36079999999999995</v>
      </c>
      <c r="O286" s="368"/>
      <c r="P286" s="347">
        <f t="shared" si="19"/>
        <v>0</v>
      </c>
      <c r="Q286" s="348"/>
      <c r="R286" s="369"/>
      <c r="S286" s="349">
        <f t="shared" si="20"/>
        <v>0</v>
      </c>
      <c r="T286" s="348"/>
      <c r="U286" s="369"/>
      <c r="V286" s="349">
        <f t="shared" si="5"/>
        <v>0</v>
      </c>
      <c r="W286" s="348"/>
      <c r="X286" s="318" t="str">
        <f t="shared" si="6"/>
        <v/>
      </c>
      <c r="Y286" s="370" t="e">
        <f t="shared" si="7"/>
        <v>#VALUE!</v>
      </c>
      <c r="Z286" s="343" t="s">
        <v>85</v>
      </c>
      <c r="AA286" s="345">
        <v>0.01</v>
      </c>
      <c r="AB286" s="352">
        <f t="shared" si="8"/>
        <v>4.4000000000000003E-3</v>
      </c>
      <c r="AC286" s="353"/>
      <c r="AD286" s="354"/>
      <c r="AE286" s="378" t="str">
        <f t="shared" si="21"/>
        <v/>
      </c>
      <c r="AF286" s="329"/>
      <c r="AG286" s="358"/>
      <c r="AH286" s="356" t="str">
        <f t="shared" si="22"/>
        <v/>
      </c>
      <c r="AI286" s="329"/>
      <c r="AJ286" s="329"/>
      <c r="AK286" s="356">
        <f t="shared" si="11"/>
        <v>0</v>
      </c>
      <c r="AL286" s="357"/>
      <c r="AM286" s="358"/>
      <c r="AN286" s="356">
        <f t="shared" si="12"/>
        <v>0</v>
      </c>
      <c r="AO286" s="329"/>
      <c r="AP286" s="358"/>
      <c r="AQ286" s="359">
        <f t="shared" si="13"/>
        <v>0</v>
      </c>
      <c r="AR286" s="360"/>
      <c r="AS286" s="358"/>
      <c r="AT286" s="356">
        <f t="shared" si="14"/>
        <v>0</v>
      </c>
      <c r="AU286" s="329"/>
      <c r="AV286" s="358"/>
      <c r="AW286" s="359">
        <f t="shared" si="15"/>
        <v>0</v>
      </c>
      <c r="AX286" s="329"/>
      <c r="AY286" s="358"/>
      <c r="AZ286" s="359">
        <f t="shared" si="16"/>
        <v>0</v>
      </c>
      <c r="BA286" s="329">
        <f>IF('Degrémont Entrée'!K286="",,('Degrémont Entrée'!K286-I286)/'Degrémont Entrée'!K286*100)</f>
        <v>90.829234012649323</v>
      </c>
      <c r="BB286" s="329">
        <f>IF('Degrémont Entrée'!G286="",,('Degrémont Entrée'!G286-G286)/'Degrémont Entrée'!G286*100)</f>
        <v>99.406286379511059</v>
      </c>
      <c r="BC286" s="329">
        <f>IF('Degrémont Entrée'!S286="",,('Degrémont Entrée'!S286-M286)/'Degrémont Entrée'!S286*100)</f>
        <v>99.665579119086473</v>
      </c>
      <c r="BD286" s="570" t="str">
        <f ca="1">IFERROR(__xludf.DUMMYFUNCTION("""COMPUTED_VALUE"""),"")</f>
        <v/>
      </c>
      <c r="BE286" s="362"/>
      <c r="BF286" s="363"/>
      <c r="BG286" s="363"/>
      <c r="BH286" s="338">
        <f t="shared" si="17"/>
        <v>0</v>
      </c>
      <c r="BI286" s="364"/>
      <c r="BJ286" s="365"/>
      <c r="BK286" s="371">
        <f>'Degrémont Entrée'!BH286</f>
        <v>0</v>
      </c>
      <c r="BL286" s="372">
        <f>'Degrémont Entrée'!BI286</f>
        <v>0</v>
      </c>
    </row>
    <row r="287" spans="1:64" ht="15.75" customHeight="1" outlineLevel="1">
      <c r="A287" s="337">
        <f t="shared" si="18"/>
        <v>43739</v>
      </c>
      <c r="B287" s="338">
        <f>'Degrémont Entrée'!B287</f>
        <v>1172</v>
      </c>
      <c r="C287" s="339">
        <v>9.07</v>
      </c>
      <c r="D287" s="340">
        <v>88.9</v>
      </c>
      <c r="E287" s="341">
        <v>89</v>
      </c>
      <c r="F287" s="342">
        <v>150</v>
      </c>
      <c r="G287" s="329">
        <f t="shared" si="0"/>
        <v>0.66666666666662877</v>
      </c>
      <c r="H287" s="338"/>
      <c r="I287" s="343">
        <v>213</v>
      </c>
      <c r="J287" s="344">
        <f t="shared" si="2"/>
        <v>249.636</v>
      </c>
      <c r="K287" s="343">
        <v>1</v>
      </c>
      <c r="L287" s="345">
        <v>0.39</v>
      </c>
      <c r="M287" s="346">
        <f t="shared" si="3"/>
        <v>0.39</v>
      </c>
      <c r="N287" s="338">
        <f t="shared" si="4"/>
        <v>0.45708000000000004</v>
      </c>
      <c r="O287" s="341">
        <v>6.8</v>
      </c>
      <c r="P287" s="347">
        <f t="shared" si="19"/>
        <v>7.9695999999999998</v>
      </c>
      <c r="Q287" s="348"/>
      <c r="R287" s="369"/>
      <c r="S287" s="349">
        <f t="shared" si="20"/>
        <v>0</v>
      </c>
      <c r="T287" s="348"/>
      <c r="U287" s="369"/>
      <c r="V287" s="349">
        <f t="shared" si="5"/>
        <v>0</v>
      </c>
      <c r="W287" s="348"/>
      <c r="X287" s="318">
        <f t="shared" si="6"/>
        <v>6.8</v>
      </c>
      <c r="Y287" s="370">
        <f t="shared" si="7"/>
        <v>7.9695999999999998</v>
      </c>
      <c r="Z287" s="343" t="s">
        <v>85</v>
      </c>
      <c r="AA287" s="345">
        <v>0.01</v>
      </c>
      <c r="AB287" s="352">
        <f t="shared" si="8"/>
        <v>5.8600000000000006E-3</v>
      </c>
      <c r="AC287" s="353"/>
      <c r="AD287" s="354"/>
      <c r="AE287" s="378" t="str">
        <f t="shared" si="21"/>
        <v/>
      </c>
      <c r="AF287" s="329"/>
      <c r="AG287" s="355">
        <v>0.63</v>
      </c>
      <c r="AH287" s="356">
        <f t="shared" si="22"/>
        <v>4.5045000000000002</v>
      </c>
      <c r="AI287" s="329"/>
      <c r="AJ287" s="345">
        <v>0.25</v>
      </c>
      <c r="AK287" s="356">
        <f t="shared" si="11"/>
        <v>0.29299999999999998</v>
      </c>
      <c r="AL287" s="357"/>
      <c r="AM287" s="355">
        <v>0.05</v>
      </c>
      <c r="AN287" s="356">
        <f t="shared" si="12"/>
        <v>5.8599999999999999E-2</v>
      </c>
      <c r="AO287" s="329"/>
      <c r="AP287" s="355">
        <v>0.14000000000000001</v>
      </c>
      <c r="AQ287" s="359">
        <f t="shared" si="13"/>
        <v>0.16408</v>
      </c>
      <c r="AR287" s="360"/>
      <c r="AS287" s="355">
        <v>0.15</v>
      </c>
      <c r="AT287" s="356">
        <f t="shared" si="14"/>
        <v>0.17579999999999998</v>
      </c>
      <c r="AU287" s="345" t="s">
        <v>85</v>
      </c>
      <c r="AV287" s="355">
        <v>0.15</v>
      </c>
      <c r="AW287" s="359">
        <f t="shared" si="15"/>
        <v>8.7899999999999992E-2</v>
      </c>
      <c r="AX287" s="345" t="s">
        <v>85</v>
      </c>
      <c r="AY287" s="355">
        <v>0.13</v>
      </c>
      <c r="AZ287" s="359">
        <f t="shared" si="16"/>
        <v>7.6180000000000012E-2</v>
      </c>
      <c r="BA287" s="329">
        <f>IF('Degrémont Entrée'!K287="",,('Degrémont Entrée'!K287-I287)/'Degrémont Entrée'!K287*100)</f>
        <v>88.486486486486484</v>
      </c>
      <c r="BB287" s="329">
        <f>IF('Degrémont Entrée'!G287="",,('Degrémont Entrée'!G287-G287)/'Degrémont Entrée'!G287*100)</f>
        <v>99.961240310077514</v>
      </c>
      <c r="BC287" s="329">
        <f>IF('Degrémont Entrée'!S287="",,('Degrémont Entrée'!S287-M287)/'Degrémont Entrée'!S287*100)</f>
        <v>99.590336134453779</v>
      </c>
      <c r="BD287" s="425">
        <f ca="1">IFERROR(__xludf.DUMMYFUNCTION("""COMPUTED_VALUE"""),53.5875)</f>
        <v>53.587499999999999</v>
      </c>
      <c r="BE287" s="362"/>
      <c r="BF287" s="363"/>
      <c r="BG287" s="363"/>
      <c r="BH287" s="338">
        <f t="shared" si="17"/>
        <v>0</v>
      </c>
      <c r="BI287" s="364"/>
      <c r="BJ287" s="365"/>
      <c r="BK287" s="366">
        <f>'Degrémont Entrée'!BH287</f>
        <v>0</v>
      </c>
      <c r="BL287" s="367">
        <f>'Degrémont Entrée'!BI287</f>
        <v>0</v>
      </c>
    </row>
    <row r="288" spans="1:64" ht="14.25" outlineLevel="1">
      <c r="A288" s="337">
        <f t="shared" si="18"/>
        <v>43740</v>
      </c>
      <c r="B288" s="338">
        <f>'Degrémont Entrée'!B288</f>
        <v>1267</v>
      </c>
      <c r="C288" s="339">
        <v>9.15</v>
      </c>
      <c r="D288" s="340">
        <v>88.9</v>
      </c>
      <c r="E288" s="341">
        <v>90</v>
      </c>
      <c r="F288" s="342">
        <v>200</v>
      </c>
      <c r="G288" s="329">
        <f t="shared" si="0"/>
        <v>5.4999999999999716</v>
      </c>
      <c r="H288" s="338"/>
      <c r="I288" s="343">
        <v>308</v>
      </c>
      <c r="J288" s="344">
        <f t="shared" si="2"/>
        <v>390.23599999999999</v>
      </c>
      <c r="K288" s="343">
        <v>1</v>
      </c>
      <c r="L288" s="345">
        <v>0.44</v>
      </c>
      <c r="M288" s="346">
        <f t="shared" si="3"/>
        <v>0.44</v>
      </c>
      <c r="N288" s="338">
        <f t="shared" si="4"/>
        <v>0.55747999999999998</v>
      </c>
      <c r="O288" s="368"/>
      <c r="P288" s="347">
        <f t="shared" si="19"/>
        <v>0</v>
      </c>
      <c r="Q288" s="348"/>
      <c r="R288" s="369"/>
      <c r="S288" s="349">
        <f t="shared" si="20"/>
        <v>0</v>
      </c>
      <c r="T288" s="348"/>
      <c r="U288" s="369"/>
      <c r="V288" s="349">
        <f t="shared" si="5"/>
        <v>0</v>
      </c>
      <c r="W288" s="348"/>
      <c r="X288" s="318" t="str">
        <f t="shared" si="6"/>
        <v/>
      </c>
      <c r="Y288" s="370" t="e">
        <f t="shared" si="7"/>
        <v>#VALUE!</v>
      </c>
      <c r="Z288" s="343" t="s">
        <v>85</v>
      </c>
      <c r="AA288" s="345">
        <v>0.01</v>
      </c>
      <c r="AB288" s="352">
        <f t="shared" si="8"/>
        <v>6.3350000000000004E-3</v>
      </c>
      <c r="AC288" s="353"/>
      <c r="AD288" s="354"/>
      <c r="AE288" s="378" t="str">
        <f t="shared" si="21"/>
        <v/>
      </c>
      <c r="AF288" s="329"/>
      <c r="AG288" s="358"/>
      <c r="AH288" s="356" t="str">
        <f t="shared" si="22"/>
        <v/>
      </c>
      <c r="AI288" s="329"/>
      <c r="AJ288" s="329"/>
      <c r="AK288" s="356">
        <f t="shared" si="11"/>
        <v>0</v>
      </c>
      <c r="AL288" s="357"/>
      <c r="AM288" s="358"/>
      <c r="AN288" s="356">
        <f t="shared" si="12"/>
        <v>0</v>
      </c>
      <c r="AO288" s="329"/>
      <c r="AP288" s="358"/>
      <c r="AQ288" s="359">
        <f t="shared" si="13"/>
        <v>0</v>
      </c>
      <c r="AR288" s="360"/>
      <c r="AS288" s="358"/>
      <c r="AT288" s="356">
        <f t="shared" si="14"/>
        <v>0</v>
      </c>
      <c r="AU288" s="329"/>
      <c r="AV288" s="358"/>
      <c r="AW288" s="359">
        <f t="shared" si="15"/>
        <v>0</v>
      </c>
      <c r="AX288" s="329"/>
      <c r="AY288" s="358"/>
      <c r="AZ288" s="359">
        <f t="shared" si="16"/>
        <v>0</v>
      </c>
      <c r="BA288" s="329">
        <f>IF('Degrémont Entrée'!K288="",,('Degrémont Entrée'!K288-I288)/'Degrémont Entrée'!K288*100)</f>
        <v>75.536139793486896</v>
      </c>
      <c r="BB288" s="329">
        <f>IF('Degrémont Entrée'!G288="",,('Degrémont Entrée'!G288-G288)/'Degrémont Entrée'!G288*100)</f>
        <v>99.345238095238102</v>
      </c>
      <c r="BC288" s="329">
        <f>IF('Degrémont Entrée'!S288="",,('Degrémont Entrée'!S288-M288)/'Degrémont Entrée'!S288*100)</f>
        <v>99.12</v>
      </c>
      <c r="BD288" s="425">
        <f ca="1">IFERROR(__xludf.DUMMYFUNCTION("""COMPUTED_VALUE"""),53.9875)</f>
        <v>53.987499999999997</v>
      </c>
      <c r="BE288" s="386">
        <v>21.853200000000001</v>
      </c>
      <c r="BF288" s="387">
        <v>35.921599999999998</v>
      </c>
      <c r="BG288" s="387">
        <v>30.178100000000001</v>
      </c>
      <c r="BH288" s="338">
        <f t="shared" si="17"/>
        <v>59.174461914645605</v>
      </c>
      <c r="BI288" s="364"/>
      <c r="BJ288" s="365"/>
      <c r="BK288" s="371">
        <f>'Degrémont Entrée'!BH288</f>
        <v>0</v>
      </c>
      <c r="BL288" s="372">
        <f>'Degrémont Entrée'!BI288</f>
        <v>0</v>
      </c>
    </row>
    <row r="289" spans="1:64" ht="15.75" customHeight="1" outlineLevel="1">
      <c r="A289" s="337">
        <f t="shared" si="18"/>
        <v>43741</v>
      </c>
      <c r="B289" s="338">
        <f>'Degrémont Entrée'!B289</f>
        <v>1196</v>
      </c>
      <c r="C289" s="339">
        <v>8.93</v>
      </c>
      <c r="D289" s="340">
        <v>89.2</v>
      </c>
      <c r="E289" s="341">
        <v>90.7</v>
      </c>
      <c r="F289" s="342">
        <v>200</v>
      </c>
      <c r="G289" s="329">
        <f t="shared" si="0"/>
        <v>7.5</v>
      </c>
      <c r="H289" s="338"/>
      <c r="I289" s="343">
        <v>523</v>
      </c>
      <c r="J289" s="344">
        <f t="shared" si="2"/>
        <v>625.50800000000004</v>
      </c>
      <c r="K289" s="343">
        <v>1</v>
      </c>
      <c r="L289" s="345">
        <v>0.49</v>
      </c>
      <c r="M289" s="346">
        <f t="shared" si="3"/>
        <v>0.49</v>
      </c>
      <c r="N289" s="338">
        <f t="shared" si="4"/>
        <v>0.58604000000000001</v>
      </c>
      <c r="O289" s="368"/>
      <c r="P289" s="347">
        <f t="shared" si="19"/>
        <v>0</v>
      </c>
      <c r="Q289" s="348"/>
      <c r="R289" s="369"/>
      <c r="S289" s="349">
        <f t="shared" si="20"/>
        <v>0</v>
      </c>
      <c r="T289" s="348"/>
      <c r="U289" s="369"/>
      <c r="V289" s="349">
        <f t="shared" si="5"/>
        <v>0</v>
      </c>
      <c r="W289" s="348"/>
      <c r="X289" s="318" t="str">
        <f t="shared" si="6"/>
        <v/>
      </c>
      <c r="Y289" s="370" t="e">
        <f t="shared" si="7"/>
        <v>#VALUE!</v>
      </c>
      <c r="Z289" s="343" t="s">
        <v>85</v>
      </c>
      <c r="AA289" s="345">
        <v>0.01</v>
      </c>
      <c r="AB289" s="352">
        <f t="shared" si="8"/>
        <v>5.9800000000000001E-3</v>
      </c>
      <c r="AC289" s="353"/>
      <c r="AD289" s="354"/>
      <c r="AE289" s="378" t="str">
        <f t="shared" si="21"/>
        <v/>
      </c>
      <c r="AF289" s="329"/>
      <c r="AG289" s="358"/>
      <c r="AH289" s="356" t="str">
        <f t="shared" si="22"/>
        <v/>
      </c>
      <c r="AI289" s="329"/>
      <c r="AJ289" s="329"/>
      <c r="AK289" s="356">
        <f t="shared" si="11"/>
        <v>0</v>
      </c>
      <c r="AL289" s="357"/>
      <c r="AM289" s="358"/>
      <c r="AN289" s="356">
        <f t="shared" si="12"/>
        <v>0</v>
      </c>
      <c r="AO289" s="329"/>
      <c r="AP289" s="358"/>
      <c r="AQ289" s="359">
        <f t="shared" si="13"/>
        <v>0</v>
      </c>
      <c r="AR289" s="360"/>
      <c r="AS289" s="358"/>
      <c r="AT289" s="356">
        <f t="shared" si="14"/>
        <v>0</v>
      </c>
      <c r="AU289" s="329"/>
      <c r="AV289" s="358"/>
      <c r="AW289" s="359">
        <f t="shared" si="15"/>
        <v>0</v>
      </c>
      <c r="AX289" s="329"/>
      <c r="AY289" s="358"/>
      <c r="AZ289" s="359">
        <f t="shared" si="16"/>
        <v>0</v>
      </c>
      <c r="BA289" s="329">
        <f>IF('Degrémont Entrée'!K289="",,('Degrémont Entrée'!K289-I289)/'Degrémont Entrée'!K289*100)</f>
        <v>65.016722408026766</v>
      </c>
      <c r="BB289" s="329">
        <f>IF('Degrémont Entrée'!G289="",,('Degrémont Entrée'!G289-G289)/'Degrémont Entrée'!G289*100)</f>
        <v>99.032258064516128</v>
      </c>
      <c r="BC289" s="329">
        <f>IF('Degrémont Entrée'!S289="",,('Degrémont Entrée'!S289-M289)/'Degrémont Entrée'!S289*100)</f>
        <v>99.58614864864866</v>
      </c>
      <c r="BD289" s="425">
        <f ca="1">IFERROR(__xludf.DUMMYFUNCTION("""COMPUTED_VALUE"""),52.25)</f>
        <v>52.25</v>
      </c>
      <c r="BE289" s="362"/>
      <c r="BF289" s="363"/>
      <c r="BG289" s="363"/>
      <c r="BH289" s="338">
        <f t="shared" si="17"/>
        <v>0</v>
      </c>
      <c r="BI289" s="364"/>
      <c r="BJ289" s="365"/>
      <c r="BK289" s="366">
        <f>'Degrémont Entrée'!BH289</f>
        <v>0</v>
      </c>
      <c r="BL289" s="367">
        <f>'Degrémont Entrée'!BI289</f>
        <v>0</v>
      </c>
    </row>
    <row r="290" spans="1:64" ht="14.25" outlineLevel="1">
      <c r="A290" s="337">
        <f t="shared" si="18"/>
        <v>43742</v>
      </c>
      <c r="B290" s="338">
        <f>'Degrémont Entrée'!B290</f>
        <v>1103</v>
      </c>
      <c r="C290" s="339">
        <v>8.61</v>
      </c>
      <c r="D290" s="340">
        <v>88.1</v>
      </c>
      <c r="E290" s="341">
        <v>93.1</v>
      </c>
      <c r="F290" s="342">
        <v>200</v>
      </c>
      <c r="G290" s="329">
        <f t="shared" si="0"/>
        <v>25</v>
      </c>
      <c r="H290" s="338"/>
      <c r="I290" s="343">
        <v>767</v>
      </c>
      <c r="J290" s="344">
        <f t="shared" si="2"/>
        <v>846.00099999999998</v>
      </c>
      <c r="K290" s="343">
        <v>1</v>
      </c>
      <c r="L290" s="345">
        <v>0.82</v>
      </c>
      <c r="M290" s="346">
        <f t="shared" si="3"/>
        <v>0.82</v>
      </c>
      <c r="N290" s="338">
        <f t="shared" si="4"/>
        <v>0.90445999999999993</v>
      </c>
      <c r="O290" s="368"/>
      <c r="P290" s="347">
        <f t="shared" si="19"/>
        <v>0</v>
      </c>
      <c r="Q290" s="348"/>
      <c r="R290" s="369"/>
      <c r="S290" s="349">
        <f t="shared" si="20"/>
        <v>0</v>
      </c>
      <c r="T290" s="348"/>
      <c r="U290" s="369"/>
      <c r="V290" s="349">
        <f t="shared" si="5"/>
        <v>0</v>
      </c>
      <c r="W290" s="348"/>
      <c r="X290" s="318" t="str">
        <f t="shared" si="6"/>
        <v/>
      </c>
      <c r="Y290" s="370" t="e">
        <f t="shared" si="7"/>
        <v>#VALUE!</v>
      </c>
      <c r="Z290" s="343" t="s">
        <v>85</v>
      </c>
      <c r="AA290" s="345">
        <v>0.01</v>
      </c>
      <c r="AB290" s="352">
        <f t="shared" si="8"/>
        <v>5.5149999999999999E-3</v>
      </c>
      <c r="AC290" s="353"/>
      <c r="AD290" s="354"/>
      <c r="AE290" s="378" t="str">
        <f t="shared" si="21"/>
        <v/>
      </c>
      <c r="AF290" s="329"/>
      <c r="AG290" s="358"/>
      <c r="AH290" s="356" t="str">
        <f t="shared" si="22"/>
        <v/>
      </c>
      <c r="AI290" s="329"/>
      <c r="AJ290" s="329"/>
      <c r="AK290" s="356">
        <f t="shared" si="11"/>
        <v>0</v>
      </c>
      <c r="AL290" s="357"/>
      <c r="AM290" s="358"/>
      <c r="AN290" s="356">
        <f t="shared" si="12"/>
        <v>0</v>
      </c>
      <c r="AO290" s="329"/>
      <c r="AP290" s="358"/>
      <c r="AQ290" s="359">
        <f t="shared" si="13"/>
        <v>0</v>
      </c>
      <c r="AR290" s="360"/>
      <c r="AS290" s="358"/>
      <c r="AT290" s="356">
        <f t="shared" si="14"/>
        <v>0</v>
      </c>
      <c r="AU290" s="329"/>
      <c r="AV290" s="358"/>
      <c r="AW290" s="359">
        <f t="shared" si="15"/>
        <v>0</v>
      </c>
      <c r="AX290" s="329"/>
      <c r="AY290" s="358"/>
      <c r="AZ290" s="359">
        <f t="shared" si="16"/>
        <v>0</v>
      </c>
      <c r="BA290" s="329">
        <f>IF('Degrémont Entrée'!K290="",,('Degrémont Entrée'!K290-I290)/'Degrémont Entrée'!K290*100)</f>
        <v>85.204475308641975</v>
      </c>
      <c r="BB290" s="329">
        <f>IF('Degrémont Entrée'!G290="",,('Degrémont Entrée'!G290-G290)/'Degrémont Entrée'!G290*100)</f>
        <v>99.418942475305045</v>
      </c>
      <c r="BC290" s="329">
        <f>IF('Degrémont Entrée'!S290="",,('Degrémont Entrée'!S290-M290)/'Degrémont Entrée'!S290*100)</f>
        <v>99.486858573216523</v>
      </c>
      <c r="BD290" s="425">
        <f ca="1">IFERROR(__xludf.DUMMYFUNCTION("""COMPUTED_VALUE"""),52.7)</f>
        <v>52.7</v>
      </c>
      <c r="BE290" s="362"/>
      <c r="BF290" s="363"/>
      <c r="BG290" s="363"/>
      <c r="BH290" s="338">
        <f t="shared" si="17"/>
        <v>0</v>
      </c>
      <c r="BI290" s="364"/>
      <c r="BJ290" s="365"/>
      <c r="BK290" s="371">
        <f>'Degrémont Entrée'!BH290</f>
        <v>0</v>
      </c>
      <c r="BL290" s="372">
        <f>'Degrémont Entrée'!BI290</f>
        <v>0</v>
      </c>
    </row>
    <row r="291" spans="1:64" ht="15.75" customHeight="1" outlineLevel="1">
      <c r="A291" s="337">
        <f t="shared" si="18"/>
        <v>43743</v>
      </c>
      <c r="B291" s="338">
        <f>'Degrémont Entrée'!B291</f>
        <v>1647</v>
      </c>
      <c r="C291" s="339">
        <v>8.56</v>
      </c>
      <c r="D291" s="340">
        <v>88.5</v>
      </c>
      <c r="E291" s="341">
        <v>92.1</v>
      </c>
      <c r="F291" s="342">
        <v>200</v>
      </c>
      <c r="G291" s="329">
        <f t="shared" si="0"/>
        <v>17.999999999999972</v>
      </c>
      <c r="H291" s="338"/>
      <c r="I291" s="343">
        <v>562</v>
      </c>
      <c r="J291" s="344">
        <f t="shared" si="2"/>
        <v>925.61400000000003</v>
      </c>
      <c r="K291" s="343">
        <v>1</v>
      </c>
      <c r="L291" s="345">
        <v>0.63</v>
      </c>
      <c r="M291" s="346">
        <f t="shared" si="3"/>
        <v>0.63</v>
      </c>
      <c r="N291" s="338">
        <f t="shared" si="4"/>
        <v>1.0376099999999999</v>
      </c>
      <c r="O291" s="368"/>
      <c r="P291" s="347">
        <f t="shared" si="19"/>
        <v>0</v>
      </c>
      <c r="Q291" s="348"/>
      <c r="R291" s="369"/>
      <c r="S291" s="349">
        <f t="shared" si="20"/>
        <v>0</v>
      </c>
      <c r="T291" s="348"/>
      <c r="U291" s="369"/>
      <c r="V291" s="349">
        <f t="shared" si="5"/>
        <v>0</v>
      </c>
      <c r="W291" s="348"/>
      <c r="X291" s="318" t="str">
        <f t="shared" si="6"/>
        <v/>
      </c>
      <c r="Y291" s="370" t="e">
        <f t="shared" si="7"/>
        <v>#VALUE!</v>
      </c>
      <c r="Z291" s="343" t="s">
        <v>85</v>
      </c>
      <c r="AA291" s="345">
        <v>0.01</v>
      </c>
      <c r="AB291" s="352">
        <f t="shared" si="8"/>
        <v>8.2349999999999993E-3</v>
      </c>
      <c r="AC291" s="353"/>
      <c r="AD291" s="354"/>
      <c r="AE291" s="378" t="str">
        <f t="shared" si="21"/>
        <v/>
      </c>
      <c r="AF291" s="329"/>
      <c r="AG291" s="358"/>
      <c r="AH291" s="356" t="str">
        <f t="shared" si="22"/>
        <v/>
      </c>
      <c r="AI291" s="329"/>
      <c r="AJ291" s="329"/>
      <c r="AK291" s="356">
        <f t="shared" si="11"/>
        <v>0</v>
      </c>
      <c r="AL291" s="357"/>
      <c r="AM291" s="358"/>
      <c r="AN291" s="356">
        <f t="shared" si="12"/>
        <v>0</v>
      </c>
      <c r="AO291" s="329"/>
      <c r="AP291" s="358"/>
      <c r="AQ291" s="359">
        <f t="shared" si="13"/>
        <v>0</v>
      </c>
      <c r="AR291" s="360"/>
      <c r="AS291" s="358"/>
      <c r="AT291" s="356">
        <f t="shared" si="14"/>
        <v>0</v>
      </c>
      <c r="AU291" s="329"/>
      <c r="AV291" s="358"/>
      <c r="AW291" s="359">
        <f t="shared" si="15"/>
        <v>0</v>
      </c>
      <c r="AX291" s="329"/>
      <c r="AY291" s="358"/>
      <c r="AZ291" s="359">
        <f t="shared" si="16"/>
        <v>0</v>
      </c>
      <c r="BA291" s="329">
        <f>IF('Degrémont Entrée'!K291="",,('Degrémont Entrée'!K291-I291)/'Degrémont Entrée'!K291*100)</f>
        <v>91.560294338489271</v>
      </c>
      <c r="BB291" s="329">
        <f>IF('Degrémont Entrée'!G291="",,('Degrémont Entrée'!G291-G291)/'Degrémont Entrée'!G291*100)</f>
        <v>99.762428508578978</v>
      </c>
      <c r="BC291" s="329">
        <f>IF('Degrémont Entrée'!S291="",,('Degrémont Entrée'!S291-M291)/'Degrémont Entrée'!S291*100)</f>
        <v>99.82692307692308</v>
      </c>
      <c r="BD291" s="425">
        <f ca="1">IFERROR(__xludf.DUMMYFUNCTION("""COMPUTED_VALUE"""),54.1499999999999)</f>
        <v>54.149999999999899</v>
      </c>
      <c r="BE291" s="362"/>
      <c r="BF291" s="363"/>
      <c r="BG291" s="363"/>
      <c r="BH291" s="338">
        <f t="shared" si="17"/>
        <v>0</v>
      </c>
      <c r="BI291" s="364"/>
      <c r="BJ291" s="365"/>
      <c r="BK291" s="366">
        <f>'Degrémont Entrée'!BH291</f>
        <v>0</v>
      </c>
      <c r="BL291" s="367">
        <f>'Degrémont Entrée'!BI291</f>
        <v>0</v>
      </c>
    </row>
    <row r="292" spans="1:64" ht="14.25" outlineLevel="1">
      <c r="A292" s="337">
        <f t="shared" si="18"/>
        <v>43744</v>
      </c>
      <c r="B292" s="338">
        <f>'Degrémont Entrée'!B292</f>
        <v>0</v>
      </c>
      <c r="C292" s="338"/>
      <c r="D292" s="388"/>
      <c r="E292" s="368"/>
      <c r="F292" s="357"/>
      <c r="G292" s="329">
        <f t="shared" si="0"/>
        <v>0</v>
      </c>
      <c r="H292" s="338"/>
      <c r="I292" s="346"/>
      <c r="J292" s="344">
        <f t="shared" si="2"/>
        <v>0</v>
      </c>
      <c r="K292" s="343">
        <v>1</v>
      </c>
      <c r="L292" s="329"/>
      <c r="M292" s="346" t="str">
        <f t="shared" si="3"/>
        <v/>
      </c>
      <c r="N292" s="338" t="e">
        <f t="shared" si="4"/>
        <v>#VALUE!</v>
      </c>
      <c r="O292" s="368"/>
      <c r="P292" s="347">
        <f t="shared" si="19"/>
        <v>0</v>
      </c>
      <c r="Q292" s="348"/>
      <c r="R292" s="369"/>
      <c r="S292" s="349">
        <f t="shared" si="20"/>
        <v>0</v>
      </c>
      <c r="T292" s="348"/>
      <c r="U292" s="369"/>
      <c r="V292" s="349">
        <f t="shared" si="5"/>
        <v>0</v>
      </c>
      <c r="W292" s="348"/>
      <c r="X292" s="318" t="str">
        <f t="shared" si="6"/>
        <v/>
      </c>
      <c r="Y292" s="370" t="e">
        <f t="shared" si="7"/>
        <v>#VALUE!</v>
      </c>
      <c r="Z292" s="346"/>
      <c r="AA292" s="329"/>
      <c r="AB292" s="352">
        <f t="shared" si="8"/>
        <v>0</v>
      </c>
      <c r="AC292" s="353"/>
      <c r="AD292" s="354"/>
      <c r="AE292" s="378" t="str">
        <f t="shared" si="21"/>
        <v/>
      </c>
      <c r="AF292" s="329"/>
      <c r="AG292" s="358"/>
      <c r="AH292" s="356" t="str">
        <f t="shared" si="22"/>
        <v/>
      </c>
      <c r="AI292" s="329"/>
      <c r="AJ292" s="329"/>
      <c r="AK292" s="356">
        <f t="shared" si="11"/>
        <v>0</v>
      </c>
      <c r="AL292" s="357"/>
      <c r="AM292" s="358"/>
      <c r="AN292" s="356">
        <f t="shared" si="12"/>
        <v>0</v>
      </c>
      <c r="AO292" s="329"/>
      <c r="AP292" s="358"/>
      <c r="AQ292" s="359">
        <f t="shared" si="13"/>
        <v>0</v>
      </c>
      <c r="AR292" s="360"/>
      <c r="AS292" s="358"/>
      <c r="AT292" s="356">
        <f t="shared" si="14"/>
        <v>0</v>
      </c>
      <c r="AU292" s="329"/>
      <c r="AV292" s="358"/>
      <c r="AW292" s="359">
        <f t="shared" si="15"/>
        <v>0</v>
      </c>
      <c r="AX292" s="329"/>
      <c r="AY292" s="358"/>
      <c r="AZ292" s="359">
        <f t="shared" si="16"/>
        <v>0</v>
      </c>
      <c r="BA292" s="329" t="e">
        <f>IF('Degrémont Entrée'!K292="",,('Degrémont Entrée'!K292-I292)/'Degrémont Entrée'!K292*100)</f>
        <v>#DIV/0!</v>
      </c>
      <c r="BB292" s="329" t="e">
        <f>IF('Degrémont Entrée'!G292="",,('Degrémont Entrée'!G292-G292)/'Degrémont Entrée'!G292*100)</f>
        <v>#DIV/0!</v>
      </c>
      <c r="BC292" s="329">
        <f>IF('Degrémont Entrée'!S292="",,('Degrémont Entrée'!S292-M292)/'Degrémont Entrée'!S292*100)</f>
        <v>0</v>
      </c>
      <c r="BD292" s="425" t="str">
        <f ca="1">IFERROR(__xludf.DUMMYFUNCTION("""COMPUTED_VALUE"""),"#DIV/0!")</f>
        <v>#DIV/0!</v>
      </c>
      <c r="BE292" s="362"/>
      <c r="BF292" s="363"/>
      <c r="BG292" s="363"/>
      <c r="BH292" s="338">
        <f t="shared" si="17"/>
        <v>0</v>
      </c>
      <c r="BI292" s="364"/>
      <c r="BJ292" s="365"/>
      <c r="BK292" s="371">
        <f>'Degrémont Entrée'!BH292</f>
        <v>0</v>
      </c>
      <c r="BL292" s="372">
        <f>'Degrémont Entrée'!BI292</f>
        <v>0</v>
      </c>
    </row>
    <row r="293" spans="1:64" ht="15.75" customHeight="1" outlineLevel="1">
      <c r="A293" s="337">
        <f t="shared" si="18"/>
        <v>43745</v>
      </c>
      <c r="B293" s="338">
        <f>'Degrémont Entrée'!B293</f>
        <v>1152</v>
      </c>
      <c r="C293" s="339">
        <v>8.7899999999999991</v>
      </c>
      <c r="D293" s="340">
        <v>86.9</v>
      </c>
      <c r="E293" s="341">
        <v>88.7</v>
      </c>
      <c r="F293" s="342">
        <v>200</v>
      </c>
      <c r="G293" s="329">
        <f t="shared" si="0"/>
        <v>8.9999999999999858</v>
      </c>
      <c r="H293" s="338"/>
      <c r="I293" s="343">
        <v>434</v>
      </c>
      <c r="J293" s="344">
        <f t="shared" si="2"/>
        <v>499.96800000000002</v>
      </c>
      <c r="K293" s="343">
        <v>1</v>
      </c>
      <c r="L293" s="345">
        <v>0.56000000000000005</v>
      </c>
      <c r="M293" s="346">
        <f t="shared" si="3"/>
        <v>0.56000000000000005</v>
      </c>
      <c r="N293" s="338">
        <f t="shared" si="4"/>
        <v>0.64512000000000014</v>
      </c>
      <c r="O293" s="368"/>
      <c r="P293" s="347">
        <f t="shared" si="19"/>
        <v>0</v>
      </c>
      <c r="Q293" s="348"/>
      <c r="R293" s="369"/>
      <c r="S293" s="349">
        <f t="shared" si="20"/>
        <v>0</v>
      </c>
      <c r="T293" s="348"/>
      <c r="U293" s="369"/>
      <c r="V293" s="349">
        <f t="shared" si="5"/>
        <v>0</v>
      </c>
      <c r="W293" s="348"/>
      <c r="X293" s="318" t="str">
        <f t="shared" si="6"/>
        <v/>
      </c>
      <c r="Y293" s="370" t="e">
        <f t="shared" si="7"/>
        <v>#VALUE!</v>
      </c>
      <c r="Z293" s="343" t="s">
        <v>85</v>
      </c>
      <c r="AA293" s="345">
        <v>0.01</v>
      </c>
      <c r="AB293" s="352">
        <f t="shared" si="8"/>
        <v>5.7599999999999995E-3</v>
      </c>
      <c r="AC293" s="353"/>
      <c r="AD293" s="354"/>
      <c r="AE293" s="378" t="str">
        <f t="shared" si="21"/>
        <v/>
      </c>
      <c r="AF293" s="329"/>
      <c r="AG293" s="358"/>
      <c r="AH293" s="356" t="str">
        <f t="shared" si="22"/>
        <v/>
      </c>
      <c r="AI293" s="329"/>
      <c r="AJ293" s="329"/>
      <c r="AK293" s="356">
        <f t="shared" si="11"/>
        <v>0</v>
      </c>
      <c r="AL293" s="357"/>
      <c r="AM293" s="358"/>
      <c r="AN293" s="356">
        <f t="shared" si="12"/>
        <v>0</v>
      </c>
      <c r="AO293" s="329"/>
      <c r="AP293" s="358"/>
      <c r="AQ293" s="359">
        <f t="shared" si="13"/>
        <v>0</v>
      </c>
      <c r="AR293" s="360"/>
      <c r="AS293" s="358"/>
      <c r="AT293" s="356">
        <f t="shared" si="14"/>
        <v>0</v>
      </c>
      <c r="AU293" s="329"/>
      <c r="AV293" s="358"/>
      <c r="AW293" s="359">
        <f t="shared" si="15"/>
        <v>0</v>
      </c>
      <c r="AX293" s="329"/>
      <c r="AY293" s="358"/>
      <c r="AZ293" s="359">
        <f t="shared" si="16"/>
        <v>0</v>
      </c>
      <c r="BA293" s="329">
        <f>IF('Degrémont Entrée'!K293="",,('Degrémont Entrée'!K293-I293)/'Degrémont Entrée'!K293*100)</f>
        <v>90.258136924803594</v>
      </c>
      <c r="BB293" s="329">
        <f>IF('Degrémont Entrée'!G293="",,('Degrémont Entrée'!G293-G293)/'Degrémont Entrée'!G293*100)</f>
        <v>99.800506649778342</v>
      </c>
      <c r="BC293" s="329">
        <f>IF('Degrémont Entrée'!S293="",,('Degrémont Entrée'!S293-M293)/'Degrémont Entrée'!S293*100)</f>
        <v>99.74545454545455</v>
      </c>
      <c r="BD293" s="425">
        <f ca="1">IFERROR(__xludf.DUMMYFUNCTION("""COMPUTED_VALUE"""),53.2625)</f>
        <v>53.262500000000003</v>
      </c>
      <c r="BE293" s="362"/>
      <c r="BF293" s="363"/>
      <c r="BG293" s="363"/>
      <c r="BH293" s="338">
        <f t="shared" si="17"/>
        <v>0</v>
      </c>
      <c r="BI293" s="364"/>
      <c r="BJ293" s="365"/>
      <c r="BK293" s="366">
        <f>'Degrémont Entrée'!BH293</f>
        <v>0</v>
      </c>
      <c r="BL293" s="367">
        <f>'Degrémont Entrée'!BI293</f>
        <v>0</v>
      </c>
    </row>
    <row r="294" spans="1:64" ht="14.25" outlineLevel="1">
      <c r="A294" s="337">
        <f t="shared" si="18"/>
        <v>43746</v>
      </c>
      <c r="B294" s="338">
        <f>'Degrémont Entrée'!B294</f>
        <v>1153</v>
      </c>
      <c r="C294" s="339">
        <v>8.86</v>
      </c>
      <c r="D294" s="340">
        <v>89.2</v>
      </c>
      <c r="E294" s="341">
        <v>90.4</v>
      </c>
      <c r="F294" s="342">
        <v>200</v>
      </c>
      <c r="G294" s="329">
        <f t="shared" si="0"/>
        <v>6.0000000000000133</v>
      </c>
      <c r="H294" s="338"/>
      <c r="I294" s="343">
        <v>970</v>
      </c>
      <c r="J294" s="344">
        <f t="shared" si="2"/>
        <v>1118.4100000000001</v>
      </c>
      <c r="K294" s="343">
        <v>1</v>
      </c>
      <c r="L294" s="345">
        <v>0.49</v>
      </c>
      <c r="M294" s="346">
        <f t="shared" si="3"/>
        <v>0.49</v>
      </c>
      <c r="N294" s="338">
        <f t="shared" si="4"/>
        <v>0.56496999999999997</v>
      </c>
      <c r="O294" s="341">
        <v>10.8</v>
      </c>
      <c r="P294" s="347">
        <f t="shared" si="19"/>
        <v>12.452400000000001</v>
      </c>
      <c r="Q294" s="348"/>
      <c r="R294" s="369"/>
      <c r="S294" s="349">
        <f t="shared" si="20"/>
        <v>0</v>
      </c>
      <c r="T294" s="348"/>
      <c r="U294" s="369"/>
      <c r="V294" s="349">
        <f t="shared" si="5"/>
        <v>0</v>
      </c>
      <c r="W294" s="348"/>
      <c r="X294" s="318">
        <f t="shared" si="6"/>
        <v>10.8</v>
      </c>
      <c r="Y294" s="370">
        <f t="shared" si="7"/>
        <v>12.452400000000001</v>
      </c>
      <c r="Z294" s="343" t="s">
        <v>85</v>
      </c>
      <c r="AA294" s="345">
        <v>0.01</v>
      </c>
      <c r="AB294" s="352">
        <f t="shared" si="8"/>
        <v>5.7649999999999993E-3</v>
      </c>
      <c r="AC294" s="353"/>
      <c r="AD294" s="354"/>
      <c r="AE294" s="378" t="str">
        <f t="shared" si="21"/>
        <v/>
      </c>
      <c r="AF294" s="329"/>
      <c r="AG294" s="355">
        <v>0.45</v>
      </c>
      <c r="AH294" s="356">
        <f t="shared" si="22"/>
        <v>3.3830999999999998</v>
      </c>
      <c r="AI294" s="329"/>
      <c r="AJ294" s="345">
        <v>0.78</v>
      </c>
      <c r="AK294" s="356">
        <f t="shared" si="11"/>
        <v>0.89934000000000003</v>
      </c>
      <c r="AL294" s="342" t="s">
        <v>85</v>
      </c>
      <c r="AM294" s="355">
        <v>0.03</v>
      </c>
      <c r="AN294" s="356">
        <f t="shared" si="12"/>
        <v>1.7294999999999998E-2</v>
      </c>
      <c r="AO294" s="329"/>
      <c r="AP294" s="355">
        <v>0.12</v>
      </c>
      <c r="AQ294" s="359">
        <f t="shared" si="13"/>
        <v>0.13835999999999998</v>
      </c>
      <c r="AR294" s="360"/>
      <c r="AS294" s="355">
        <v>0.06</v>
      </c>
      <c r="AT294" s="356">
        <f t="shared" si="14"/>
        <v>6.9179999999999992E-2</v>
      </c>
      <c r="AU294" s="329"/>
      <c r="AV294" s="355">
        <v>0.18</v>
      </c>
      <c r="AW294" s="359">
        <f t="shared" si="15"/>
        <v>0.20754</v>
      </c>
      <c r="AX294" s="345" t="s">
        <v>85</v>
      </c>
      <c r="AY294" s="355">
        <v>0.13</v>
      </c>
      <c r="AZ294" s="359">
        <f t="shared" si="16"/>
        <v>7.4945000000000012E-2</v>
      </c>
      <c r="BA294" s="329">
        <f>IF('Degrémont Entrée'!K294="",,('Degrémont Entrée'!K294-I294)/'Degrémont Entrée'!K294*100)</f>
        <v>83.065642458100569</v>
      </c>
      <c r="BB294" s="329">
        <f>IF('Degrémont Entrée'!G294="",,('Degrémont Entrée'!G294-G294)/'Degrémont Entrée'!G294*100)</f>
        <v>99.85739750445633</v>
      </c>
      <c r="BC294" s="329">
        <f>IF('Degrémont Entrée'!S294="",,('Degrémont Entrée'!S294-M294)/'Degrémont Entrée'!S294*100)</f>
        <v>99.72</v>
      </c>
      <c r="BD294" s="425">
        <f ca="1">IFERROR(__xludf.DUMMYFUNCTION("""COMPUTED_VALUE"""),54.15)</f>
        <v>54.15</v>
      </c>
      <c r="BE294" s="362"/>
      <c r="BF294" s="363"/>
      <c r="BG294" s="363"/>
      <c r="BH294" s="338">
        <f t="shared" si="17"/>
        <v>0</v>
      </c>
      <c r="BI294" s="364"/>
      <c r="BJ294" s="365"/>
      <c r="BK294" s="371">
        <f>'Degrémont Entrée'!BH294</f>
        <v>0</v>
      </c>
      <c r="BL294" s="372">
        <f>'Degrémont Entrée'!BI294</f>
        <v>0</v>
      </c>
    </row>
    <row r="295" spans="1:64" ht="15.75" customHeight="1" outlineLevel="1">
      <c r="A295" s="337">
        <f t="shared" si="18"/>
        <v>43747</v>
      </c>
      <c r="B295" s="338">
        <f>'Degrémont Entrée'!B295</f>
        <v>1208</v>
      </c>
      <c r="C295" s="339">
        <v>8.69</v>
      </c>
      <c r="D295" s="340">
        <v>89.8</v>
      </c>
      <c r="E295" s="341">
        <v>91.7</v>
      </c>
      <c r="F295" s="342">
        <v>200</v>
      </c>
      <c r="G295" s="329">
        <f t="shared" si="0"/>
        <v>9.5000000000000284</v>
      </c>
      <c r="H295" s="338"/>
      <c r="I295" s="343">
        <v>436</v>
      </c>
      <c r="J295" s="344">
        <f t="shared" si="2"/>
        <v>526.68799999999999</v>
      </c>
      <c r="K295" s="343">
        <v>1</v>
      </c>
      <c r="L295" s="345">
        <v>0.57999999999999996</v>
      </c>
      <c r="M295" s="346">
        <f t="shared" si="3"/>
        <v>0.57999999999999996</v>
      </c>
      <c r="N295" s="338">
        <f t="shared" si="4"/>
        <v>0.70064000000000004</v>
      </c>
      <c r="O295" s="368"/>
      <c r="P295" s="347">
        <f t="shared" si="19"/>
        <v>0</v>
      </c>
      <c r="Q295" s="348"/>
      <c r="R295" s="369"/>
      <c r="S295" s="349">
        <f t="shared" si="20"/>
        <v>0</v>
      </c>
      <c r="T295" s="348"/>
      <c r="U295" s="369"/>
      <c r="V295" s="349">
        <f t="shared" si="5"/>
        <v>0</v>
      </c>
      <c r="W295" s="348"/>
      <c r="X295" s="318" t="str">
        <f t="shared" si="6"/>
        <v/>
      </c>
      <c r="Y295" s="370" t="e">
        <f t="shared" si="7"/>
        <v>#VALUE!</v>
      </c>
      <c r="Z295" s="343" t="s">
        <v>85</v>
      </c>
      <c r="AA295" s="345">
        <v>0.01</v>
      </c>
      <c r="AB295" s="352">
        <f t="shared" si="8"/>
        <v>6.0400000000000002E-3</v>
      </c>
      <c r="AC295" s="353"/>
      <c r="AD295" s="354"/>
      <c r="AE295" s="378" t="str">
        <f t="shared" si="21"/>
        <v/>
      </c>
      <c r="AF295" s="329"/>
      <c r="AG295" s="358"/>
      <c r="AH295" s="356" t="str">
        <f t="shared" si="22"/>
        <v/>
      </c>
      <c r="AI295" s="329"/>
      <c r="AJ295" s="329"/>
      <c r="AK295" s="356">
        <f t="shared" si="11"/>
        <v>0</v>
      </c>
      <c r="AL295" s="357"/>
      <c r="AM295" s="358"/>
      <c r="AN295" s="356">
        <f t="shared" si="12"/>
        <v>0</v>
      </c>
      <c r="AO295" s="329"/>
      <c r="AP295" s="358"/>
      <c r="AQ295" s="359">
        <f t="shared" si="13"/>
        <v>0</v>
      </c>
      <c r="AR295" s="360"/>
      <c r="AS295" s="358"/>
      <c r="AT295" s="356">
        <f t="shared" si="14"/>
        <v>0</v>
      </c>
      <c r="AU295" s="329"/>
      <c r="AV295" s="358"/>
      <c r="AW295" s="359">
        <f t="shared" si="15"/>
        <v>0</v>
      </c>
      <c r="AX295" s="329"/>
      <c r="AY295" s="358"/>
      <c r="AZ295" s="359">
        <f t="shared" si="16"/>
        <v>0</v>
      </c>
      <c r="BA295" s="329">
        <f>IF('Degrémont Entrée'!K295="",,('Degrémont Entrée'!K295-I295)/'Degrémont Entrée'!K295*100)</f>
        <v>88.031841888553387</v>
      </c>
      <c r="BB295" s="329">
        <f>IF('Degrémont Entrée'!G295="",,('Degrémont Entrée'!G295-G295)/'Degrémont Entrée'!G295*100)</f>
        <v>99.710071210579855</v>
      </c>
      <c r="BC295" s="329">
        <f>IF('Degrémont Entrée'!S295="",,('Degrémont Entrée'!S295-M295)/'Degrémont Entrée'!S295*100)</f>
        <v>99.550387596899213</v>
      </c>
      <c r="BD295" s="425">
        <f ca="1">IFERROR(__xludf.DUMMYFUNCTION("""COMPUTED_VALUE"""),53.2)</f>
        <v>53.2</v>
      </c>
      <c r="BE295" s="362"/>
      <c r="BF295" s="363"/>
      <c r="BG295" s="363"/>
      <c r="BH295" s="338">
        <f t="shared" si="17"/>
        <v>0</v>
      </c>
      <c r="BI295" s="364"/>
      <c r="BJ295" s="365"/>
      <c r="BK295" s="366">
        <f>'Degrémont Entrée'!BH295</f>
        <v>0</v>
      </c>
      <c r="BL295" s="367">
        <f>'Degrémont Entrée'!BI295</f>
        <v>0</v>
      </c>
    </row>
    <row r="296" spans="1:64" ht="36" outlineLevel="1">
      <c r="A296" s="615">
        <f t="shared" si="18"/>
        <v>43748</v>
      </c>
      <c r="B296" s="617">
        <f>'Degrémont Entrée'!B296</f>
        <v>990</v>
      </c>
      <c r="C296" s="618">
        <v>9.2200000000000006</v>
      </c>
      <c r="D296" s="619">
        <v>88.6</v>
      </c>
      <c r="E296" s="620">
        <v>89.7</v>
      </c>
      <c r="F296" s="621">
        <v>200</v>
      </c>
      <c r="G296" s="622">
        <f t="shared" si="0"/>
        <v>5.5000000000000435</v>
      </c>
      <c r="H296" s="617"/>
      <c r="I296" s="623">
        <v>208</v>
      </c>
      <c r="J296" s="624">
        <f t="shared" si="2"/>
        <v>205.92</v>
      </c>
      <c r="K296" s="623">
        <v>1</v>
      </c>
      <c r="L296" s="625">
        <v>0.47</v>
      </c>
      <c r="M296" s="626">
        <f t="shared" si="3"/>
        <v>0.47</v>
      </c>
      <c r="N296" s="617">
        <f t="shared" si="4"/>
        <v>0.46529999999999994</v>
      </c>
      <c r="O296" s="627"/>
      <c r="P296" s="628">
        <f t="shared" si="19"/>
        <v>0</v>
      </c>
      <c r="Q296" s="629"/>
      <c r="R296" s="630"/>
      <c r="S296" s="641">
        <f t="shared" si="20"/>
        <v>0</v>
      </c>
      <c r="T296" s="629"/>
      <c r="U296" s="630"/>
      <c r="V296" s="641">
        <f t="shared" si="5"/>
        <v>0</v>
      </c>
      <c r="W296" s="629"/>
      <c r="X296" s="318" t="str">
        <f t="shared" si="6"/>
        <v/>
      </c>
      <c r="Y296" s="643" t="e">
        <f t="shared" si="7"/>
        <v>#VALUE!</v>
      </c>
      <c r="Z296" s="623" t="s">
        <v>85</v>
      </c>
      <c r="AA296" s="625">
        <v>0.01</v>
      </c>
      <c r="AB296" s="644">
        <f t="shared" si="8"/>
        <v>4.9500000000000004E-3</v>
      </c>
      <c r="AC296" s="645"/>
      <c r="AD296" s="647"/>
      <c r="AE296" s="378" t="str">
        <f t="shared" si="21"/>
        <v/>
      </c>
      <c r="AF296" s="622"/>
      <c r="AG296" s="648"/>
      <c r="AH296" s="356" t="str">
        <f t="shared" si="22"/>
        <v/>
      </c>
      <c r="AI296" s="622"/>
      <c r="AJ296" s="625"/>
      <c r="AK296" s="650">
        <f t="shared" si="11"/>
        <v>0</v>
      </c>
      <c r="AL296" s="651"/>
      <c r="AM296" s="648"/>
      <c r="AN296" s="650">
        <f t="shared" si="12"/>
        <v>0</v>
      </c>
      <c r="AO296" s="622"/>
      <c r="AP296" s="648"/>
      <c r="AQ296" s="653">
        <f t="shared" si="13"/>
        <v>0</v>
      </c>
      <c r="AR296" s="654"/>
      <c r="AS296" s="648"/>
      <c r="AT296" s="650">
        <f t="shared" si="14"/>
        <v>0</v>
      </c>
      <c r="AU296" s="622"/>
      <c r="AV296" s="648"/>
      <c r="AW296" s="653">
        <f t="shared" si="15"/>
        <v>0</v>
      </c>
      <c r="AX296" s="622"/>
      <c r="AY296" s="648"/>
      <c r="AZ296" s="653">
        <f t="shared" si="16"/>
        <v>0</v>
      </c>
      <c r="BA296" s="622">
        <f>IF('Degrémont Entrée'!K296="",,('Degrémont Entrée'!K296-I296)/'Degrémont Entrée'!K296*100)</f>
        <v>86.571981923821824</v>
      </c>
      <c r="BB296" s="622">
        <f>IF('Degrémont Entrée'!G296="",,('Degrémont Entrée'!G296-G296)/'Degrémont Entrée'!G296*100)</f>
        <v>99.561170212765958</v>
      </c>
      <c r="BC296" s="622">
        <f>IF('Degrémont Entrée'!S296="",,('Degrémont Entrée'!S296-M296)/'Degrémont Entrée'!S296*100)</f>
        <v>99.233278955954333</v>
      </c>
      <c r="BD296" s="657">
        <f ca="1">IFERROR(__xludf.DUMMYFUNCTION("""COMPUTED_VALUE"""),52.9)</f>
        <v>52.9</v>
      </c>
      <c r="BE296" s="658">
        <v>21.8536</v>
      </c>
      <c r="BF296" s="659">
        <v>29.918700000000001</v>
      </c>
      <c r="BG296" s="659">
        <v>26.5154</v>
      </c>
      <c r="BH296" s="617">
        <f t="shared" si="17"/>
        <v>57.802135125416903</v>
      </c>
      <c r="BI296" s="660"/>
      <c r="BJ296" s="661" t="s">
        <v>233</v>
      </c>
      <c r="BK296" s="662">
        <f>'Degrémont Entrée'!BH296</f>
        <v>0</v>
      </c>
      <c r="BL296" s="663" t="str">
        <f>'Degrémont Entrée'!BI296</f>
        <v>Nouvel AP: Sortie DEG Réglementaire</v>
      </c>
    </row>
    <row r="297" spans="1:64" ht="15.75" customHeight="1" outlineLevel="1">
      <c r="A297" s="337">
        <f t="shared" si="18"/>
        <v>43749</v>
      </c>
      <c r="B297" s="338">
        <f>'Degrémont Entrée'!B297</f>
        <v>1347</v>
      </c>
      <c r="C297" s="339">
        <v>9.19</v>
      </c>
      <c r="D297" s="340">
        <v>89.6</v>
      </c>
      <c r="E297" s="341">
        <v>91.1</v>
      </c>
      <c r="F297" s="342">
        <v>200</v>
      </c>
      <c r="G297" s="329">
        <f t="shared" si="0"/>
        <v>7.5</v>
      </c>
      <c r="H297" s="338"/>
      <c r="I297" s="343">
        <v>185</v>
      </c>
      <c r="J297" s="344">
        <f t="shared" si="2"/>
        <v>249.19499999999999</v>
      </c>
      <c r="K297" s="343">
        <v>1</v>
      </c>
      <c r="L297" s="345">
        <v>0.48</v>
      </c>
      <c r="M297" s="346">
        <f t="shared" si="3"/>
        <v>0.48</v>
      </c>
      <c r="N297" s="338">
        <f t="shared" si="4"/>
        <v>0.64655999999999991</v>
      </c>
      <c r="O297" s="368"/>
      <c r="P297" s="347">
        <f t="shared" si="19"/>
        <v>0</v>
      </c>
      <c r="Q297" s="666"/>
      <c r="R297" s="318"/>
      <c r="S297" s="349">
        <f t="shared" si="20"/>
        <v>0</v>
      </c>
      <c r="T297" s="666"/>
      <c r="U297" s="318"/>
      <c r="V297" s="349">
        <f t="shared" si="5"/>
        <v>0</v>
      </c>
      <c r="W297" s="666"/>
      <c r="X297" s="318" t="str">
        <f t="shared" si="6"/>
        <v/>
      </c>
      <c r="Y297" s="370" t="e">
        <f t="shared" si="7"/>
        <v>#VALUE!</v>
      </c>
      <c r="Z297" s="343" t="s">
        <v>85</v>
      </c>
      <c r="AA297" s="345">
        <v>0.01</v>
      </c>
      <c r="AB297" s="352">
        <f t="shared" si="8"/>
        <v>6.7350000000000005E-3</v>
      </c>
      <c r="AC297" s="353"/>
      <c r="AD297" s="354"/>
      <c r="AE297" s="378" t="str">
        <f t="shared" si="21"/>
        <v/>
      </c>
      <c r="AF297" s="329"/>
      <c r="AG297" s="358"/>
      <c r="AH297" s="356" t="str">
        <f t="shared" si="22"/>
        <v/>
      </c>
      <c r="AI297" s="329"/>
      <c r="AJ297" s="345"/>
      <c r="AK297" s="356">
        <f t="shared" si="11"/>
        <v>0</v>
      </c>
      <c r="AL297" s="357"/>
      <c r="AM297" s="358"/>
      <c r="AN297" s="356">
        <f t="shared" si="12"/>
        <v>0</v>
      </c>
      <c r="AO297" s="329"/>
      <c r="AP297" s="358"/>
      <c r="AQ297" s="359">
        <f t="shared" si="13"/>
        <v>0</v>
      </c>
      <c r="AR297" s="360"/>
      <c r="AS297" s="358"/>
      <c r="AT297" s="356">
        <f t="shared" si="14"/>
        <v>0</v>
      </c>
      <c r="AU297" s="329"/>
      <c r="AV297" s="358"/>
      <c r="AW297" s="359">
        <f t="shared" si="15"/>
        <v>0</v>
      </c>
      <c r="AX297" s="329"/>
      <c r="AY297" s="358"/>
      <c r="AZ297" s="359">
        <f t="shared" si="16"/>
        <v>0</v>
      </c>
      <c r="BA297" s="329">
        <f>IF('Degrémont Entrée'!K297="",,('Degrémont Entrée'!K297-I297)/'Degrémont Entrée'!K297*100)</f>
        <v>84.133790737564311</v>
      </c>
      <c r="BB297" s="329">
        <f>IF('Degrémont Entrée'!G297="",,('Degrémont Entrée'!G297-G297)/'Degrémont Entrée'!G297*100)</f>
        <v>98.853711790393021</v>
      </c>
      <c r="BC297" s="329">
        <f>IF('Degrémont Entrée'!S297="",,('Degrémont Entrée'!S297-M297)/'Degrémont Entrée'!S297*100)</f>
        <v>98.98089171974523</v>
      </c>
      <c r="BD297" s="425">
        <f ca="1">IFERROR(__xludf.DUMMYFUNCTION("""COMPUTED_VALUE"""),53.55)</f>
        <v>53.55</v>
      </c>
      <c r="BE297" s="362"/>
      <c r="BF297" s="363"/>
      <c r="BG297" s="363"/>
      <c r="BH297" s="338">
        <f t="shared" si="17"/>
        <v>0</v>
      </c>
      <c r="BI297" s="364"/>
      <c r="BJ297" s="365"/>
      <c r="BK297" s="366">
        <f>'Degrémont Entrée'!BH297</f>
        <v>0</v>
      </c>
      <c r="BL297" s="367" t="str">
        <f>'Degrémont Entrée'!BI297</f>
        <v>prélèvement poncuel, defaut préleveur entrée</v>
      </c>
    </row>
    <row r="298" spans="1:64" ht="14.25" outlineLevel="1">
      <c r="A298" s="337">
        <f t="shared" si="18"/>
        <v>43750</v>
      </c>
      <c r="B298" s="338">
        <f>'Degrémont Entrée'!B298</f>
        <v>1255</v>
      </c>
      <c r="C298" s="339">
        <v>8.69</v>
      </c>
      <c r="D298" s="340">
        <v>88.8</v>
      </c>
      <c r="E298" s="341">
        <v>92</v>
      </c>
      <c r="F298" s="342">
        <v>150</v>
      </c>
      <c r="G298" s="329">
        <f t="shared" si="0"/>
        <v>21.33333333333335</v>
      </c>
      <c r="H298" s="338"/>
      <c r="I298" s="343">
        <v>690</v>
      </c>
      <c r="J298" s="344">
        <f t="shared" si="2"/>
        <v>865.95</v>
      </c>
      <c r="K298" s="343">
        <v>1</v>
      </c>
      <c r="L298" s="345">
        <v>1.75</v>
      </c>
      <c r="M298" s="346">
        <f t="shared" si="3"/>
        <v>1.75</v>
      </c>
      <c r="N298" s="338">
        <f t="shared" si="4"/>
        <v>2.19625</v>
      </c>
      <c r="O298" s="368"/>
      <c r="P298" s="347">
        <f t="shared" si="19"/>
        <v>0</v>
      </c>
      <c r="Q298" s="666"/>
      <c r="R298" s="318"/>
      <c r="S298" s="349">
        <f t="shared" si="20"/>
        <v>0</v>
      </c>
      <c r="T298" s="666"/>
      <c r="U298" s="318"/>
      <c r="V298" s="349">
        <f t="shared" si="5"/>
        <v>0</v>
      </c>
      <c r="W298" s="666"/>
      <c r="X298" s="318" t="str">
        <f t="shared" si="6"/>
        <v/>
      </c>
      <c r="Y298" s="370" t="e">
        <f t="shared" si="7"/>
        <v>#VALUE!</v>
      </c>
      <c r="Z298" s="343" t="s">
        <v>85</v>
      </c>
      <c r="AA298" s="345">
        <v>0.01</v>
      </c>
      <c r="AB298" s="352">
        <f t="shared" si="8"/>
        <v>6.2750000000000002E-3</v>
      </c>
      <c r="AC298" s="353"/>
      <c r="AD298" s="354"/>
      <c r="AE298" s="378" t="str">
        <f t="shared" si="21"/>
        <v/>
      </c>
      <c r="AF298" s="329"/>
      <c r="AG298" s="358"/>
      <c r="AH298" s="356" t="str">
        <f t="shared" si="22"/>
        <v/>
      </c>
      <c r="AI298" s="329"/>
      <c r="AJ298" s="329"/>
      <c r="AK298" s="356">
        <f t="shared" si="11"/>
        <v>0</v>
      </c>
      <c r="AL298" s="357"/>
      <c r="AM298" s="358"/>
      <c r="AN298" s="356">
        <f t="shared" si="12"/>
        <v>0</v>
      </c>
      <c r="AO298" s="329"/>
      <c r="AP298" s="358"/>
      <c r="AQ298" s="359">
        <f t="shared" si="13"/>
        <v>0</v>
      </c>
      <c r="AR298" s="360"/>
      <c r="AS298" s="358"/>
      <c r="AT298" s="356">
        <f t="shared" si="14"/>
        <v>0</v>
      </c>
      <c r="AU298" s="329"/>
      <c r="AV298" s="358"/>
      <c r="AW298" s="359">
        <f t="shared" si="15"/>
        <v>0</v>
      </c>
      <c r="AX298" s="329"/>
      <c r="AY298" s="358"/>
      <c r="AZ298" s="359">
        <f t="shared" si="16"/>
        <v>0</v>
      </c>
      <c r="BA298" s="329">
        <f>IF('Degrémont Entrée'!K298="",,('Degrémont Entrée'!K298-I298)/'Degrémont Entrée'!K298*100)</f>
        <v>70.194384449244069</v>
      </c>
      <c r="BB298" s="329">
        <f>IF('Degrémont Entrée'!G298="",,('Degrémont Entrée'!G298-G298)/'Degrémont Entrée'!G298*100)</f>
        <v>98.979266347687386</v>
      </c>
      <c r="BC298" s="329">
        <f>IF('Degrémont Entrée'!S298="",,('Degrémont Entrée'!S298-M298)/'Degrémont Entrée'!S298*100)</f>
        <v>98.464912280701753</v>
      </c>
      <c r="BD298" s="425">
        <f ca="1">IFERROR(__xludf.DUMMYFUNCTION("""COMPUTED_VALUE"""),52.1)</f>
        <v>52.1</v>
      </c>
      <c r="BE298" s="362"/>
      <c r="BF298" s="363"/>
      <c r="BG298" s="363"/>
      <c r="BH298" s="338">
        <f t="shared" si="17"/>
        <v>0</v>
      </c>
      <c r="BI298" s="364"/>
      <c r="BJ298" s="365"/>
      <c r="BK298" s="371">
        <f>'Degrémont Entrée'!BH298</f>
        <v>0</v>
      </c>
      <c r="BL298" s="372">
        <f>'Degrémont Entrée'!BI298</f>
        <v>0</v>
      </c>
    </row>
    <row r="299" spans="1:64" ht="15.75" customHeight="1" outlineLevel="1">
      <c r="A299" s="337">
        <f t="shared" si="18"/>
        <v>43751</v>
      </c>
      <c r="B299" s="338">
        <f>'Degrémont Entrée'!B299</f>
        <v>0</v>
      </c>
      <c r="C299" s="338"/>
      <c r="D299" s="388"/>
      <c r="E299" s="368"/>
      <c r="F299" s="357"/>
      <c r="G299" s="329">
        <f t="shared" si="0"/>
        <v>0</v>
      </c>
      <c r="H299" s="338"/>
      <c r="I299" s="346"/>
      <c r="J299" s="344">
        <f t="shared" si="2"/>
        <v>0</v>
      </c>
      <c r="K299" s="343">
        <v>1</v>
      </c>
      <c r="L299" s="329"/>
      <c r="M299" s="346" t="str">
        <f t="shared" si="3"/>
        <v/>
      </c>
      <c r="N299" s="338" t="e">
        <f t="shared" si="4"/>
        <v>#VALUE!</v>
      </c>
      <c r="O299" s="368"/>
      <c r="P299" s="347">
        <f t="shared" si="19"/>
        <v>0</v>
      </c>
      <c r="Q299" s="348"/>
      <c r="R299" s="369"/>
      <c r="S299" s="349">
        <f t="shared" si="20"/>
        <v>0</v>
      </c>
      <c r="T299" s="348"/>
      <c r="U299" s="369"/>
      <c r="V299" s="349">
        <f t="shared" si="5"/>
        <v>0</v>
      </c>
      <c r="W299" s="348"/>
      <c r="X299" s="318" t="str">
        <f t="shared" si="6"/>
        <v/>
      </c>
      <c r="Y299" s="370" t="e">
        <f t="shared" si="7"/>
        <v>#VALUE!</v>
      </c>
      <c r="Z299" s="346"/>
      <c r="AA299" s="329"/>
      <c r="AB299" s="352">
        <f t="shared" si="8"/>
        <v>0</v>
      </c>
      <c r="AC299" s="353"/>
      <c r="AD299" s="354"/>
      <c r="AE299" s="378" t="str">
        <f t="shared" si="21"/>
        <v/>
      </c>
      <c r="AF299" s="329"/>
      <c r="AG299" s="358"/>
      <c r="AH299" s="356" t="str">
        <f t="shared" si="22"/>
        <v/>
      </c>
      <c r="AI299" s="329"/>
      <c r="AJ299" s="329"/>
      <c r="AK299" s="356">
        <f t="shared" si="11"/>
        <v>0</v>
      </c>
      <c r="AL299" s="357"/>
      <c r="AM299" s="358"/>
      <c r="AN299" s="356">
        <f t="shared" si="12"/>
        <v>0</v>
      </c>
      <c r="AO299" s="329"/>
      <c r="AP299" s="358"/>
      <c r="AQ299" s="359">
        <f t="shared" si="13"/>
        <v>0</v>
      </c>
      <c r="AR299" s="360"/>
      <c r="AS299" s="358"/>
      <c r="AT299" s="356">
        <f t="shared" si="14"/>
        <v>0</v>
      </c>
      <c r="AU299" s="329"/>
      <c r="AV299" s="358"/>
      <c r="AW299" s="359">
        <f t="shared" si="15"/>
        <v>0</v>
      </c>
      <c r="AX299" s="329"/>
      <c r="AY299" s="358"/>
      <c r="AZ299" s="359">
        <f t="shared" si="16"/>
        <v>0</v>
      </c>
      <c r="BA299" s="329" t="e">
        <f>IF('Degrémont Entrée'!K299="",,('Degrémont Entrée'!K299-I299)/'Degrémont Entrée'!K299*100)</f>
        <v>#DIV/0!</v>
      </c>
      <c r="BB299" s="329" t="e">
        <f>IF('Degrémont Entrée'!G299="",,('Degrémont Entrée'!G299-G299)/'Degrémont Entrée'!G299*100)</f>
        <v>#DIV/0!</v>
      </c>
      <c r="BC299" s="329">
        <f>IF('Degrémont Entrée'!S299="",,('Degrémont Entrée'!S299-M299)/'Degrémont Entrée'!S299*100)</f>
        <v>0</v>
      </c>
      <c r="BD299" s="425" t="str">
        <f ca="1">IFERROR(__xludf.DUMMYFUNCTION("""COMPUTED_VALUE"""),"#DIV/0!")</f>
        <v>#DIV/0!</v>
      </c>
      <c r="BE299" s="362"/>
      <c r="BF299" s="363"/>
      <c r="BG299" s="363"/>
      <c r="BH299" s="338">
        <f t="shared" si="17"/>
        <v>0</v>
      </c>
      <c r="BI299" s="364"/>
      <c r="BJ299" s="365"/>
      <c r="BK299" s="366">
        <f>'Degrémont Entrée'!BH299</f>
        <v>0</v>
      </c>
      <c r="BL299" s="367">
        <f>'Degrémont Entrée'!BI299</f>
        <v>0</v>
      </c>
    </row>
    <row r="300" spans="1:64" ht="14.25" outlineLevel="1">
      <c r="A300" s="337">
        <f t="shared" si="18"/>
        <v>43752</v>
      </c>
      <c r="B300" s="338">
        <f>'Degrémont Entrée'!B300</f>
        <v>926</v>
      </c>
      <c r="C300" s="339">
        <v>8.99</v>
      </c>
      <c r="D300" s="340">
        <v>88.1</v>
      </c>
      <c r="E300" s="341">
        <v>91</v>
      </c>
      <c r="F300" s="342">
        <v>200</v>
      </c>
      <c r="G300" s="329">
        <f t="shared" si="0"/>
        <v>14.500000000000027</v>
      </c>
      <c r="H300" s="338"/>
      <c r="I300" s="343">
        <v>227</v>
      </c>
      <c r="J300" s="344">
        <f t="shared" si="2"/>
        <v>210.202</v>
      </c>
      <c r="K300" s="343">
        <v>1</v>
      </c>
      <c r="L300" s="345">
        <v>0.99</v>
      </c>
      <c r="M300" s="346">
        <f t="shared" si="3"/>
        <v>0.99</v>
      </c>
      <c r="N300" s="338">
        <f t="shared" si="4"/>
        <v>0.91674</v>
      </c>
      <c r="O300" s="368"/>
      <c r="P300" s="347">
        <f t="shared" si="19"/>
        <v>0</v>
      </c>
      <c r="Q300" s="666"/>
      <c r="R300" s="318"/>
      <c r="S300" s="349">
        <f t="shared" si="20"/>
        <v>0</v>
      </c>
      <c r="T300" s="666"/>
      <c r="U300" s="318"/>
      <c r="V300" s="349">
        <f t="shared" si="5"/>
        <v>0</v>
      </c>
      <c r="W300" s="666"/>
      <c r="X300" s="318" t="str">
        <f t="shared" si="6"/>
        <v/>
      </c>
      <c r="Y300" s="370" t="e">
        <f t="shared" si="7"/>
        <v>#VALUE!</v>
      </c>
      <c r="Z300" s="343" t="s">
        <v>85</v>
      </c>
      <c r="AA300" s="345">
        <v>0.01</v>
      </c>
      <c r="AB300" s="352">
        <f t="shared" si="8"/>
        <v>4.6299999999999996E-3</v>
      </c>
      <c r="AC300" s="353"/>
      <c r="AD300" s="354"/>
      <c r="AE300" s="378" t="str">
        <f t="shared" si="21"/>
        <v/>
      </c>
      <c r="AF300" s="329"/>
      <c r="AG300" s="358"/>
      <c r="AH300" s="356" t="str">
        <f t="shared" si="22"/>
        <v/>
      </c>
      <c r="AI300" s="329"/>
      <c r="AJ300" s="329"/>
      <c r="AK300" s="356">
        <f t="shared" si="11"/>
        <v>0</v>
      </c>
      <c r="AL300" s="357"/>
      <c r="AM300" s="358"/>
      <c r="AN300" s="356">
        <f t="shared" si="12"/>
        <v>0</v>
      </c>
      <c r="AO300" s="329"/>
      <c r="AP300" s="358"/>
      <c r="AQ300" s="359">
        <f t="shared" si="13"/>
        <v>0</v>
      </c>
      <c r="AR300" s="360"/>
      <c r="AS300" s="358"/>
      <c r="AT300" s="356">
        <f t="shared" si="14"/>
        <v>0</v>
      </c>
      <c r="AU300" s="329"/>
      <c r="AV300" s="358"/>
      <c r="AW300" s="359">
        <f t="shared" si="15"/>
        <v>0</v>
      </c>
      <c r="AX300" s="329"/>
      <c r="AY300" s="358"/>
      <c r="AZ300" s="359">
        <f t="shared" si="16"/>
        <v>0</v>
      </c>
      <c r="BA300" s="329">
        <f>IF('Degrémont Entrée'!K300="",,('Degrémont Entrée'!K300-I300)/'Degrémont Entrée'!K300*100)</f>
        <v>78.524124881740775</v>
      </c>
      <c r="BB300" s="329">
        <f>IF('Degrémont Entrée'!G300="",,('Degrémont Entrée'!G300-G300)/'Degrémont Entrée'!G300*100)</f>
        <v>98.359489051094897</v>
      </c>
      <c r="BC300" s="329">
        <f>IF('Degrémont Entrée'!S300="",,('Degrémont Entrée'!S300-M300)/'Degrémont Entrée'!S300*100)</f>
        <v>98.400646203554118</v>
      </c>
      <c r="BD300" s="425">
        <f ca="1">IFERROR(__xludf.DUMMYFUNCTION("""COMPUTED_VALUE"""),51.2444444444444)</f>
        <v>51.244444444444397</v>
      </c>
      <c r="BE300" s="386">
        <v>21.854800000000001</v>
      </c>
      <c r="BF300" s="387">
        <v>37.872500000000002</v>
      </c>
      <c r="BG300" s="387">
        <v>31.0867</v>
      </c>
      <c r="BH300" s="338">
        <f t="shared" si="17"/>
        <v>57.635615600242225</v>
      </c>
      <c r="BI300" s="364"/>
      <c r="BJ300" s="365"/>
      <c r="BK300" s="371">
        <f>'Degrémont Entrée'!BH300</f>
        <v>0</v>
      </c>
      <c r="BL300" s="372">
        <f>'Degrémont Entrée'!BI300</f>
        <v>0</v>
      </c>
    </row>
    <row r="301" spans="1:64" ht="15.75" customHeight="1" outlineLevel="1">
      <c r="A301" s="337">
        <f t="shared" si="18"/>
        <v>43753</v>
      </c>
      <c r="B301" s="338">
        <f>'Degrémont Entrée'!B301</f>
        <v>1132</v>
      </c>
      <c r="C301" s="339">
        <v>9.07</v>
      </c>
      <c r="D301" s="340">
        <v>87.8</v>
      </c>
      <c r="E301" s="341">
        <v>90.8</v>
      </c>
      <c r="F301" s="342">
        <v>200</v>
      </c>
      <c r="G301" s="329">
        <f t="shared" si="0"/>
        <v>15</v>
      </c>
      <c r="H301" s="338"/>
      <c r="I301" s="343">
        <v>665</v>
      </c>
      <c r="J301" s="344">
        <f t="shared" si="2"/>
        <v>752.78</v>
      </c>
      <c r="K301" s="343">
        <v>1</v>
      </c>
      <c r="L301" s="345">
        <v>0.76</v>
      </c>
      <c r="M301" s="346">
        <f t="shared" si="3"/>
        <v>0.76</v>
      </c>
      <c r="N301" s="338">
        <f t="shared" si="4"/>
        <v>0.86032000000000008</v>
      </c>
      <c r="O301" s="341">
        <v>5.4</v>
      </c>
      <c r="P301" s="347">
        <f t="shared" si="19"/>
        <v>6.1128</v>
      </c>
      <c r="Q301" s="666"/>
      <c r="R301" s="318"/>
      <c r="S301" s="349">
        <f t="shared" si="20"/>
        <v>0</v>
      </c>
      <c r="T301" s="666"/>
      <c r="U301" s="318"/>
      <c r="V301" s="349">
        <f t="shared" si="5"/>
        <v>0</v>
      </c>
      <c r="W301" s="666"/>
      <c r="X301" s="318">
        <f t="shared" si="6"/>
        <v>5.4</v>
      </c>
      <c r="Y301" s="370">
        <f t="shared" si="7"/>
        <v>6.1128</v>
      </c>
      <c r="Z301" s="343" t="s">
        <v>85</v>
      </c>
      <c r="AA301" s="345">
        <v>0.01</v>
      </c>
      <c r="AB301" s="352">
        <f t="shared" si="8"/>
        <v>5.6600000000000001E-3</v>
      </c>
      <c r="AC301" s="385" t="s">
        <v>85</v>
      </c>
      <c r="AD301" s="377">
        <v>5.0000000000000001E-3</v>
      </c>
      <c r="AE301" s="378">
        <f t="shared" si="21"/>
        <v>1.7145000000000001E-2</v>
      </c>
      <c r="AF301" s="329"/>
      <c r="AG301" s="355">
        <v>0.34</v>
      </c>
      <c r="AH301" s="356">
        <f t="shared" si="22"/>
        <v>2.3317200000000002</v>
      </c>
      <c r="AI301" s="329"/>
      <c r="AJ301" s="345">
        <v>0.55000000000000004</v>
      </c>
      <c r="AK301" s="356">
        <f t="shared" si="11"/>
        <v>0.62260000000000004</v>
      </c>
      <c r="AL301" s="342" t="s">
        <v>85</v>
      </c>
      <c r="AM301" s="355">
        <v>0.03</v>
      </c>
      <c r="AN301" s="356">
        <f t="shared" si="12"/>
        <v>1.6980000000000002E-2</v>
      </c>
      <c r="AO301" s="329"/>
      <c r="AP301" s="355">
        <v>0.1</v>
      </c>
      <c r="AQ301" s="359">
        <f t="shared" si="13"/>
        <v>0.11320000000000001</v>
      </c>
      <c r="AR301" s="360"/>
      <c r="AS301" s="355">
        <v>0.11</v>
      </c>
      <c r="AT301" s="356">
        <f t="shared" si="14"/>
        <v>0.12451999999999999</v>
      </c>
      <c r="AU301" s="345" t="s">
        <v>85</v>
      </c>
      <c r="AV301" s="355">
        <v>0.15</v>
      </c>
      <c r="AW301" s="359">
        <f t="shared" si="15"/>
        <v>8.4899999999999989E-2</v>
      </c>
      <c r="AX301" s="345" t="s">
        <v>85</v>
      </c>
      <c r="AY301" s="355">
        <v>0.01</v>
      </c>
      <c r="AZ301" s="359">
        <f t="shared" si="16"/>
        <v>5.6600000000000001E-3</v>
      </c>
      <c r="BA301" s="329">
        <f>IF('Degrémont Entrée'!K301="",,('Degrémont Entrée'!K301-I301)/'Degrémont Entrée'!K301*100)</f>
        <v>68.572778827977316</v>
      </c>
      <c r="BB301" s="329">
        <f>IF('Degrémont Entrée'!G301="",,('Degrémont Entrée'!G301-G301)/'Degrémont Entrée'!G301*100)</f>
        <v>98.523316062176164</v>
      </c>
      <c r="BC301" s="329">
        <f>IF('Degrémont Entrée'!S301="",,('Degrémont Entrée'!S301-M301)/'Degrémont Entrée'!S301*100)</f>
        <v>98.858858858858852</v>
      </c>
      <c r="BD301" s="425">
        <f ca="1">IFERROR(__xludf.DUMMYFUNCTION("""COMPUTED_VALUE"""),52.54)</f>
        <v>52.54</v>
      </c>
      <c r="BE301" s="362"/>
      <c r="BF301" s="363"/>
      <c r="BG301" s="363"/>
      <c r="BH301" s="338">
        <f t="shared" si="17"/>
        <v>0</v>
      </c>
      <c r="BI301" s="364"/>
      <c r="BJ301" s="365"/>
      <c r="BK301" s="366">
        <f>'Degrémont Entrée'!BH301</f>
        <v>0</v>
      </c>
      <c r="BL301" s="367">
        <f>'Degrémont Entrée'!BI301</f>
        <v>0</v>
      </c>
    </row>
    <row r="302" spans="1:64" ht="14.25" outlineLevel="1">
      <c r="A302" s="337">
        <f t="shared" si="18"/>
        <v>43754</v>
      </c>
      <c r="B302" s="338">
        <f>'Degrémont Entrée'!B302</f>
        <v>1189</v>
      </c>
      <c r="C302" s="339">
        <v>9.15</v>
      </c>
      <c r="D302" s="340">
        <v>88.7</v>
      </c>
      <c r="E302" s="341">
        <v>92.8</v>
      </c>
      <c r="F302" s="342">
        <v>200</v>
      </c>
      <c r="G302" s="329">
        <f t="shared" si="0"/>
        <v>20.499999999999972</v>
      </c>
      <c r="H302" s="338"/>
      <c r="I302" s="343">
        <v>557</v>
      </c>
      <c r="J302" s="344">
        <f t="shared" si="2"/>
        <v>662.27300000000002</v>
      </c>
      <c r="K302" s="343">
        <v>1</v>
      </c>
      <c r="L302" s="345">
        <v>0.68</v>
      </c>
      <c r="M302" s="346">
        <f t="shared" si="3"/>
        <v>0.68</v>
      </c>
      <c r="N302" s="338">
        <f t="shared" si="4"/>
        <v>0.80852000000000013</v>
      </c>
      <c r="O302" s="368"/>
      <c r="P302" s="347">
        <f t="shared" si="19"/>
        <v>0</v>
      </c>
      <c r="Q302" s="666"/>
      <c r="R302" s="318"/>
      <c r="S302" s="349">
        <f t="shared" si="20"/>
        <v>0</v>
      </c>
      <c r="T302" s="666"/>
      <c r="U302" s="318"/>
      <c r="V302" s="349">
        <f t="shared" si="5"/>
        <v>0</v>
      </c>
      <c r="W302" s="666"/>
      <c r="X302" s="318" t="str">
        <f t="shared" si="6"/>
        <v/>
      </c>
      <c r="Y302" s="370" t="e">
        <f t="shared" si="7"/>
        <v>#VALUE!</v>
      </c>
      <c r="Z302" s="343" t="s">
        <v>85</v>
      </c>
      <c r="AA302" s="345">
        <v>0.01</v>
      </c>
      <c r="AB302" s="352">
        <f t="shared" si="8"/>
        <v>5.9450000000000006E-3</v>
      </c>
      <c r="AC302" s="353"/>
      <c r="AD302" s="354"/>
      <c r="AE302" s="378" t="str">
        <f t="shared" si="21"/>
        <v/>
      </c>
      <c r="AF302" s="329"/>
      <c r="AG302" s="358"/>
      <c r="AH302" s="356" t="str">
        <f t="shared" si="22"/>
        <v/>
      </c>
      <c r="AI302" s="329"/>
      <c r="AJ302" s="329"/>
      <c r="AK302" s="356">
        <f t="shared" si="11"/>
        <v>0</v>
      </c>
      <c r="AL302" s="357"/>
      <c r="AM302" s="358"/>
      <c r="AN302" s="356">
        <f t="shared" si="12"/>
        <v>0</v>
      </c>
      <c r="AO302" s="329"/>
      <c r="AP302" s="358"/>
      <c r="AQ302" s="359">
        <f t="shared" si="13"/>
        <v>0</v>
      </c>
      <c r="AR302" s="360"/>
      <c r="AS302" s="358"/>
      <c r="AT302" s="356">
        <f t="shared" si="14"/>
        <v>0</v>
      </c>
      <c r="AU302" s="329"/>
      <c r="AV302" s="358"/>
      <c r="AW302" s="359">
        <f t="shared" si="15"/>
        <v>0</v>
      </c>
      <c r="AX302" s="329"/>
      <c r="AY302" s="358"/>
      <c r="AZ302" s="359">
        <f t="shared" si="16"/>
        <v>0</v>
      </c>
      <c r="BA302" s="329">
        <f>IF('Degrémont Entrée'!K302="",,('Degrémont Entrée'!K302-I302)/'Degrémont Entrée'!K302*100)</f>
        <v>66.486161251504214</v>
      </c>
      <c r="BB302" s="329">
        <f>IF('Degrémont Entrée'!G302="",,('Degrémont Entrée'!G302-G302)/'Degrémont Entrée'!G302*100)</f>
        <v>97.54</v>
      </c>
      <c r="BC302" s="329">
        <f>IF('Degrémont Entrée'!S302="",,('Degrémont Entrée'!S302-M302)/'Degrémont Entrée'!S302*100)</f>
        <v>98.051575931232094</v>
      </c>
      <c r="BD302" s="425">
        <f ca="1">IFERROR(__xludf.DUMMYFUNCTION("""COMPUTED_VALUE"""),53.15)</f>
        <v>53.15</v>
      </c>
      <c r="BE302" s="362"/>
      <c r="BF302" s="363"/>
      <c r="BG302" s="363"/>
      <c r="BH302" s="338">
        <f t="shared" si="17"/>
        <v>0</v>
      </c>
      <c r="BI302" s="364"/>
      <c r="BJ302" s="365"/>
      <c r="BK302" s="371">
        <f>'Degrémont Entrée'!BH302</f>
        <v>0</v>
      </c>
      <c r="BL302" s="372">
        <f>'Degrémont Entrée'!BI302</f>
        <v>0</v>
      </c>
    </row>
    <row r="303" spans="1:64" ht="15.75" customHeight="1" outlineLevel="1">
      <c r="A303" s="337">
        <f t="shared" si="18"/>
        <v>43755</v>
      </c>
      <c r="B303" s="338">
        <f>'Degrémont Entrée'!B303</f>
        <v>976</v>
      </c>
      <c r="C303" s="339">
        <v>9.2200000000000006</v>
      </c>
      <c r="D303" s="340">
        <v>88.8</v>
      </c>
      <c r="E303" s="341">
        <v>91.2</v>
      </c>
      <c r="F303" s="342">
        <v>175</v>
      </c>
      <c r="G303" s="329">
        <f t="shared" si="0"/>
        <v>13.714285714285745</v>
      </c>
      <c r="H303" s="338"/>
      <c r="I303" s="343">
        <v>350</v>
      </c>
      <c r="J303" s="344">
        <f t="shared" si="2"/>
        <v>341.6</v>
      </c>
      <c r="K303" s="343">
        <v>1</v>
      </c>
      <c r="L303" s="345">
        <v>0.59</v>
      </c>
      <c r="M303" s="346">
        <f t="shared" si="3"/>
        <v>0.59</v>
      </c>
      <c r="N303" s="338">
        <f t="shared" si="4"/>
        <v>0.57583999999999991</v>
      </c>
      <c r="O303" s="368"/>
      <c r="P303" s="347">
        <f t="shared" si="19"/>
        <v>0</v>
      </c>
      <c r="Q303" s="666"/>
      <c r="R303" s="318"/>
      <c r="S303" s="349">
        <f t="shared" si="20"/>
        <v>0</v>
      </c>
      <c r="T303" s="666"/>
      <c r="U303" s="318"/>
      <c r="V303" s="349">
        <f t="shared" si="5"/>
        <v>0</v>
      </c>
      <c r="W303" s="666"/>
      <c r="X303" s="318" t="str">
        <f t="shared" si="6"/>
        <v/>
      </c>
      <c r="Y303" s="370" t="e">
        <f t="shared" si="7"/>
        <v>#VALUE!</v>
      </c>
      <c r="Z303" s="343" t="s">
        <v>85</v>
      </c>
      <c r="AA303" s="345">
        <v>0.01</v>
      </c>
      <c r="AB303" s="352">
        <f t="shared" si="8"/>
        <v>4.8799999999999998E-3</v>
      </c>
      <c r="AC303" s="353"/>
      <c r="AD303" s="354"/>
      <c r="AE303" s="378" t="str">
        <f t="shared" si="21"/>
        <v/>
      </c>
      <c r="AF303" s="329"/>
      <c r="AG303" s="358"/>
      <c r="AH303" s="356" t="str">
        <f t="shared" si="22"/>
        <v/>
      </c>
      <c r="AI303" s="329"/>
      <c r="AJ303" s="329"/>
      <c r="AK303" s="356">
        <f t="shared" si="11"/>
        <v>0</v>
      </c>
      <c r="AL303" s="357"/>
      <c r="AM303" s="358"/>
      <c r="AN303" s="356">
        <f t="shared" si="12"/>
        <v>0</v>
      </c>
      <c r="AO303" s="329"/>
      <c r="AP303" s="358"/>
      <c r="AQ303" s="359">
        <f t="shared" si="13"/>
        <v>0</v>
      </c>
      <c r="AR303" s="360"/>
      <c r="AS303" s="358"/>
      <c r="AT303" s="356">
        <f t="shared" si="14"/>
        <v>0</v>
      </c>
      <c r="AU303" s="329"/>
      <c r="AV303" s="358"/>
      <c r="AW303" s="359">
        <f t="shared" si="15"/>
        <v>0</v>
      </c>
      <c r="AX303" s="329"/>
      <c r="AY303" s="358"/>
      <c r="AZ303" s="359">
        <f t="shared" si="16"/>
        <v>0</v>
      </c>
      <c r="BA303" s="329">
        <f>IF('Degrémont Entrée'!K303="",,('Degrémont Entrée'!K303-I303)/'Degrémont Entrée'!K303*100)</f>
        <v>90.389895661724324</v>
      </c>
      <c r="BB303" s="329">
        <f>IF('Degrémont Entrée'!G303="",,('Degrémont Entrée'!G303-G303)/'Degrémont Entrée'!G303*100)</f>
        <v>99.637826961770628</v>
      </c>
      <c r="BC303" s="329">
        <f>IF('Degrémont Entrée'!S303="",,('Degrémont Entrée'!S303-M303)/'Degrémont Entrée'!S303*100)</f>
        <v>99.648809523809518</v>
      </c>
      <c r="BD303" s="425">
        <f ca="1">IFERROR(__xludf.DUMMYFUNCTION("""COMPUTED_VALUE"""),52.3399999999999)</f>
        <v>52.339999999999897</v>
      </c>
      <c r="BE303" s="362"/>
      <c r="BF303" s="363"/>
      <c r="BG303" s="363"/>
      <c r="BH303" s="338">
        <f t="shared" si="17"/>
        <v>0</v>
      </c>
      <c r="BI303" s="364"/>
      <c r="BJ303" s="365"/>
      <c r="BK303" s="366">
        <f>'Degrémont Entrée'!BH303</f>
        <v>0</v>
      </c>
      <c r="BL303" s="367">
        <f>'Degrémont Entrée'!BI303</f>
        <v>0</v>
      </c>
    </row>
    <row r="304" spans="1:64" ht="14.25" outlineLevel="1">
      <c r="A304" s="337">
        <f t="shared" si="18"/>
        <v>43756</v>
      </c>
      <c r="B304" s="338">
        <f>'Degrémont Entrée'!B304</f>
        <v>1064</v>
      </c>
      <c r="C304" s="339">
        <v>8.42</v>
      </c>
      <c r="D304" s="340">
        <v>88.6</v>
      </c>
      <c r="E304" s="341">
        <v>91.3</v>
      </c>
      <c r="F304" s="342">
        <v>100</v>
      </c>
      <c r="G304" s="329">
        <f t="shared" si="0"/>
        <v>27.000000000000028</v>
      </c>
      <c r="H304" s="338"/>
      <c r="I304" s="343">
        <v>349</v>
      </c>
      <c r="J304" s="344">
        <f t="shared" si="2"/>
        <v>371.33600000000001</v>
      </c>
      <c r="K304" s="343">
        <v>1</v>
      </c>
      <c r="L304" s="345">
        <v>1.84</v>
      </c>
      <c r="M304" s="346">
        <f t="shared" si="3"/>
        <v>1.84</v>
      </c>
      <c r="N304" s="338">
        <f t="shared" si="4"/>
        <v>1.9577599999999999</v>
      </c>
      <c r="O304" s="368"/>
      <c r="P304" s="347">
        <f t="shared" si="19"/>
        <v>0</v>
      </c>
      <c r="Q304" s="666"/>
      <c r="R304" s="318"/>
      <c r="S304" s="349">
        <f t="shared" si="20"/>
        <v>0</v>
      </c>
      <c r="T304" s="666"/>
      <c r="U304" s="318"/>
      <c r="V304" s="349">
        <f t="shared" si="5"/>
        <v>0</v>
      </c>
      <c r="W304" s="666"/>
      <c r="X304" s="318" t="str">
        <f t="shared" si="6"/>
        <v/>
      </c>
      <c r="Y304" s="370" t="e">
        <f t="shared" si="7"/>
        <v>#VALUE!</v>
      </c>
      <c r="Z304" s="343" t="s">
        <v>85</v>
      </c>
      <c r="AA304" s="345">
        <v>0.01</v>
      </c>
      <c r="AB304" s="352">
        <f t="shared" si="8"/>
        <v>5.3200000000000001E-3</v>
      </c>
      <c r="AC304" s="353"/>
      <c r="AD304" s="354"/>
      <c r="AE304" s="378" t="str">
        <f t="shared" si="21"/>
        <v/>
      </c>
      <c r="AF304" s="329"/>
      <c r="AG304" s="358"/>
      <c r="AH304" s="356" t="str">
        <f t="shared" si="22"/>
        <v/>
      </c>
      <c r="AI304" s="329"/>
      <c r="AJ304" s="329"/>
      <c r="AK304" s="356">
        <f t="shared" si="11"/>
        <v>0</v>
      </c>
      <c r="AL304" s="357"/>
      <c r="AM304" s="358"/>
      <c r="AN304" s="356">
        <f t="shared" si="12"/>
        <v>0</v>
      </c>
      <c r="AO304" s="329"/>
      <c r="AP304" s="358"/>
      <c r="AQ304" s="359">
        <f t="shared" si="13"/>
        <v>0</v>
      </c>
      <c r="AR304" s="360"/>
      <c r="AS304" s="358"/>
      <c r="AT304" s="356">
        <f t="shared" si="14"/>
        <v>0</v>
      </c>
      <c r="AU304" s="329"/>
      <c r="AV304" s="358"/>
      <c r="AW304" s="359">
        <f t="shared" si="15"/>
        <v>0</v>
      </c>
      <c r="AX304" s="329"/>
      <c r="AY304" s="358"/>
      <c r="AZ304" s="359">
        <f t="shared" si="16"/>
        <v>0</v>
      </c>
      <c r="BA304" s="329">
        <f>IF('Degrémont Entrée'!K304="",,('Degrémont Entrée'!K304-I304)/'Degrémont Entrée'!K304*100)</f>
        <v>94.867647058823536</v>
      </c>
      <c r="BB304" s="329">
        <f>IF('Degrémont Entrée'!G304="",,('Degrémont Entrée'!G304-G304)/'Degrémont Entrée'!G304*100)</f>
        <v>99.680851063829792</v>
      </c>
      <c r="BC304" s="329">
        <f>IF('Degrémont Entrée'!S304="",,('Degrémont Entrée'!S304-M304)/'Degrémont Entrée'!S304*100)</f>
        <v>99.330909090909103</v>
      </c>
      <c r="BD304" s="425">
        <f ca="1">IFERROR(__xludf.DUMMYFUNCTION("""COMPUTED_VALUE"""),52.2099999999999)</f>
        <v>52.209999999999901</v>
      </c>
      <c r="BE304" s="362"/>
      <c r="BF304" s="363"/>
      <c r="BG304" s="363"/>
      <c r="BH304" s="338">
        <f t="shared" si="17"/>
        <v>0</v>
      </c>
      <c r="BI304" s="364"/>
      <c r="BJ304" s="365"/>
      <c r="BK304" s="371">
        <f>'Degrémont Entrée'!BH304</f>
        <v>0</v>
      </c>
      <c r="BL304" s="372">
        <f>'Degrémont Entrée'!BI304</f>
        <v>0</v>
      </c>
    </row>
    <row r="305" spans="1:64" ht="15.75" customHeight="1" outlineLevel="1">
      <c r="A305" s="337">
        <f t="shared" si="18"/>
        <v>43757</v>
      </c>
      <c r="B305" s="338">
        <f>'Degrémont Entrée'!B305</f>
        <v>1348</v>
      </c>
      <c r="C305" s="339">
        <v>8.73</v>
      </c>
      <c r="D305" s="340">
        <v>87.9</v>
      </c>
      <c r="E305" s="341">
        <v>89.6</v>
      </c>
      <c r="F305" s="342">
        <v>100</v>
      </c>
      <c r="G305" s="329">
        <f t="shared" si="0"/>
        <v>16.999999999999886</v>
      </c>
      <c r="H305" s="338"/>
      <c r="I305" s="343">
        <v>355</v>
      </c>
      <c r="J305" s="344">
        <f t="shared" si="2"/>
        <v>478.54</v>
      </c>
      <c r="K305" s="343">
        <v>1</v>
      </c>
      <c r="L305" s="345">
        <v>0.86</v>
      </c>
      <c r="M305" s="346">
        <f t="shared" si="3"/>
        <v>0.86</v>
      </c>
      <c r="N305" s="338">
        <f t="shared" si="4"/>
        <v>1.1592799999999999</v>
      </c>
      <c r="O305" s="368"/>
      <c r="P305" s="347">
        <f t="shared" si="19"/>
        <v>0</v>
      </c>
      <c r="Q305" s="666"/>
      <c r="R305" s="318"/>
      <c r="S305" s="349">
        <f t="shared" si="20"/>
        <v>0</v>
      </c>
      <c r="T305" s="666"/>
      <c r="U305" s="318"/>
      <c r="V305" s="349">
        <f t="shared" si="5"/>
        <v>0</v>
      </c>
      <c r="W305" s="666"/>
      <c r="X305" s="318" t="str">
        <f t="shared" si="6"/>
        <v/>
      </c>
      <c r="Y305" s="370" t="e">
        <f t="shared" si="7"/>
        <v>#VALUE!</v>
      </c>
      <c r="Z305" s="343" t="s">
        <v>85</v>
      </c>
      <c r="AA305" s="345">
        <v>0.01</v>
      </c>
      <c r="AB305" s="352">
        <f t="shared" si="8"/>
        <v>6.7400000000000003E-3</v>
      </c>
      <c r="AC305" s="353"/>
      <c r="AD305" s="354"/>
      <c r="AE305" s="378" t="str">
        <f t="shared" si="21"/>
        <v/>
      </c>
      <c r="AF305" s="329"/>
      <c r="AG305" s="358"/>
      <c r="AH305" s="356" t="str">
        <f t="shared" si="22"/>
        <v/>
      </c>
      <c r="AI305" s="329"/>
      <c r="AJ305" s="329"/>
      <c r="AK305" s="356">
        <f t="shared" si="11"/>
        <v>0</v>
      </c>
      <c r="AL305" s="357"/>
      <c r="AM305" s="358"/>
      <c r="AN305" s="356">
        <f t="shared" si="12"/>
        <v>0</v>
      </c>
      <c r="AO305" s="329"/>
      <c r="AP305" s="358"/>
      <c r="AQ305" s="359">
        <f t="shared" si="13"/>
        <v>0</v>
      </c>
      <c r="AR305" s="360"/>
      <c r="AS305" s="358"/>
      <c r="AT305" s="356">
        <f t="shared" si="14"/>
        <v>0</v>
      </c>
      <c r="AU305" s="329"/>
      <c r="AV305" s="358"/>
      <c r="AW305" s="359">
        <f t="shared" si="15"/>
        <v>0</v>
      </c>
      <c r="AX305" s="329"/>
      <c r="AY305" s="358"/>
      <c r="AZ305" s="359">
        <f t="shared" si="16"/>
        <v>0</v>
      </c>
      <c r="BA305" s="329">
        <f>IF('Degrémont Entrée'!K305="",,('Degrémont Entrée'!K305-I305)/'Degrémont Entrée'!K305*100)</f>
        <v>95.531218529707957</v>
      </c>
      <c r="BB305" s="329">
        <f>IF('Degrémont Entrée'!G305="",,('Degrémont Entrée'!G305-G305)/'Degrémont Entrée'!G305*100)</f>
        <v>99.828951639078227</v>
      </c>
      <c r="BC305" s="329">
        <f>IF('Degrémont Entrée'!S305="",,('Degrémont Entrée'!S305-M305)/'Degrémont Entrée'!S305*100)</f>
        <v>99.698245614035088</v>
      </c>
      <c r="BD305" s="425">
        <f ca="1">IFERROR(__xludf.DUMMYFUNCTION("""COMPUTED_VALUE"""),52.7)</f>
        <v>52.7</v>
      </c>
      <c r="BE305" s="362"/>
      <c r="BF305" s="363"/>
      <c r="BG305" s="363"/>
      <c r="BH305" s="338">
        <f t="shared" si="17"/>
        <v>0</v>
      </c>
      <c r="BI305" s="364"/>
      <c r="BJ305" s="365"/>
      <c r="BK305" s="366">
        <f>'Degrémont Entrée'!BH305</f>
        <v>0</v>
      </c>
      <c r="BL305" s="367">
        <f>'Degrémont Entrée'!BI305</f>
        <v>0</v>
      </c>
    </row>
    <row r="306" spans="1:64" ht="14.25" outlineLevel="1">
      <c r="A306" s="337">
        <f t="shared" si="18"/>
        <v>43758</v>
      </c>
      <c r="B306" s="338">
        <f>'Degrémont Entrée'!B306</f>
        <v>0</v>
      </c>
      <c r="C306" s="338"/>
      <c r="D306" s="388"/>
      <c r="E306" s="368"/>
      <c r="F306" s="357"/>
      <c r="G306" s="329">
        <f t="shared" si="0"/>
        <v>0</v>
      </c>
      <c r="H306" s="338"/>
      <c r="I306" s="346"/>
      <c r="J306" s="344">
        <f t="shared" si="2"/>
        <v>0</v>
      </c>
      <c r="K306" s="343">
        <v>1</v>
      </c>
      <c r="L306" s="329"/>
      <c r="M306" s="346" t="str">
        <f t="shared" si="3"/>
        <v/>
      </c>
      <c r="N306" s="338" t="e">
        <f t="shared" si="4"/>
        <v>#VALUE!</v>
      </c>
      <c r="O306" s="368"/>
      <c r="P306" s="347">
        <f t="shared" si="19"/>
        <v>0</v>
      </c>
      <c r="Q306" s="348"/>
      <c r="R306" s="369"/>
      <c r="S306" s="349">
        <f t="shared" si="20"/>
        <v>0</v>
      </c>
      <c r="T306" s="348"/>
      <c r="U306" s="369"/>
      <c r="V306" s="349">
        <f t="shared" si="5"/>
        <v>0</v>
      </c>
      <c r="W306" s="348"/>
      <c r="X306" s="318" t="str">
        <f t="shared" si="6"/>
        <v/>
      </c>
      <c r="Y306" s="370" t="e">
        <f t="shared" si="7"/>
        <v>#VALUE!</v>
      </c>
      <c r="Z306" s="346"/>
      <c r="AA306" s="329"/>
      <c r="AB306" s="352">
        <f t="shared" si="8"/>
        <v>0</v>
      </c>
      <c r="AC306" s="353"/>
      <c r="AD306" s="354"/>
      <c r="AE306" s="378" t="str">
        <f t="shared" si="21"/>
        <v/>
      </c>
      <c r="AF306" s="329"/>
      <c r="AG306" s="358"/>
      <c r="AH306" s="356" t="str">
        <f t="shared" si="22"/>
        <v/>
      </c>
      <c r="AI306" s="329"/>
      <c r="AJ306" s="329"/>
      <c r="AK306" s="356">
        <f t="shared" si="11"/>
        <v>0</v>
      </c>
      <c r="AL306" s="357"/>
      <c r="AM306" s="358"/>
      <c r="AN306" s="356">
        <f t="shared" si="12"/>
        <v>0</v>
      </c>
      <c r="AO306" s="329"/>
      <c r="AP306" s="358"/>
      <c r="AQ306" s="359">
        <f t="shared" si="13"/>
        <v>0</v>
      </c>
      <c r="AR306" s="360"/>
      <c r="AS306" s="358"/>
      <c r="AT306" s="356">
        <f t="shared" si="14"/>
        <v>0</v>
      </c>
      <c r="AU306" s="329"/>
      <c r="AV306" s="358"/>
      <c r="AW306" s="359">
        <f t="shared" si="15"/>
        <v>0</v>
      </c>
      <c r="AX306" s="329"/>
      <c r="AY306" s="358"/>
      <c r="AZ306" s="359">
        <f t="shared" si="16"/>
        <v>0</v>
      </c>
      <c r="BA306" s="329" t="e">
        <f>IF('Degrémont Entrée'!K306="",,('Degrémont Entrée'!K306-I306)/'Degrémont Entrée'!K306*100)</f>
        <v>#DIV/0!</v>
      </c>
      <c r="BB306" s="329" t="e">
        <f>IF('Degrémont Entrée'!G306="",,('Degrémont Entrée'!G306-G306)/'Degrémont Entrée'!G306*100)</f>
        <v>#DIV/0!</v>
      </c>
      <c r="BC306" s="329">
        <f>IF('Degrémont Entrée'!S306="",,('Degrémont Entrée'!S306-M306)/'Degrémont Entrée'!S306*100)</f>
        <v>0</v>
      </c>
      <c r="BD306" s="425" t="str">
        <f ca="1">IFERROR(__xludf.DUMMYFUNCTION("""COMPUTED_VALUE"""),"#DIV/0!")</f>
        <v>#DIV/0!</v>
      </c>
      <c r="BE306" s="362"/>
      <c r="BF306" s="363"/>
      <c r="BG306" s="363"/>
      <c r="BH306" s="338">
        <f t="shared" si="17"/>
        <v>0</v>
      </c>
      <c r="BI306" s="364"/>
      <c r="BJ306" s="365"/>
      <c r="BK306" s="371">
        <f>'Degrémont Entrée'!BH306</f>
        <v>0</v>
      </c>
      <c r="BL306" s="372">
        <f>'Degrémont Entrée'!BI306</f>
        <v>0</v>
      </c>
    </row>
    <row r="307" spans="1:64" ht="15.75" customHeight="1" outlineLevel="1">
      <c r="A307" s="337">
        <f t="shared" si="18"/>
        <v>43759</v>
      </c>
      <c r="B307" s="339">
        <f>'Degrémont Entrée'!B307</f>
        <v>937</v>
      </c>
      <c r="C307" s="339">
        <v>9.01</v>
      </c>
      <c r="D307" s="340">
        <v>88.1</v>
      </c>
      <c r="E307" s="341">
        <v>89.2</v>
      </c>
      <c r="F307" s="342">
        <v>150</v>
      </c>
      <c r="G307" s="329">
        <f t="shared" si="0"/>
        <v>7.3333333333333908</v>
      </c>
      <c r="H307" s="338"/>
      <c r="I307" s="343">
        <v>192</v>
      </c>
      <c r="J307" s="344">
        <f t="shared" si="2"/>
        <v>179.904</v>
      </c>
      <c r="K307" s="343">
        <v>1</v>
      </c>
      <c r="L307" s="345">
        <v>0.6</v>
      </c>
      <c r="M307" s="346">
        <f t="shared" si="3"/>
        <v>0.6</v>
      </c>
      <c r="N307" s="338">
        <f t="shared" si="4"/>
        <v>0.56219999999999992</v>
      </c>
      <c r="O307" s="368"/>
      <c r="P307" s="347">
        <f t="shared" si="19"/>
        <v>0</v>
      </c>
      <c r="Q307" s="666"/>
      <c r="R307" s="318"/>
      <c r="S307" s="349">
        <f t="shared" si="20"/>
        <v>0</v>
      </c>
      <c r="T307" s="666"/>
      <c r="U307" s="318"/>
      <c r="V307" s="349">
        <f t="shared" si="5"/>
        <v>0</v>
      </c>
      <c r="W307" s="666"/>
      <c r="X307" s="318" t="str">
        <f t="shared" si="6"/>
        <v/>
      </c>
      <c r="Y307" s="370" t="e">
        <f t="shared" si="7"/>
        <v>#VALUE!</v>
      </c>
      <c r="Z307" s="343" t="s">
        <v>85</v>
      </c>
      <c r="AA307" s="345">
        <v>0.01</v>
      </c>
      <c r="AB307" s="352">
        <f t="shared" si="8"/>
        <v>4.6850000000000008E-3</v>
      </c>
      <c r="AC307" s="353"/>
      <c r="AD307" s="354"/>
      <c r="AE307" s="378" t="str">
        <f t="shared" si="21"/>
        <v/>
      </c>
      <c r="AF307" s="329"/>
      <c r="AG307" s="358"/>
      <c r="AH307" s="356" t="str">
        <f t="shared" si="22"/>
        <v/>
      </c>
      <c r="AI307" s="329"/>
      <c r="AJ307" s="329"/>
      <c r="AK307" s="356">
        <f t="shared" si="11"/>
        <v>0</v>
      </c>
      <c r="AL307" s="357"/>
      <c r="AM307" s="358"/>
      <c r="AN307" s="356">
        <f t="shared" si="12"/>
        <v>0</v>
      </c>
      <c r="AO307" s="329"/>
      <c r="AP307" s="358"/>
      <c r="AQ307" s="359">
        <f t="shared" si="13"/>
        <v>0</v>
      </c>
      <c r="AR307" s="360"/>
      <c r="AS307" s="358"/>
      <c r="AT307" s="356">
        <f t="shared" si="14"/>
        <v>0</v>
      </c>
      <c r="AU307" s="329"/>
      <c r="AV307" s="358"/>
      <c r="AW307" s="359">
        <f t="shared" si="15"/>
        <v>0</v>
      </c>
      <c r="AX307" s="329"/>
      <c r="AY307" s="358"/>
      <c r="AZ307" s="359">
        <f t="shared" si="16"/>
        <v>0</v>
      </c>
      <c r="BA307" s="329">
        <f>IF('Degrémont Entrée'!K307="",,('Degrémont Entrée'!K307-I307)/'Degrémont Entrée'!K307*100)</f>
        <v>90.317700453857796</v>
      </c>
      <c r="BB307" s="329">
        <f>IF('Degrémont Entrée'!G307="",,('Degrémont Entrée'!G307-G307)/'Degrémont Entrée'!G307*100)</f>
        <v>99.637561779242162</v>
      </c>
      <c r="BC307" s="329">
        <f>IF('Degrémont Entrée'!S307="",,('Degrémont Entrée'!S307-M307)/'Degrémont Entrée'!S307*100)</f>
        <v>99.487179487179489</v>
      </c>
      <c r="BD307" s="425">
        <f ca="1">IFERROR(__xludf.DUMMYFUNCTION("""COMPUTED_VALUE"""),52.1)</f>
        <v>52.1</v>
      </c>
      <c r="BE307" s="362"/>
      <c r="BF307" s="363"/>
      <c r="BG307" s="363"/>
      <c r="BH307" s="338">
        <f t="shared" si="17"/>
        <v>0</v>
      </c>
      <c r="BI307" s="364"/>
      <c r="BJ307" s="365"/>
      <c r="BK307" s="366">
        <f>'Degrémont Entrée'!BH307</f>
        <v>0</v>
      </c>
      <c r="BL307" s="367">
        <f>'Degrémont Entrée'!BI307</f>
        <v>0</v>
      </c>
    </row>
    <row r="308" spans="1:64" ht="14.25" outlineLevel="1">
      <c r="A308" s="337">
        <f t="shared" si="18"/>
        <v>43760</v>
      </c>
      <c r="B308" s="339">
        <f>'Degrémont Entrée'!B308</f>
        <v>1284</v>
      </c>
      <c r="C308" s="339">
        <v>9.0500000000000007</v>
      </c>
      <c r="D308" s="340">
        <v>87.8</v>
      </c>
      <c r="E308" s="341">
        <v>90.7</v>
      </c>
      <c r="F308" s="342">
        <v>175</v>
      </c>
      <c r="G308" s="329">
        <f t="shared" si="0"/>
        <v>16.571428571428601</v>
      </c>
      <c r="H308" s="338"/>
      <c r="I308" s="343">
        <v>324</v>
      </c>
      <c r="J308" s="344">
        <f t="shared" si="2"/>
        <v>416.01600000000002</v>
      </c>
      <c r="K308" s="343">
        <v>1</v>
      </c>
      <c r="L308" s="345">
        <v>0.92</v>
      </c>
      <c r="M308" s="346">
        <f t="shared" si="3"/>
        <v>0.92</v>
      </c>
      <c r="N308" s="338">
        <f t="shared" si="4"/>
        <v>1.1812799999999999</v>
      </c>
      <c r="O308" s="341">
        <v>7.2</v>
      </c>
      <c r="P308" s="347">
        <f t="shared" si="19"/>
        <v>9.2448000000000015</v>
      </c>
      <c r="Q308" s="666"/>
      <c r="R308" s="318"/>
      <c r="S308" s="349">
        <f t="shared" si="20"/>
        <v>0</v>
      </c>
      <c r="T308" s="666"/>
      <c r="U308" s="318"/>
      <c r="V308" s="349">
        <f t="shared" si="5"/>
        <v>0</v>
      </c>
      <c r="W308" s="666"/>
      <c r="X308" s="318">
        <f t="shared" si="6"/>
        <v>7.2</v>
      </c>
      <c r="Y308" s="370">
        <f t="shared" si="7"/>
        <v>9.2448000000000015</v>
      </c>
      <c r="Z308" s="343" t="s">
        <v>85</v>
      </c>
      <c r="AA308" s="345">
        <v>0.01</v>
      </c>
      <c r="AB308" s="352">
        <f t="shared" si="8"/>
        <v>6.4200000000000004E-3</v>
      </c>
      <c r="AC308" s="385" t="s">
        <v>85</v>
      </c>
      <c r="AD308" s="377">
        <v>5.0000000000000001E-3</v>
      </c>
      <c r="AE308" s="378">
        <f t="shared" si="21"/>
        <v>1.6995E-2</v>
      </c>
      <c r="AF308" s="329"/>
      <c r="AG308" s="355">
        <v>0.31</v>
      </c>
      <c r="AH308" s="356">
        <f t="shared" si="22"/>
        <v>2.10738</v>
      </c>
      <c r="AI308" s="329"/>
      <c r="AJ308" s="345">
        <v>0.17</v>
      </c>
      <c r="AK308" s="356">
        <f t="shared" si="11"/>
        <v>0.21828000000000003</v>
      </c>
      <c r="AL308" s="342" t="s">
        <v>85</v>
      </c>
      <c r="AM308" s="355">
        <v>0.03</v>
      </c>
      <c r="AN308" s="356">
        <f t="shared" si="12"/>
        <v>1.9259999999999999E-2</v>
      </c>
      <c r="AO308" s="329"/>
      <c r="AP308" s="355">
        <v>0.14000000000000001</v>
      </c>
      <c r="AQ308" s="359">
        <f t="shared" si="13"/>
        <v>0.17976000000000003</v>
      </c>
      <c r="AR308" s="360"/>
      <c r="AS308" s="355">
        <v>0.08</v>
      </c>
      <c r="AT308" s="356">
        <f t="shared" si="14"/>
        <v>0.10272000000000001</v>
      </c>
      <c r="AU308" s="345" t="s">
        <v>85</v>
      </c>
      <c r="AV308" s="355">
        <v>0.15</v>
      </c>
      <c r="AW308" s="359">
        <f t="shared" si="15"/>
        <v>9.6299999999999997E-2</v>
      </c>
      <c r="AX308" s="345"/>
      <c r="AY308" s="355">
        <v>0.01</v>
      </c>
      <c r="AZ308" s="359">
        <f t="shared" si="16"/>
        <v>1.2840000000000001E-2</v>
      </c>
      <c r="BA308" s="329">
        <f>IF('Degrémont Entrée'!K308="",,('Degrémont Entrée'!K308-I308)/'Degrémont Entrée'!K308*100)</f>
        <v>83.444047010730714</v>
      </c>
      <c r="BB308" s="329">
        <f>IF('Degrémont Entrée'!G308="",,('Degrémont Entrée'!G308-G308)/'Degrémont Entrée'!G308*100)</f>
        <v>98.793342579750345</v>
      </c>
      <c r="BC308" s="329">
        <f>IF('Degrémont Entrée'!S308="",,('Degrémont Entrée'!S308-M308)/'Degrémont Entrée'!S308*100)</f>
        <v>98.811369509043928</v>
      </c>
      <c r="BD308" s="425">
        <f ca="1">IFERROR(__xludf.DUMMYFUNCTION("""COMPUTED_VALUE"""),53.0090909090909)</f>
        <v>53.009090909090901</v>
      </c>
      <c r="BE308" s="362"/>
      <c r="BF308" s="363"/>
      <c r="BG308" s="363"/>
      <c r="BH308" s="338">
        <f t="shared" si="17"/>
        <v>0</v>
      </c>
      <c r="BI308" s="364"/>
      <c r="BJ308" s="365"/>
      <c r="BK308" s="371">
        <f>'Degrémont Entrée'!BH308</f>
        <v>0</v>
      </c>
      <c r="BL308" s="372">
        <f>'Degrémont Entrée'!BI308</f>
        <v>0</v>
      </c>
    </row>
    <row r="309" spans="1:64" ht="15.75" customHeight="1" outlineLevel="1">
      <c r="A309" s="337">
        <f t="shared" si="18"/>
        <v>43761</v>
      </c>
      <c r="B309" s="339">
        <f>'Degrémont Entrée'!B309</f>
        <v>1186</v>
      </c>
      <c r="C309" s="339">
        <v>9.06</v>
      </c>
      <c r="D309" s="340">
        <v>89.1</v>
      </c>
      <c r="E309" s="341">
        <v>92.5</v>
      </c>
      <c r="F309" s="342">
        <v>175</v>
      </c>
      <c r="G309" s="329">
        <f t="shared" si="0"/>
        <v>19.428571428571459</v>
      </c>
      <c r="H309" s="338"/>
      <c r="I309" s="343">
        <v>362</v>
      </c>
      <c r="J309" s="344">
        <f t="shared" si="2"/>
        <v>429.33199999999999</v>
      </c>
      <c r="K309" s="343">
        <v>1</v>
      </c>
      <c r="L309" s="345">
        <v>1.27</v>
      </c>
      <c r="M309" s="346">
        <f t="shared" si="3"/>
        <v>1.27</v>
      </c>
      <c r="N309" s="338">
        <f t="shared" si="4"/>
        <v>1.5062200000000001</v>
      </c>
      <c r="O309" s="368"/>
      <c r="P309" s="347">
        <f t="shared" si="19"/>
        <v>0</v>
      </c>
      <c r="Q309" s="666"/>
      <c r="R309" s="318"/>
      <c r="S309" s="349">
        <f t="shared" si="20"/>
        <v>0</v>
      </c>
      <c r="T309" s="666"/>
      <c r="U309" s="318"/>
      <c r="V309" s="349">
        <f t="shared" si="5"/>
        <v>0</v>
      </c>
      <c r="W309" s="666"/>
      <c r="X309" s="318" t="str">
        <f t="shared" si="6"/>
        <v/>
      </c>
      <c r="Y309" s="370" t="e">
        <f t="shared" si="7"/>
        <v>#VALUE!</v>
      </c>
      <c r="Z309" s="343" t="s">
        <v>85</v>
      </c>
      <c r="AA309" s="345">
        <v>0.01</v>
      </c>
      <c r="AB309" s="352">
        <f t="shared" si="8"/>
        <v>5.9299999999999995E-3</v>
      </c>
      <c r="AC309" s="353"/>
      <c r="AD309" s="354"/>
      <c r="AE309" s="378" t="str">
        <f t="shared" si="21"/>
        <v/>
      </c>
      <c r="AF309" s="329"/>
      <c r="AG309" s="358"/>
      <c r="AH309" s="356" t="str">
        <f t="shared" si="22"/>
        <v/>
      </c>
      <c r="AI309" s="329"/>
      <c r="AJ309" s="329"/>
      <c r="AK309" s="356">
        <f t="shared" si="11"/>
        <v>0</v>
      </c>
      <c r="AL309" s="357"/>
      <c r="AM309" s="358"/>
      <c r="AN309" s="356">
        <f t="shared" si="12"/>
        <v>0</v>
      </c>
      <c r="AO309" s="329"/>
      <c r="AP309" s="358"/>
      <c r="AQ309" s="359">
        <f t="shared" si="13"/>
        <v>0</v>
      </c>
      <c r="AR309" s="360"/>
      <c r="AS309" s="358"/>
      <c r="AT309" s="356">
        <f t="shared" si="14"/>
        <v>0</v>
      </c>
      <c r="AU309" s="329"/>
      <c r="AV309" s="358"/>
      <c r="AW309" s="359">
        <f t="shared" si="15"/>
        <v>0</v>
      </c>
      <c r="AX309" s="329"/>
      <c r="AY309" s="358"/>
      <c r="AZ309" s="359">
        <f t="shared" si="16"/>
        <v>0</v>
      </c>
      <c r="BA309" s="329">
        <f>IF('Degrémont Entrée'!K309="",,('Degrémont Entrée'!K309-I309)/'Degrémont Entrée'!K309*100)</f>
        <v>93.914943688014802</v>
      </c>
      <c r="BB309" s="329">
        <f>IF('Degrémont Entrée'!G309="",,('Degrémont Entrée'!G309-G309)/'Degrémont Entrée'!G309*100)</f>
        <v>99.734944455271872</v>
      </c>
      <c r="BC309" s="329">
        <f>IF('Degrémont Entrée'!S309="",,('Degrémont Entrée'!S309-M309)/'Degrémont Entrée'!S309*100)</f>
        <v>99.46413502109705</v>
      </c>
      <c r="BD309" s="425">
        <f ca="1">IFERROR(__xludf.DUMMYFUNCTION("""COMPUTED_VALUE"""),52.7874999999999)</f>
        <v>52.787499999999902</v>
      </c>
      <c r="BE309" s="386">
        <v>21.8537</v>
      </c>
      <c r="BF309" s="387">
        <v>40.2012</v>
      </c>
      <c r="BG309" s="387">
        <v>33.598799999999997</v>
      </c>
      <c r="BH309" s="338">
        <f t="shared" si="17"/>
        <v>64.01471590134895</v>
      </c>
      <c r="BI309" s="364"/>
      <c r="BJ309" s="365"/>
      <c r="BK309" s="366">
        <f>'Degrémont Entrée'!BH309</f>
        <v>0</v>
      </c>
      <c r="BL309" s="367">
        <f>'Degrémont Entrée'!BI309</f>
        <v>0</v>
      </c>
    </row>
    <row r="310" spans="1:64" ht="14.25" outlineLevel="1">
      <c r="A310" s="337">
        <f t="shared" si="18"/>
        <v>43762</v>
      </c>
      <c r="B310" s="339">
        <f>'Degrémont Entrée'!B310</f>
        <v>1210</v>
      </c>
      <c r="C310" s="339">
        <v>9.08</v>
      </c>
      <c r="D310" s="340">
        <v>88.5</v>
      </c>
      <c r="E310" s="341">
        <v>94.3</v>
      </c>
      <c r="F310" s="342">
        <v>225</v>
      </c>
      <c r="G310" s="329">
        <f t="shared" si="0"/>
        <v>25.777777777777764</v>
      </c>
      <c r="H310" s="338"/>
      <c r="I310" s="343">
        <v>301</v>
      </c>
      <c r="J310" s="344">
        <f t="shared" si="2"/>
        <v>364.21</v>
      </c>
      <c r="K310" s="343">
        <v>1</v>
      </c>
      <c r="L310" s="345">
        <v>1.21</v>
      </c>
      <c r="M310" s="346">
        <f t="shared" si="3"/>
        <v>1.21</v>
      </c>
      <c r="N310" s="338">
        <f t="shared" si="4"/>
        <v>1.4641</v>
      </c>
      <c r="O310" s="368"/>
      <c r="P310" s="347">
        <f t="shared" si="19"/>
        <v>0</v>
      </c>
      <c r="Q310" s="666"/>
      <c r="R310" s="318"/>
      <c r="S310" s="349">
        <f t="shared" si="20"/>
        <v>0</v>
      </c>
      <c r="T310" s="666"/>
      <c r="U310" s="318"/>
      <c r="V310" s="349">
        <f t="shared" si="5"/>
        <v>0</v>
      </c>
      <c r="W310" s="666"/>
      <c r="X310" s="318" t="str">
        <f t="shared" si="6"/>
        <v/>
      </c>
      <c r="Y310" s="370" t="e">
        <f t="shared" si="7"/>
        <v>#VALUE!</v>
      </c>
      <c r="Z310" s="343" t="s">
        <v>85</v>
      </c>
      <c r="AA310" s="345">
        <v>0.01</v>
      </c>
      <c r="AB310" s="352">
        <f t="shared" si="8"/>
        <v>6.0499999999999998E-3</v>
      </c>
      <c r="AC310" s="353"/>
      <c r="AD310" s="354"/>
      <c r="AE310" s="378" t="str">
        <f t="shared" si="21"/>
        <v/>
      </c>
      <c r="AF310" s="329"/>
      <c r="AG310" s="358"/>
      <c r="AH310" s="356" t="str">
        <f t="shared" si="22"/>
        <v/>
      </c>
      <c r="AI310" s="329"/>
      <c r="AJ310" s="329"/>
      <c r="AK310" s="356">
        <f t="shared" si="11"/>
        <v>0</v>
      </c>
      <c r="AL310" s="357"/>
      <c r="AM310" s="358"/>
      <c r="AN310" s="356">
        <f t="shared" si="12"/>
        <v>0</v>
      </c>
      <c r="AO310" s="329"/>
      <c r="AP310" s="358"/>
      <c r="AQ310" s="359">
        <f t="shared" si="13"/>
        <v>0</v>
      </c>
      <c r="AR310" s="360"/>
      <c r="AS310" s="358"/>
      <c r="AT310" s="356">
        <f t="shared" si="14"/>
        <v>0</v>
      </c>
      <c r="AU310" s="329"/>
      <c r="AV310" s="358"/>
      <c r="AW310" s="359">
        <f t="shared" si="15"/>
        <v>0</v>
      </c>
      <c r="AX310" s="329"/>
      <c r="AY310" s="358"/>
      <c r="AZ310" s="359">
        <f t="shared" si="16"/>
        <v>0</v>
      </c>
      <c r="BA310" s="329">
        <f>IF('Degrémont Entrée'!K310="",,('Degrémont Entrée'!K310-I310)/'Degrémont Entrée'!K310*100)</f>
        <v>94.586330935251794</v>
      </c>
      <c r="BB310" s="329">
        <f>IF('Degrémont Entrée'!G310="",,('Degrémont Entrée'!G310-G310)/'Degrémont Entrée'!G310*100)</f>
        <v>99.631382862152094</v>
      </c>
      <c r="BC310" s="329">
        <f>IF('Degrémont Entrée'!S310="",,('Degrémont Entrée'!S310-M310)/'Degrémont Entrée'!S310*100)</f>
        <v>99.556776556776555</v>
      </c>
      <c r="BD310" s="425">
        <f ca="1">IFERROR(__xludf.DUMMYFUNCTION("""COMPUTED_VALUE"""),53.0636363636363)</f>
        <v>53.063636363636299</v>
      </c>
      <c r="BE310" s="362"/>
      <c r="BF310" s="363"/>
      <c r="BG310" s="363"/>
      <c r="BH310" s="338">
        <f t="shared" si="17"/>
        <v>0</v>
      </c>
      <c r="BI310" s="364"/>
      <c r="BJ310" s="365"/>
      <c r="BK310" s="371">
        <f>'Degrémont Entrée'!BH310</f>
        <v>0</v>
      </c>
      <c r="BL310" s="372">
        <f>'Degrémont Entrée'!BI310</f>
        <v>0</v>
      </c>
    </row>
    <row r="311" spans="1:64" ht="15.75" customHeight="1" outlineLevel="1">
      <c r="A311" s="337">
        <f t="shared" si="18"/>
        <v>43763</v>
      </c>
      <c r="B311" s="339">
        <f>'Degrémont Entrée'!B311</f>
        <v>1051</v>
      </c>
      <c r="C311" s="339">
        <v>8.75</v>
      </c>
      <c r="D311" s="340">
        <v>88.5</v>
      </c>
      <c r="E311" s="341">
        <v>94.9</v>
      </c>
      <c r="F311" s="342">
        <v>175</v>
      </c>
      <c r="G311" s="329">
        <f t="shared" si="0"/>
        <v>36.571428571428605</v>
      </c>
      <c r="H311" s="338"/>
      <c r="I311" s="343">
        <v>893</v>
      </c>
      <c r="J311" s="344">
        <f t="shared" si="2"/>
        <v>938.54300000000001</v>
      </c>
      <c r="K311" s="343">
        <v>1</v>
      </c>
      <c r="L311" s="345">
        <v>2.13</v>
      </c>
      <c r="M311" s="346">
        <f t="shared" si="3"/>
        <v>2.13</v>
      </c>
      <c r="N311" s="338">
        <f t="shared" si="4"/>
        <v>2.2386300000000001</v>
      </c>
      <c r="O311" s="368"/>
      <c r="P311" s="347">
        <f t="shared" si="19"/>
        <v>0</v>
      </c>
      <c r="Q311" s="666"/>
      <c r="R311" s="318"/>
      <c r="S311" s="349">
        <f t="shared" si="20"/>
        <v>0</v>
      </c>
      <c r="T311" s="666"/>
      <c r="U311" s="318"/>
      <c r="V311" s="349">
        <f t="shared" si="5"/>
        <v>0</v>
      </c>
      <c r="W311" s="666"/>
      <c r="X311" s="318" t="str">
        <f t="shared" si="6"/>
        <v/>
      </c>
      <c r="Y311" s="370" t="e">
        <f t="shared" si="7"/>
        <v>#VALUE!</v>
      </c>
      <c r="Z311" s="343" t="s">
        <v>85</v>
      </c>
      <c r="AA311" s="345">
        <v>0.01</v>
      </c>
      <c r="AB311" s="352">
        <f t="shared" si="8"/>
        <v>5.2550000000000001E-3</v>
      </c>
      <c r="AC311" s="353"/>
      <c r="AD311" s="354"/>
      <c r="AE311" s="378" t="str">
        <f t="shared" si="21"/>
        <v/>
      </c>
      <c r="AF311" s="329"/>
      <c r="AG311" s="358"/>
      <c r="AH311" s="356" t="str">
        <f t="shared" si="22"/>
        <v/>
      </c>
      <c r="AI311" s="329"/>
      <c r="AJ311" s="329"/>
      <c r="AK311" s="356">
        <f t="shared" si="11"/>
        <v>0</v>
      </c>
      <c r="AL311" s="357"/>
      <c r="AM311" s="358"/>
      <c r="AN311" s="356">
        <f t="shared" si="12"/>
        <v>0</v>
      </c>
      <c r="AO311" s="329"/>
      <c r="AP311" s="358"/>
      <c r="AQ311" s="359">
        <f t="shared" si="13"/>
        <v>0</v>
      </c>
      <c r="AR311" s="360"/>
      <c r="AS311" s="358"/>
      <c r="AT311" s="356">
        <f t="shared" si="14"/>
        <v>0</v>
      </c>
      <c r="AU311" s="329"/>
      <c r="AV311" s="358"/>
      <c r="AW311" s="359">
        <f t="shared" si="15"/>
        <v>0</v>
      </c>
      <c r="AX311" s="329"/>
      <c r="AY311" s="358"/>
      <c r="AZ311" s="359">
        <f t="shared" si="16"/>
        <v>0</v>
      </c>
      <c r="BA311" s="329">
        <f>IF('Degrémont Entrée'!K311="",,('Degrémont Entrée'!K311-I311)/'Degrémont Entrée'!K311*100)</f>
        <v>87.282825405867271</v>
      </c>
      <c r="BB311" s="329">
        <f>IF('Degrémont Entrée'!G311="",,('Degrémont Entrée'!G311-G311)/'Degrémont Entrée'!G311*100)</f>
        <v>99.451154148502823</v>
      </c>
      <c r="BC311" s="329">
        <f>IF('Degrémont Entrée'!S311="",,('Degrémont Entrée'!S311-M311)/'Degrémont Entrée'!S311*100)</f>
        <v>98.995283018867923</v>
      </c>
      <c r="BD311" s="361">
        <f ca="1">IFERROR(__xludf.DUMMYFUNCTION("""COMPUTED_VALUE"""),53.08)</f>
        <v>53.08</v>
      </c>
      <c r="BE311" s="362"/>
      <c r="BF311" s="363"/>
      <c r="BG311" s="363"/>
      <c r="BH311" s="338">
        <f t="shared" si="17"/>
        <v>0</v>
      </c>
      <c r="BI311" s="364"/>
      <c r="BJ311" s="365"/>
      <c r="BK311" s="366">
        <f>'Degrémont Entrée'!BH311</f>
        <v>0</v>
      </c>
      <c r="BL311" s="367">
        <f>'Degrémont Entrée'!BI311</f>
        <v>0</v>
      </c>
    </row>
    <row r="312" spans="1:64" ht="14.25" outlineLevel="1">
      <c r="A312" s="337">
        <f t="shared" si="18"/>
        <v>43764</v>
      </c>
      <c r="B312" s="339">
        <f>'Degrémont Entrée'!B312</f>
        <v>1085</v>
      </c>
      <c r="C312" s="339">
        <v>9.01</v>
      </c>
      <c r="D312" s="340">
        <v>87.2</v>
      </c>
      <c r="E312" s="341">
        <v>90.9</v>
      </c>
      <c r="F312" s="342">
        <v>175</v>
      </c>
      <c r="G312" s="329">
        <f t="shared" si="0"/>
        <v>21.14285714285716</v>
      </c>
      <c r="H312" s="338"/>
      <c r="I312" s="343">
        <v>383</v>
      </c>
      <c r="J312" s="344">
        <f t="shared" si="2"/>
        <v>415.55500000000001</v>
      </c>
      <c r="K312" s="343">
        <v>1</v>
      </c>
      <c r="L312" s="345">
        <v>1.1200000000000001</v>
      </c>
      <c r="M312" s="346">
        <f t="shared" si="3"/>
        <v>1.1200000000000001</v>
      </c>
      <c r="N312" s="338">
        <f t="shared" si="4"/>
        <v>1.2152000000000001</v>
      </c>
      <c r="O312" s="368"/>
      <c r="P312" s="347">
        <f t="shared" si="19"/>
        <v>0</v>
      </c>
      <c r="Q312" s="666"/>
      <c r="R312" s="318"/>
      <c r="S312" s="349">
        <f t="shared" si="20"/>
        <v>0</v>
      </c>
      <c r="T312" s="666"/>
      <c r="U312" s="318"/>
      <c r="V312" s="349">
        <f t="shared" si="5"/>
        <v>0</v>
      </c>
      <c r="W312" s="666"/>
      <c r="X312" s="318" t="str">
        <f t="shared" si="6"/>
        <v/>
      </c>
      <c r="Y312" s="370" t="e">
        <f t="shared" si="7"/>
        <v>#VALUE!</v>
      </c>
      <c r="Z312" s="343" t="s">
        <v>85</v>
      </c>
      <c r="AA312" s="345">
        <v>0.01</v>
      </c>
      <c r="AB312" s="352">
        <f t="shared" si="8"/>
        <v>5.4250000000000001E-3</v>
      </c>
      <c r="AC312" s="353"/>
      <c r="AD312" s="354"/>
      <c r="AE312" s="378" t="str">
        <f t="shared" si="21"/>
        <v/>
      </c>
      <c r="AF312" s="329"/>
      <c r="AG312" s="358"/>
      <c r="AH312" s="356" t="str">
        <f t="shared" si="22"/>
        <v/>
      </c>
      <c r="AI312" s="329"/>
      <c r="AJ312" s="329"/>
      <c r="AK312" s="356">
        <f t="shared" si="11"/>
        <v>0</v>
      </c>
      <c r="AL312" s="357"/>
      <c r="AM312" s="358"/>
      <c r="AN312" s="356">
        <f t="shared" si="12"/>
        <v>0</v>
      </c>
      <c r="AO312" s="329"/>
      <c r="AP312" s="358"/>
      <c r="AQ312" s="359">
        <f t="shared" si="13"/>
        <v>0</v>
      </c>
      <c r="AR312" s="360"/>
      <c r="AS312" s="358"/>
      <c r="AT312" s="356">
        <f t="shared" si="14"/>
        <v>0</v>
      </c>
      <c r="AU312" s="329"/>
      <c r="AV312" s="358"/>
      <c r="AW312" s="359">
        <f t="shared" si="15"/>
        <v>0</v>
      </c>
      <c r="AX312" s="329"/>
      <c r="AY312" s="358"/>
      <c r="AZ312" s="359">
        <f t="shared" si="16"/>
        <v>0</v>
      </c>
      <c r="BA312" s="329">
        <f>IF('Degrémont Entrée'!K312="",,('Degrémont Entrée'!K312-I312)/'Degrémont Entrée'!K312*100)</f>
        <v>93.638930410230856</v>
      </c>
      <c r="BB312" s="329">
        <f>IF('Degrémont Entrée'!G312="",,('Degrémont Entrée'!G312-G312)/'Degrémont Entrée'!G312*100)</f>
        <v>99.665461121157335</v>
      </c>
      <c r="BC312" s="329">
        <f>IF('Degrémont Entrée'!S312="",,('Degrémont Entrée'!S312-M312)/'Degrémont Entrée'!S312*100)</f>
        <v>99.497757847533634</v>
      </c>
      <c r="BD312" s="361" t="str">
        <f ca="1">IFERROR(__xludf.DUMMYFUNCTION("""COMPUTED_VALUE"""),"#DIV/0!")</f>
        <v>#DIV/0!</v>
      </c>
      <c r="BE312" s="362"/>
      <c r="BF312" s="363"/>
      <c r="BG312" s="363"/>
      <c r="BH312" s="338">
        <f t="shared" si="17"/>
        <v>0</v>
      </c>
      <c r="BI312" s="364"/>
      <c r="BJ312" s="365"/>
      <c r="BK312" s="371">
        <f>'Degrémont Entrée'!BH312</f>
        <v>0</v>
      </c>
      <c r="BL312" s="372">
        <f>'Degrémont Entrée'!BI312</f>
        <v>0</v>
      </c>
    </row>
    <row r="313" spans="1:64" ht="15.75" customHeight="1" outlineLevel="1">
      <c r="A313" s="337">
        <f t="shared" si="18"/>
        <v>43765</v>
      </c>
      <c r="B313" s="338">
        <f>'Degrémont Entrée'!B313</f>
        <v>0</v>
      </c>
      <c r="C313" s="338"/>
      <c r="D313" s="388"/>
      <c r="E313" s="368"/>
      <c r="F313" s="357"/>
      <c r="G313" s="329">
        <f t="shared" si="0"/>
        <v>0</v>
      </c>
      <c r="H313" s="338"/>
      <c r="I313" s="346"/>
      <c r="J313" s="344">
        <f t="shared" si="2"/>
        <v>0</v>
      </c>
      <c r="K313" s="343">
        <v>1</v>
      </c>
      <c r="L313" s="329"/>
      <c r="M313" s="346" t="str">
        <f t="shared" si="3"/>
        <v/>
      </c>
      <c r="N313" s="338" t="e">
        <f t="shared" si="4"/>
        <v>#VALUE!</v>
      </c>
      <c r="O313" s="368"/>
      <c r="P313" s="347">
        <f t="shared" si="19"/>
        <v>0</v>
      </c>
      <c r="Q313" s="348"/>
      <c r="R313" s="369"/>
      <c r="S313" s="349">
        <f t="shared" si="20"/>
        <v>0</v>
      </c>
      <c r="T313" s="348"/>
      <c r="U313" s="369"/>
      <c r="V313" s="349">
        <f t="shared" si="5"/>
        <v>0</v>
      </c>
      <c r="W313" s="348"/>
      <c r="X313" s="318" t="str">
        <f t="shared" si="6"/>
        <v/>
      </c>
      <c r="Y313" s="370" t="e">
        <f t="shared" si="7"/>
        <v>#VALUE!</v>
      </c>
      <c r="Z313" s="346"/>
      <c r="AA313" s="329"/>
      <c r="AB313" s="352">
        <f t="shared" si="8"/>
        <v>0</v>
      </c>
      <c r="AC313" s="353"/>
      <c r="AD313" s="354"/>
      <c r="AE313" s="378" t="str">
        <f t="shared" si="21"/>
        <v/>
      </c>
      <c r="AF313" s="329"/>
      <c r="AG313" s="358"/>
      <c r="AH313" s="356" t="str">
        <f t="shared" si="22"/>
        <v/>
      </c>
      <c r="AI313" s="329"/>
      <c r="AJ313" s="329"/>
      <c r="AK313" s="356">
        <f t="shared" si="11"/>
        <v>0</v>
      </c>
      <c r="AL313" s="357"/>
      <c r="AM313" s="358"/>
      <c r="AN313" s="356">
        <f t="shared" si="12"/>
        <v>0</v>
      </c>
      <c r="AO313" s="329"/>
      <c r="AP313" s="358"/>
      <c r="AQ313" s="359">
        <f t="shared" si="13"/>
        <v>0</v>
      </c>
      <c r="AR313" s="360"/>
      <c r="AS313" s="358"/>
      <c r="AT313" s="356">
        <f t="shared" si="14"/>
        <v>0</v>
      </c>
      <c r="AU313" s="329"/>
      <c r="AV313" s="358"/>
      <c r="AW313" s="359">
        <f t="shared" si="15"/>
        <v>0</v>
      </c>
      <c r="AX313" s="329"/>
      <c r="AY313" s="358"/>
      <c r="AZ313" s="359">
        <f t="shared" si="16"/>
        <v>0</v>
      </c>
      <c r="BA313" s="329" t="e">
        <f>IF('Degrémont Entrée'!K313="",,('Degrémont Entrée'!K313-I313)/'Degrémont Entrée'!K313*100)</f>
        <v>#DIV/0!</v>
      </c>
      <c r="BB313" s="329" t="e">
        <f>IF('Degrémont Entrée'!G313="",,('Degrémont Entrée'!G313-G313)/'Degrémont Entrée'!G313*100)</f>
        <v>#DIV/0!</v>
      </c>
      <c r="BC313" s="329">
        <f>IF('Degrémont Entrée'!S313="",,('Degrémont Entrée'!S313-M313)/'Degrémont Entrée'!S313*100)</f>
        <v>0</v>
      </c>
      <c r="BD313" s="361" t="str">
        <f ca="1">IFERROR(__xludf.DUMMYFUNCTION("""COMPUTED_VALUE"""),"#DIV/0!")</f>
        <v>#DIV/0!</v>
      </c>
      <c r="BE313" s="362"/>
      <c r="BF313" s="363"/>
      <c r="BG313" s="363"/>
      <c r="BH313" s="338">
        <f t="shared" si="17"/>
        <v>0</v>
      </c>
      <c r="BI313" s="364"/>
      <c r="BJ313" s="365"/>
      <c r="BK313" s="366">
        <f>'Degrémont Entrée'!BH313</f>
        <v>0</v>
      </c>
      <c r="BL313" s="367">
        <f>'Degrémont Entrée'!BI313</f>
        <v>0</v>
      </c>
    </row>
    <row r="314" spans="1:64" ht="14.25" outlineLevel="1">
      <c r="A314" s="337">
        <f t="shared" si="18"/>
        <v>43766</v>
      </c>
      <c r="B314" s="339">
        <f>'Degrémont Entrée'!B314</f>
        <v>834</v>
      </c>
      <c r="C314" s="339">
        <v>9.19</v>
      </c>
      <c r="D314" s="340">
        <v>88</v>
      </c>
      <c r="E314" s="341">
        <v>89.3</v>
      </c>
      <c r="F314" s="342">
        <v>175</v>
      </c>
      <c r="G314" s="329">
        <f t="shared" si="0"/>
        <v>7.4285714285714128</v>
      </c>
      <c r="H314" s="338"/>
      <c r="I314" s="343">
        <v>218</v>
      </c>
      <c r="J314" s="344">
        <f t="shared" si="2"/>
        <v>181.81200000000001</v>
      </c>
      <c r="K314" s="343">
        <v>1</v>
      </c>
      <c r="L314" s="345">
        <v>0.63</v>
      </c>
      <c r="M314" s="346">
        <f t="shared" si="3"/>
        <v>0.63</v>
      </c>
      <c r="N314" s="338">
        <f t="shared" si="4"/>
        <v>0.52542</v>
      </c>
      <c r="O314" s="368"/>
      <c r="P314" s="347">
        <f t="shared" si="19"/>
        <v>0</v>
      </c>
      <c r="Q314" s="666"/>
      <c r="R314" s="318"/>
      <c r="S314" s="349">
        <f t="shared" si="20"/>
        <v>0</v>
      </c>
      <c r="T314" s="666"/>
      <c r="U314" s="318"/>
      <c r="V314" s="349">
        <f t="shared" si="5"/>
        <v>0</v>
      </c>
      <c r="W314" s="666"/>
      <c r="X314" s="318" t="str">
        <f t="shared" si="6"/>
        <v/>
      </c>
      <c r="Y314" s="370" t="e">
        <f t="shared" si="7"/>
        <v>#VALUE!</v>
      </c>
      <c r="Z314" s="343" t="s">
        <v>85</v>
      </c>
      <c r="AA314" s="345">
        <v>0.01</v>
      </c>
      <c r="AB314" s="352">
        <f t="shared" si="8"/>
        <v>4.1700000000000001E-3</v>
      </c>
      <c r="AC314" s="353"/>
      <c r="AD314" s="354"/>
      <c r="AE314" s="378" t="str">
        <f t="shared" si="21"/>
        <v/>
      </c>
      <c r="AF314" s="329"/>
      <c r="AG314" s="358"/>
      <c r="AH314" s="356" t="str">
        <f t="shared" si="22"/>
        <v/>
      </c>
      <c r="AI314" s="329"/>
      <c r="AJ314" s="329"/>
      <c r="AK314" s="356">
        <f t="shared" si="11"/>
        <v>0</v>
      </c>
      <c r="AL314" s="357"/>
      <c r="AM314" s="358"/>
      <c r="AN314" s="356">
        <f t="shared" si="12"/>
        <v>0</v>
      </c>
      <c r="AO314" s="329"/>
      <c r="AP314" s="358"/>
      <c r="AQ314" s="359">
        <f t="shared" si="13"/>
        <v>0</v>
      </c>
      <c r="AR314" s="360"/>
      <c r="AS314" s="358"/>
      <c r="AT314" s="356">
        <f t="shared" si="14"/>
        <v>0</v>
      </c>
      <c r="AU314" s="329"/>
      <c r="AV314" s="358"/>
      <c r="AW314" s="359">
        <f t="shared" si="15"/>
        <v>0</v>
      </c>
      <c r="AX314" s="329"/>
      <c r="AY314" s="358"/>
      <c r="AZ314" s="359">
        <f t="shared" si="16"/>
        <v>0</v>
      </c>
      <c r="BA314" s="329">
        <f>IF('Degrémont Entrée'!K314="",,('Degrémont Entrée'!K314-I314)/'Degrémont Entrée'!K314*100)</f>
        <v>95.992647058823536</v>
      </c>
      <c r="BB314" s="329">
        <f>IF('Degrémont Entrée'!G314="",,('Degrémont Entrée'!G314-G314)/'Degrémont Entrée'!G314*100)</f>
        <v>99.880184331797224</v>
      </c>
      <c r="BC314" s="329">
        <f>IF('Degrémont Entrée'!S314="",,('Degrémont Entrée'!S314-M314)/'Degrémont Entrée'!S314*100)</f>
        <v>99.730769230769241</v>
      </c>
      <c r="BD314" s="361">
        <f ca="1">IFERROR(__xludf.DUMMYFUNCTION("""COMPUTED_VALUE"""),52.1333333333333)</f>
        <v>52.133333333333297</v>
      </c>
      <c r="BE314" s="362"/>
      <c r="BF314" s="363"/>
      <c r="BG314" s="363"/>
      <c r="BH314" s="338">
        <f t="shared" si="17"/>
        <v>0</v>
      </c>
      <c r="BI314" s="364"/>
      <c r="BJ314" s="365"/>
      <c r="BK314" s="371">
        <f>'Degrémont Entrée'!BH314</f>
        <v>0</v>
      </c>
      <c r="BL314" s="372">
        <f>'Degrémont Entrée'!BI314</f>
        <v>0</v>
      </c>
    </row>
    <row r="315" spans="1:64" ht="15.75" customHeight="1" outlineLevel="1">
      <c r="A315" s="337">
        <f t="shared" si="18"/>
        <v>43767</v>
      </c>
      <c r="B315" s="339">
        <f>'Degrémont Entrée'!B315</f>
        <v>985</v>
      </c>
      <c r="C315" s="339">
        <v>9</v>
      </c>
      <c r="D315" s="340">
        <v>90.8</v>
      </c>
      <c r="E315" s="341">
        <v>93.3</v>
      </c>
      <c r="F315" s="342">
        <v>175</v>
      </c>
      <c r="G315" s="329">
        <f t="shared" si="0"/>
        <v>14.285714285714286</v>
      </c>
      <c r="H315" s="338"/>
      <c r="I315" s="343">
        <v>327</v>
      </c>
      <c r="J315" s="344">
        <f t="shared" si="2"/>
        <v>322.09500000000003</v>
      </c>
      <c r="K315" s="343">
        <v>1</v>
      </c>
      <c r="L315" s="345">
        <v>0.98</v>
      </c>
      <c r="M315" s="346">
        <f t="shared" si="3"/>
        <v>0.98</v>
      </c>
      <c r="N315" s="338">
        <f t="shared" si="4"/>
        <v>0.96529999999999994</v>
      </c>
      <c r="O315" s="341">
        <v>10.6</v>
      </c>
      <c r="P315" s="347">
        <f t="shared" si="19"/>
        <v>10.441000000000001</v>
      </c>
      <c r="Q315" s="666"/>
      <c r="R315" s="318"/>
      <c r="S315" s="349">
        <f t="shared" si="20"/>
        <v>0</v>
      </c>
      <c r="T315" s="666"/>
      <c r="U315" s="318"/>
      <c r="V315" s="349">
        <f t="shared" si="5"/>
        <v>0</v>
      </c>
      <c r="W315" s="666"/>
      <c r="X315" s="318">
        <f t="shared" si="6"/>
        <v>10.6</v>
      </c>
      <c r="Y315" s="370">
        <f t="shared" si="7"/>
        <v>10.441000000000001</v>
      </c>
      <c r="Z315" s="343" t="s">
        <v>85</v>
      </c>
      <c r="AA315" s="345">
        <v>0.01</v>
      </c>
      <c r="AB315" s="352">
        <f t="shared" si="8"/>
        <v>4.9249999999999997E-3</v>
      </c>
      <c r="AC315" s="385" t="s">
        <v>85</v>
      </c>
      <c r="AD315" s="377">
        <v>5.0000000000000001E-3</v>
      </c>
      <c r="AE315" s="378">
        <f t="shared" si="21"/>
        <v>1.5877499999999999E-2</v>
      </c>
      <c r="AF315" s="329"/>
      <c r="AG315" s="355">
        <v>0.41</v>
      </c>
      <c r="AH315" s="356">
        <f t="shared" si="22"/>
        <v>2.6039099999999999</v>
      </c>
      <c r="AI315" s="329"/>
      <c r="AJ315" s="345">
        <v>0.14000000000000001</v>
      </c>
      <c r="AK315" s="356">
        <f t="shared" si="11"/>
        <v>0.13789999999999999</v>
      </c>
      <c r="AL315" s="342" t="s">
        <v>85</v>
      </c>
      <c r="AM315" s="355">
        <v>0.03</v>
      </c>
      <c r="AN315" s="356">
        <f t="shared" si="12"/>
        <v>1.4774999999999998E-2</v>
      </c>
      <c r="AO315" s="329"/>
      <c r="AP315" s="355">
        <v>0.12</v>
      </c>
      <c r="AQ315" s="359">
        <f t="shared" si="13"/>
        <v>0.11819999999999999</v>
      </c>
      <c r="AR315" s="394"/>
      <c r="AS315" s="355">
        <v>0.06</v>
      </c>
      <c r="AT315" s="356">
        <f t="shared" si="14"/>
        <v>5.9099999999999993E-2</v>
      </c>
      <c r="AU315" s="345" t="s">
        <v>85</v>
      </c>
      <c r="AV315" s="355">
        <v>0.15</v>
      </c>
      <c r="AW315" s="359">
        <f t="shared" si="15"/>
        <v>7.3874999999999996E-2</v>
      </c>
      <c r="AX315" s="345" t="s">
        <v>85</v>
      </c>
      <c r="AY315" s="355">
        <v>0.01</v>
      </c>
      <c r="AZ315" s="359">
        <f t="shared" si="16"/>
        <v>4.9249999999999997E-3</v>
      </c>
      <c r="BA315" s="329">
        <f>IF('Degrémont Entrée'!K315="",,('Degrémont Entrée'!K315-I315)/'Degrémont Entrée'!K315*100)</f>
        <v>90.114873035066495</v>
      </c>
      <c r="BB315" s="329">
        <f>IF('Degrémont Entrée'!G315="",,('Degrémont Entrée'!G315-G315)/'Degrémont Entrée'!G315*100)</f>
        <v>99.50838635049162</v>
      </c>
      <c r="BC315" s="329">
        <f>IF('Degrémont Entrée'!S315="",,('Degrémont Entrée'!S315-M315)/'Degrémont Entrée'!S315*100)</f>
        <v>99.359477124183016</v>
      </c>
      <c r="BD315" s="361">
        <f ca="1">IFERROR(__xludf.DUMMYFUNCTION("""COMPUTED_VALUE"""),52.4571428571428)</f>
        <v>52.457142857142799</v>
      </c>
      <c r="BE315" s="386">
        <v>21.854099999999999</v>
      </c>
      <c r="BF315" s="387">
        <v>34.508800000000001</v>
      </c>
      <c r="BG315" s="387">
        <v>29.176500000000001</v>
      </c>
      <c r="BH315" s="338">
        <f t="shared" si="17"/>
        <v>57.863086442191452</v>
      </c>
      <c r="BI315" s="364"/>
      <c r="BJ315" s="365"/>
      <c r="BK315" s="366">
        <f>'Degrémont Entrée'!BH315</f>
        <v>0</v>
      </c>
      <c r="BL315" s="367">
        <f>'Degrémont Entrée'!BI315</f>
        <v>0</v>
      </c>
    </row>
    <row r="316" spans="1:64" ht="14.25" outlineLevel="1">
      <c r="A316" s="337">
        <f t="shared" si="18"/>
        <v>43768</v>
      </c>
      <c r="B316" s="339">
        <f>'Degrémont Entrée'!B316</f>
        <v>897</v>
      </c>
      <c r="C316" s="339">
        <v>9.07</v>
      </c>
      <c r="D316" s="340">
        <v>88.7</v>
      </c>
      <c r="E316" s="341">
        <v>91.2</v>
      </c>
      <c r="F316" s="342">
        <v>175</v>
      </c>
      <c r="G316" s="329">
        <f t="shared" si="0"/>
        <v>14.285714285714286</v>
      </c>
      <c r="H316" s="338"/>
      <c r="I316" s="343">
        <v>464</v>
      </c>
      <c r="J316" s="344">
        <f t="shared" si="2"/>
        <v>416.20800000000003</v>
      </c>
      <c r="K316" s="343">
        <v>1</v>
      </c>
      <c r="L316" s="345">
        <v>1.1100000000000001</v>
      </c>
      <c r="M316" s="346">
        <f t="shared" si="3"/>
        <v>1.1100000000000001</v>
      </c>
      <c r="N316" s="338">
        <f t="shared" si="4"/>
        <v>0.99567000000000005</v>
      </c>
      <c r="O316" s="368"/>
      <c r="P316" s="347">
        <f t="shared" si="19"/>
        <v>0</v>
      </c>
      <c r="Q316" s="666"/>
      <c r="R316" s="318"/>
      <c r="S316" s="349">
        <f t="shared" si="20"/>
        <v>0</v>
      </c>
      <c r="T316" s="666"/>
      <c r="U316" s="318"/>
      <c r="V316" s="349">
        <f t="shared" si="5"/>
        <v>0</v>
      </c>
      <c r="W316" s="666"/>
      <c r="X316" s="318" t="str">
        <f t="shared" si="6"/>
        <v/>
      </c>
      <c r="Y316" s="370" t="e">
        <f t="shared" si="7"/>
        <v>#VALUE!</v>
      </c>
      <c r="Z316" s="343" t="s">
        <v>85</v>
      </c>
      <c r="AA316" s="345">
        <v>0.01</v>
      </c>
      <c r="AB316" s="352">
        <f t="shared" si="8"/>
        <v>4.4850000000000003E-3</v>
      </c>
      <c r="AC316" s="353"/>
      <c r="AD316" s="354"/>
      <c r="AE316" s="378" t="str">
        <f t="shared" si="21"/>
        <v/>
      </c>
      <c r="AF316" s="329"/>
      <c r="AG316" s="358"/>
      <c r="AH316" s="356" t="str">
        <f t="shared" si="22"/>
        <v/>
      </c>
      <c r="AI316" s="329"/>
      <c r="AJ316" s="329"/>
      <c r="AK316" s="356">
        <f t="shared" si="11"/>
        <v>0</v>
      </c>
      <c r="AL316" s="357"/>
      <c r="AM316" s="358"/>
      <c r="AN316" s="356">
        <f t="shared" si="12"/>
        <v>0</v>
      </c>
      <c r="AO316" s="329"/>
      <c r="AP316" s="358"/>
      <c r="AQ316" s="359">
        <f t="shared" si="13"/>
        <v>0</v>
      </c>
      <c r="AR316" s="360"/>
      <c r="AS316" s="358"/>
      <c r="AT316" s="356">
        <f t="shared" si="14"/>
        <v>0</v>
      </c>
      <c r="AU316" s="329"/>
      <c r="AV316" s="358"/>
      <c r="AW316" s="359">
        <f t="shared" si="15"/>
        <v>0</v>
      </c>
      <c r="AX316" s="329"/>
      <c r="AY316" s="358"/>
      <c r="AZ316" s="359">
        <f t="shared" si="16"/>
        <v>0</v>
      </c>
      <c r="BA316" s="329">
        <f>IF('Degrémont Entrée'!K316="",,('Degrémont Entrée'!K316-I316)/'Degrémont Entrée'!K316*100)</f>
        <v>85.208798214854951</v>
      </c>
      <c r="BB316" s="329">
        <f>IF('Degrémont Entrée'!G316="",,('Degrémont Entrée'!G316-G316)/'Degrémont Entrée'!G316*100)</f>
        <v>99.389499389499392</v>
      </c>
      <c r="BC316" s="329">
        <f>IF('Degrémont Entrée'!S316="",,('Degrémont Entrée'!S316-M316)/'Degrémont Entrée'!S316*100)</f>
        <v>99.11904761904762</v>
      </c>
      <c r="BD316" s="361">
        <f ca="1">IFERROR(__xludf.DUMMYFUNCTION("""COMPUTED_VALUE"""),53.3333333333333)</f>
        <v>53.3333333333333</v>
      </c>
      <c r="BE316" s="362"/>
      <c r="BF316" s="363"/>
      <c r="BG316" s="363"/>
      <c r="BH316" s="338">
        <f t="shared" si="17"/>
        <v>0</v>
      </c>
      <c r="BI316" s="364"/>
      <c r="BJ316" s="365"/>
      <c r="BK316" s="371">
        <f>'Degrémont Entrée'!BH316</f>
        <v>0</v>
      </c>
      <c r="BL316" s="372">
        <f>'Degrémont Entrée'!BI316</f>
        <v>0</v>
      </c>
    </row>
    <row r="317" spans="1:64" ht="15.75" customHeight="1" outlineLevel="1">
      <c r="A317" s="337">
        <f t="shared" si="18"/>
        <v>43769</v>
      </c>
      <c r="B317" s="339">
        <f>'Degrémont Entrée'!B317</f>
        <v>2272</v>
      </c>
      <c r="C317" s="339">
        <v>9.1300000000000008</v>
      </c>
      <c r="D317" s="340">
        <v>87.5</v>
      </c>
      <c r="E317" s="341">
        <v>89.2</v>
      </c>
      <c r="F317" s="342">
        <v>150</v>
      </c>
      <c r="G317" s="329">
        <f t="shared" si="0"/>
        <v>11.333333333333352</v>
      </c>
      <c r="H317" s="338"/>
      <c r="I317" s="343">
        <v>216</v>
      </c>
      <c r="J317" s="344">
        <f t="shared" si="2"/>
        <v>490.75200000000001</v>
      </c>
      <c r="K317" s="343">
        <v>1</v>
      </c>
      <c r="L317" s="345">
        <v>1.2</v>
      </c>
      <c r="M317" s="346">
        <f t="shared" si="3"/>
        <v>1.2</v>
      </c>
      <c r="N317" s="338">
        <f t="shared" si="4"/>
        <v>2.7263999999999999</v>
      </c>
      <c r="O317" s="368"/>
      <c r="P317" s="347">
        <f t="shared" si="19"/>
        <v>0</v>
      </c>
      <c r="Q317" s="666"/>
      <c r="R317" s="318"/>
      <c r="S317" s="349">
        <f t="shared" si="20"/>
        <v>0</v>
      </c>
      <c r="T317" s="666"/>
      <c r="U317" s="318"/>
      <c r="V317" s="349">
        <f t="shared" si="5"/>
        <v>0</v>
      </c>
      <c r="W317" s="666"/>
      <c r="X317" s="318" t="str">
        <f t="shared" si="6"/>
        <v/>
      </c>
      <c r="Y317" s="370" t="e">
        <f t="shared" si="7"/>
        <v>#VALUE!</v>
      </c>
      <c r="Z317" s="343" t="s">
        <v>85</v>
      </c>
      <c r="AA317" s="345">
        <v>0.01</v>
      </c>
      <c r="AB317" s="352">
        <f t="shared" si="8"/>
        <v>1.1359999999999999E-2</v>
      </c>
      <c r="AC317" s="353"/>
      <c r="AD317" s="354"/>
      <c r="AE317" s="378" t="str">
        <f t="shared" si="21"/>
        <v/>
      </c>
      <c r="AF317" s="329"/>
      <c r="AG317" s="358"/>
      <c r="AH317" s="356" t="str">
        <f t="shared" si="22"/>
        <v/>
      </c>
      <c r="AI317" s="329"/>
      <c r="AJ317" s="329"/>
      <c r="AK317" s="356">
        <f t="shared" si="11"/>
        <v>0</v>
      </c>
      <c r="AL317" s="357"/>
      <c r="AM317" s="358"/>
      <c r="AN317" s="356">
        <f t="shared" si="12"/>
        <v>0</v>
      </c>
      <c r="AO317" s="329"/>
      <c r="AP317" s="358"/>
      <c r="AQ317" s="359">
        <f t="shared" si="13"/>
        <v>0</v>
      </c>
      <c r="AR317" s="360"/>
      <c r="AS317" s="358"/>
      <c r="AT317" s="356">
        <f t="shared" si="14"/>
        <v>0</v>
      </c>
      <c r="AU317" s="329"/>
      <c r="AV317" s="358"/>
      <c r="AW317" s="359">
        <f t="shared" si="15"/>
        <v>0</v>
      </c>
      <c r="AX317" s="329"/>
      <c r="AY317" s="358"/>
      <c r="AZ317" s="359">
        <f t="shared" si="16"/>
        <v>0</v>
      </c>
      <c r="BA317" s="329">
        <f>IF('Degrémont Entrée'!K317="",,('Degrémont Entrée'!K317-I317)/'Degrémont Entrée'!K317*100)</f>
        <v>93.304401735895851</v>
      </c>
      <c r="BB317" s="329">
        <f>IF('Degrémont Entrée'!G317="",,('Degrémont Entrée'!G317-G317)/'Degrémont Entrée'!G317*100)</f>
        <v>99.569620253164544</v>
      </c>
      <c r="BC317" s="329">
        <f>IF('Degrémont Entrée'!S317="",,('Degrémont Entrée'!S317-M317)/'Degrémont Entrée'!S317*100)</f>
        <v>99.25</v>
      </c>
      <c r="BD317" s="361">
        <f ca="1">IFERROR(__xludf.DUMMYFUNCTION("""COMPUTED_VALUE"""),53.5428571428571)</f>
        <v>53.542857142857102</v>
      </c>
      <c r="BE317" s="362"/>
      <c r="BF317" s="363"/>
      <c r="BG317" s="363"/>
      <c r="BH317" s="338">
        <f t="shared" si="17"/>
        <v>0</v>
      </c>
      <c r="BI317" s="364"/>
      <c r="BJ317" s="365"/>
      <c r="BK317" s="366">
        <f>'Degrémont Entrée'!BH317</f>
        <v>0</v>
      </c>
      <c r="BL317" s="367">
        <f>'Degrémont Entrée'!BI317</f>
        <v>0</v>
      </c>
    </row>
    <row r="318" spans="1:64" ht="14.25" outlineLevel="1">
      <c r="A318" s="337">
        <f t="shared" si="18"/>
        <v>43770</v>
      </c>
      <c r="B318" s="338">
        <f>'Degrémont Entrée'!B318</f>
        <v>0</v>
      </c>
      <c r="C318" s="338"/>
      <c r="D318" s="388"/>
      <c r="E318" s="368"/>
      <c r="F318" s="357"/>
      <c r="G318" s="329">
        <f t="shared" si="0"/>
        <v>0</v>
      </c>
      <c r="H318" s="338"/>
      <c r="I318" s="346"/>
      <c r="J318" s="344">
        <f t="shared" si="2"/>
        <v>0</v>
      </c>
      <c r="K318" s="343">
        <v>1</v>
      </c>
      <c r="L318" s="329"/>
      <c r="M318" s="346" t="str">
        <f t="shared" si="3"/>
        <v/>
      </c>
      <c r="N318" s="338" t="e">
        <f t="shared" si="4"/>
        <v>#VALUE!</v>
      </c>
      <c r="O318" s="368"/>
      <c r="P318" s="347">
        <f t="shared" si="19"/>
        <v>0</v>
      </c>
      <c r="Q318" s="348"/>
      <c r="R318" s="369"/>
      <c r="S318" s="349">
        <f t="shared" si="20"/>
        <v>0</v>
      </c>
      <c r="T318" s="348"/>
      <c r="U318" s="369"/>
      <c r="V318" s="349">
        <f t="shared" si="5"/>
        <v>0</v>
      </c>
      <c r="W318" s="348"/>
      <c r="X318" s="318" t="str">
        <f t="shared" si="6"/>
        <v/>
      </c>
      <c r="Y318" s="370" t="e">
        <f t="shared" si="7"/>
        <v>#VALUE!</v>
      </c>
      <c r="Z318" s="346"/>
      <c r="AA318" s="329"/>
      <c r="AB318" s="352">
        <f t="shared" si="8"/>
        <v>0</v>
      </c>
      <c r="AC318" s="353"/>
      <c r="AD318" s="354"/>
      <c r="AE318" s="378" t="str">
        <f t="shared" si="21"/>
        <v/>
      </c>
      <c r="AF318" s="329"/>
      <c r="AG318" s="358"/>
      <c r="AH318" s="356" t="str">
        <f t="shared" si="22"/>
        <v/>
      </c>
      <c r="AI318" s="329"/>
      <c r="AJ318" s="329"/>
      <c r="AK318" s="356">
        <f t="shared" si="11"/>
        <v>0</v>
      </c>
      <c r="AL318" s="357"/>
      <c r="AM318" s="358"/>
      <c r="AN318" s="356">
        <f t="shared" si="12"/>
        <v>0</v>
      </c>
      <c r="AO318" s="329"/>
      <c r="AP318" s="358"/>
      <c r="AQ318" s="359">
        <f t="shared" si="13"/>
        <v>0</v>
      </c>
      <c r="AR318" s="360"/>
      <c r="AS318" s="358"/>
      <c r="AT318" s="356">
        <f t="shared" si="14"/>
        <v>0</v>
      </c>
      <c r="AU318" s="329"/>
      <c r="AV318" s="358"/>
      <c r="AW318" s="359">
        <f t="shared" si="15"/>
        <v>0</v>
      </c>
      <c r="AX318" s="329"/>
      <c r="AY318" s="358"/>
      <c r="AZ318" s="359">
        <f t="shared" si="16"/>
        <v>0</v>
      </c>
      <c r="BA318" s="329" t="e">
        <f>IF('Degrémont Entrée'!K318="",,('Degrémont Entrée'!K318-I318)/'Degrémont Entrée'!K318*100)</f>
        <v>#DIV/0!</v>
      </c>
      <c r="BB318" s="329" t="e">
        <f>IF('Degrémont Entrée'!G318="",,('Degrémont Entrée'!G318-G318)/'Degrémont Entrée'!G318*100)</f>
        <v>#DIV/0!</v>
      </c>
      <c r="BC318" s="329">
        <f>IF('Degrémont Entrée'!S318="",,('Degrémont Entrée'!S318-M318)/'Degrémont Entrée'!S318*100)</f>
        <v>0</v>
      </c>
      <c r="BD318" s="361" t="str">
        <f ca="1">IFERROR(__xludf.DUMMYFUNCTION("""COMPUTED_VALUE"""),"#DIV/0!")</f>
        <v>#DIV/0!</v>
      </c>
      <c r="BE318" s="362"/>
      <c r="BF318" s="363"/>
      <c r="BG318" s="363"/>
      <c r="BH318" s="338">
        <f t="shared" si="17"/>
        <v>0</v>
      </c>
      <c r="BI318" s="364"/>
      <c r="BJ318" s="365"/>
      <c r="BK318" s="371">
        <f>'Degrémont Entrée'!BH318</f>
        <v>0</v>
      </c>
      <c r="BL318" s="372">
        <f>'Degrémont Entrée'!BI318</f>
        <v>0</v>
      </c>
    </row>
    <row r="319" spans="1:64" ht="15.75" customHeight="1" outlineLevel="1">
      <c r="A319" s="337">
        <f t="shared" si="18"/>
        <v>43771</v>
      </c>
      <c r="B319" s="338">
        <f>'Degrémont Entrée'!B319</f>
        <v>0</v>
      </c>
      <c r="C319" s="338"/>
      <c r="D319" s="388"/>
      <c r="E319" s="368"/>
      <c r="F319" s="357"/>
      <c r="G319" s="329">
        <f t="shared" si="0"/>
        <v>0</v>
      </c>
      <c r="H319" s="338"/>
      <c r="I319" s="346"/>
      <c r="J319" s="344">
        <f t="shared" si="2"/>
        <v>0</v>
      </c>
      <c r="K319" s="343">
        <v>1</v>
      </c>
      <c r="L319" s="329"/>
      <c r="M319" s="346" t="str">
        <f t="shared" si="3"/>
        <v/>
      </c>
      <c r="N319" s="338" t="e">
        <f t="shared" si="4"/>
        <v>#VALUE!</v>
      </c>
      <c r="O319" s="368"/>
      <c r="P319" s="347">
        <f t="shared" si="19"/>
        <v>0</v>
      </c>
      <c r="Q319" s="348"/>
      <c r="R319" s="369"/>
      <c r="S319" s="349">
        <f t="shared" si="20"/>
        <v>0</v>
      </c>
      <c r="T319" s="348"/>
      <c r="U319" s="369"/>
      <c r="V319" s="349">
        <f t="shared" si="5"/>
        <v>0</v>
      </c>
      <c r="W319" s="348"/>
      <c r="X319" s="318" t="str">
        <f t="shared" si="6"/>
        <v/>
      </c>
      <c r="Y319" s="370" t="e">
        <f t="shared" si="7"/>
        <v>#VALUE!</v>
      </c>
      <c r="Z319" s="346"/>
      <c r="AA319" s="329"/>
      <c r="AB319" s="352">
        <f t="shared" si="8"/>
        <v>0</v>
      </c>
      <c r="AC319" s="353"/>
      <c r="AD319" s="354"/>
      <c r="AE319" s="378" t="str">
        <f t="shared" si="21"/>
        <v/>
      </c>
      <c r="AF319" s="329"/>
      <c r="AG319" s="358"/>
      <c r="AH319" s="356" t="str">
        <f t="shared" si="22"/>
        <v/>
      </c>
      <c r="AI319" s="329"/>
      <c r="AJ319" s="329"/>
      <c r="AK319" s="356">
        <f t="shared" si="11"/>
        <v>0</v>
      </c>
      <c r="AL319" s="357"/>
      <c r="AM319" s="358"/>
      <c r="AN319" s="356">
        <f t="shared" si="12"/>
        <v>0</v>
      </c>
      <c r="AO319" s="329"/>
      <c r="AP319" s="358"/>
      <c r="AQ319" s="359">
        <f t="shared" si="13"/>
        <v>0</v>
      </c>
      <c r="AR319" s="360"/>
      <c r="AS319" s="358"/>
      <c r="AT319" s="356">
        <f t="shared" si="14"/>
        <v>0</v>
      </c>
      <c r="AU319" s="329"/>
      <c r="AV319" s="358"/>
      <c r="AW319" s="359">
        <f t="shared" si="15"/>
        <v>0</v>
      </c>
      <c r="AX319" s="329"/>
      <c r="AY319" s="358"/>
      <c r="AZ319" s="359">
        <f t="shared" si="16"/>
        <v>0</v>
      </c>
      <c r="BA319" s="329" t="e">
        <f>IF('Degrémont Entrée'!K319="",,('Degrémont Entrée'!K319-I319)/'Degrémont Entrée'!K319*100)</f>
        <v>#DIV/0!</v>
      </c>
      <c r="BB319" s="329" t="e">
        <f>IF('Degrémont Entrée'!G319="",,('Degrémont Entrée'!G319-G319)/'Degrémont Entrée'!G319*100)</f>
        <v>#DIV/0!</v>
      </c>
      <c r="BC319" s="329">
        <f>IF('Degrémont Entrée'!S319="",,('Degrémont Entrée'!S319-M319)/'Degrémont Entrée'!S319*100)</f>
        <v>0</v>
      </c>
      <c r="BD319" s="361" t="str">
        <f ca="1">IFERROR(__xludf.DUMMYFUNCTION("""COMPUTED_VALUE"""),"#DIV/0!")</f>
        <v>#DIV/0!</v>
      </c>
      <c r="BE319" s="362"/>
      <c r="BF319" s="363"/>
      <c r="BG319" s="363"/>
      <c r="BH319" s="338">
        <f t="shared" si="17"/>
        <v>0</v>
      </c>
      <c r="BI319" s="364"/>
      <c r="BJ319" s="365"/>
      <c r="BK319" s="366">
        <f>'Degrémont Entrée'!BH319</f>
        <v>0</v>
      </c>
      <c r="BL319" s="367">
        <f>'Degrémont Entrée'!BI319</f>
        <v>0</v>
      </c>
    </row>
    <row r="320" spans="1:64" ht="14.25" outlineLevel="1">
      <c r="A320" s="337">
        <f t="shared" si="18"/>
        <v>43772</v>
      </c>
      <c r="B320" s="338">
        <f>'Degrémont Entrée'!B320</f>
        <v>0</v>
      </c>
      <c r="C320" s="338"/>
      <c r="D320" s="388"/>
      <c r="E320" s="368"/>
      <c r="F320" s="357"/>
      <c r="G320" s="329">
        <f t="shared" si="0"/>
        <v>0</v>
      </c>
      <c r="H320" s="338"/>
      <c r="I320" s="346"/>
      <c r="J320" s="344">
        <f t="shared" si="2"/>
        <v>0</v>
      </c>
      <c r="K320" s="343">
        <v>1</v>
      </c>
      <c r="L320" s="329"/>
      <c r="M320" s="346" t="str">
        <f t="shared" si="3"/>
        <v/>
      </c>
      <c r="N320" s="338" t="e">
        <f t="shared" si="4"/>
        <v>#VALUE!</v>
      </c>
      <c r="O320" s="368"/>
      <c r="P320" s="347">
        <f t="shared" si="19"/>
        <v>0</v>
      </c>
      <c r="Q320" s="348"/>
      <c r="R320" s="369"/>
      <c r="S320" s="349">
        <f t="shared" si="20"/>
        <v>0</v>
      </c>
      <c r="T320" s="348"/>
      <c r="U320" s="369"/>
      <c r="V320" s="349">
        <f t="shared" si="5"/>
        <v>0</v>
      </c>
      <c r="W320" s="348"/>
      <c r="X320" s="318" t="str">
        <f t="shared" si="6"/>
        <v/>
      </c>
      <c r="Y320" s="370" t="e">
        <f t="shared" si="7"/>
        <v>#VALUE!</v>
      </c>
      <c r="Z320" s="346"/>
      <c r="AA320" s="329"/>
      <c r="AB320" s="352">
        <f t="shared" si="8"/>
        <v>0</v>
      </c>
      <c r="AC320" s="353"/>
      <c r="AD320" s="354"/>
      <c r="AE320" s="378" t="str">
        <f t="shared" si="21"/>
        <v/>
      </c>
      <c r="AF320" s="329"/>
      <c r="AG320" s="358"/>
      <c r="AH320" s="356" t="str">
        <f t="shared" si="22"/>
        <v/>
      </c>
      <c r="AI320" s="329"/>
      <c r="AJ320" s="329"/>
      <c r="AK320" s="356">
        <f t="shared" si="11"/>
        <v>0</v>
      </c>
      <c r="AL320" s="357"/>
      <c r="AM320" s="358"/>
      <c r="AN320" s="356">
        <f t="shared" si="12"/>
        <v>0</v>
      </c>
      <c r="AO320" s="329"/>
      <c r="AP320" s="358"/>
      <c r="AQ320" s="359">
        <f t="shared" si="13"/>
        <v>0</v>
      </c>
      <c r="AR320" s="360"/>
      <c r="AS320" s="358"/>
      <c r="AT320" s="356">
        <f t="shared" si="14"/>
        <v>0</v>
      </c>
      <c r="AU320" s="329"/>
      <c r="AV320" s="358"/>
      <c r="AW320" s="359">
        <f t="shared" si="15"/>
        <v>0</v>
      </c>
      <c r="AX320" s="329"/>
      <c r="AY320" s="358"/>
      <c r="AZ320" s="359">
        <f t="shared" si="16"/>
        <v>0</v>
      </c>
      <c r="BA320" s="329" t="e">
        <f>IF('Degrémont Entrée'!K320="",,('Degrémont Entrée'!K320-I320)/'Degrémont Entrée'!K320*100)</f>
        <v>#DIV/0!</v>
      </c>
      <c r="BB320" s="329" t="e">
        <f>IF('Degrémont Entrée'!G320="",,('Degrémont Entrée'!G320-G320)/'Degrémont Entrée'!G320*100)</f>
        <v>#DIV/0!</v>
      </c>
      <c r="BC320" s="329">
        <f>IF('Degrémont Entrée'!S320="",,('Degrémont Entrée'!S320-M320)/'Degrémont Entrée'!S320*100)</f>
        <v>0</v>
      </c>
      <c r="BD320" s="361" t="str">
        <f ca="1">IFERROR(__xludf.DUMMYFUNCTION("""COMPUTED_VALUE"""),"#DIV/0!")</f>
        <v>#DIV/0!</v>
      </c>
      <c r="BE320" s="362"/>
      <c r="BF320" s="363"/>
      <c r="BG320" s="363"/>
      <c r="BH320" s="338">
        <f t="shared" si="17"/>
        <v>0</v>
      </c>
      <c r="BI320" s="364"/>
      <c r="BJ320" s="365"/>
      <c r="BK320" s="371">
        <f>'Degrémont Entrée'!BH320</f>
        <v>0</v>
      </c>
      <c r="BL320" s="372">
        <f>'Degrémont Entrée'!BI320</f>
        <v>0</v>
      </c>
    </row>
    <row r="321" spans="1:64" ht="15.75" customHeight="1" outlineLevel="1">
      <c r="A321" s="337">
        <f t="shared" si="18"/>
        <v>43773</v>
      </c>
      <c r="B321" s="339">
        <f>'Degrémont Entrée'!B321</f>
        <v>598</v>
      </c>
      <c r="C321" s="339">
        <v>9.27</v>
      </c>
      <c r="D321" s="340">
        <v>88.2</v>
      </c>
      <c r="E321" s="341">
        <v>89.8</v>
      </c>
      <c r="F321" s="342">
        <v>150</v>
      </c>
      <c r="G321" s="329">
        <f t="shared" si="0"/>
        <v>10.666666666666629</v>
      </c>
      <c r="H321" s="338"/>
      <c r="I321" s="343">
        <v>142</v>
      </c>
      <c r="J321" s="344">
        <f t="shared" si="2"/>
        <v>84.915999999999997</v>
      </c>
      <c r="K321" s="343">
        <v>1</v>
      </c>
      <c r="L321" s="345">
        <v>0.94</v>
      </c>
      <c r="M321" s="346">
        <f t="shared" si="3"/>
        <v>0.94</v>
      </c>
      <c r="N321" s="338">
        <f t="shared" si="4"/>
        <v>0.56211999999999995</v>
      </c>
      <c r="O321" s="368"/>
      <c r="P321" s="347">
        <f t="shared" si="19"/>
        <v>0</v>
      </c>
      <c r="Q321" s="666"/>
      <c r="R321" s="318"/>
      <c r="S321" s="349">
        <f t="shared" si="20"/>
        <v>0</v>
      </c>
      <c r="T321" s="666"/>
      <c r="U321" s="318"/>
      <c r="V321" s="349">
        <f t="shared" si="5"/>
        <v>0</v>
      </c>
      <c r="W321" s="666"/>
      <c r="X321" s="318" t="str">
        <f t="shared" si="6"/>
        <v/>
      </c>
      <c r="Y321" s="370" t="e">
        <f t="shared" si="7"/>
        <v>#VALUE!</v>
      </c>
      <c r="Z321" s="343" t="s">
        <v>85</v>
      </c>
      <c r="AA321" s="345">
        <v>0.01</v>
      </c>
      <c r="AB321" s="352">
        <f t="shared" si="8"/>
        <v>2.99E-3</v>
      </c>
      <c r="AC321" s="353"/>
      <c r="AD321" s="354"/>
      <c r="AE321" s="378" t="str">
        <f t="shared" si="21"/>
        <v/>
      </c>
      <c r="AF321" s="329"/>
      <c r="AG321" s="358"/>
      <c r="AH321" s="356" t="str">
        <f t="shared" si="22"/>
        <v/>
      </c>
      <c r="AI321" s="329"/>
      <c r="AJ321" s="345"/>
      <c r="AK321" s="356">
        <f t="shared" si="11"/>
        <v>0</v>
      </c>
      <c r="AL321" s="342"/>
      <c r="AM321" s="355"/>
      <c r="AN321" s="356">
        <f t="shared" si="12"/>
        <v>0</v>
      </c>
      <c r="AO321" s="329"/>
      <c r="AP321" s="355"/>
      <c r="AQ321" s="359">
        <f t="shared" si="13"/>
        <v>0</v>
      </c>
      <c r="AR321" s="394"/>
      <c r="AS321" s="355"/>
      <c r="AT321" s="356">
        <f t="shared" si="14"/>
        <v>0</v>
      </c>
      <c r="AU321" s="345"/>
      <c r="AV321" s="355"/>
      <c r="AW321" s="359">
        <f t="shared" si="15"/>
        <v>0</v>
      </c>
      <c r="AX321" s="345"/>
      <c r="AY321" s="355"/>
      <c r="AZ321" s="359">
        <f t="shared" si="16"/>
        <v>0</v>
      </c>
      <c r="BA321" s="329">
        <f>IF('Degrémont Entrée'!K321="",,('Degrémont Entrée'!K321-I321)/'Degrémont Entrée'!K321*100)</f>
        <v>80.706521739130437</v>
      </c>
      <c r="BB321" s="329">
        <f>IF('Degrémont Entrée'!G321="",,('Degrémont Entrée'!G321-G321)/'Degrémont Entrée'!G321*100)</f>
        <v>98.350515463917532</v>
      </c>
      <c r="BC321" s="329">
        <f>IF('Degrémont Entrée'!S321="",,('Degrémont Entrée'!S321-M321)/'Degrémont Entrée'!S321*100)</f>
        <v>98.149606299212593</v>
      </c>
      <c r="BD321" s="361">
        <f ca="1">IFERROR(__xludf.DUMMYFUNCTION("""COMPUTED_VALUE"""),52.2)</f>
        <v>52.2</v>
      </c>
      <c r="BE321" s="386">
        <v>21.858499999999999</v>
      </c>
      <c r="BF321" s="387">
        <v>32.933100000000003</v>
      </c>
      <c r="BG321" s="387">
        <v>28.481400000000001</v>
      </c>
      <c r="BH321" s="338">
        <f t="shared" si="17"/>
        <v>59.802611380997959</v>
      </c>
      <c r="BI321" s="364"/>
      <c r="BJ321" s="365"/>
      <c r="BK321" s="366">
        <f>'Degrémont Entrée'!BH321</f>
        <v>0</v>
      </c>
      <c r="BL321" s="367">
        <f>'Degrémont Entrée'!BI321</f>
        <v>0</v>
      </c>
    </row>
    <row r="322" spans="1:64" ht="14.25" outlineLevel="1">
      <c r="A322" s="337">
        <f t="shared" si="18"/>
        <v>43774</v>
      </c>
      <c r="B322" s="339">
        <f>'Degrémont Entrée'!B322</f>
        <v>876</v>
      </c>
      <c r="C322" s="339">
        <v>9.2100000000000009</v>
      </c>
      <c r="D322" s="340">
        <v>89.1</v>
      </c>
      <c r="E322" s="341">
        <v>91.3</v>
      </c>
      <c r="F322" s="342">
        <v>200</v>
      </c>
      <c r="G322" s="329">
        <f t="shared" si="0"/>
        <v>11.000000000000014</v>
      </c>
      <c r="H322" s="338"/>
      <c r="I322" s="343">
        <v>189</v>
      </c>
      <c r="J322" s="344">
        <f t="shared" si="2"/>
        <v>165.56399999999999</v>
      </c>
      <c r="K322" s="343">
        <v>1</v>
      </c>
      <c r="L322" s="345">
        <v>1.19</v>
      </c>
      <c r="M322" s="346">
        <f t="shared" si="3"/>
        <v>1.19</v>
      </c>
      <c r="N322" s="338">
        <f t="shared" si="4"/>
        <v>1.04244</v>
      </c>
      <c r="O322" s="341">
        <v>5</v>
      </c>
      <c r="P322" s="347">
        <f t="shared" si="19"/>
        <v>4.38</v>
      </c>
      <c r="Q322" s="666"/>
      <c r="R322" s="318"/>
      <c r="S322" s="349">
        <f t="shared" si="20"/>
        <v>0</v>
      </c>
      <c r="T322" s="666"/>
      <c r="U322" s="318"/>
      <c r="V322" s="349">
        <f t="shared" si="5"/>
        <v>0</v>
      </c>
      <c r="W322" s="666"/>
      <c r="X322" s="318">
        <f t="shared" si="6"/>
        <v>5</v>
      </c>
      <c r="Y322" s="370">
        <f t="shared" si="7"/>
        <v>4.38</v>
      </c>
      <c r="Z322" s="343" t="s">
        <v>85</v>
      </c>
      <c r="AA322" s="345">
        <v>0.01</v>
      </c>
      <c r="AB322" s="352">
        <f t="shared" si="8"/>
        <v>4.3800000000000002E-3</v>
      </c>
      <c r="AC322" s="385" t="s">
        <v>85</v>
      </c>
      <c r="AD322" s="377">
        <v>5.0000000000000001E-3</v>
      </c>
      <c r="AE322" s="378">
        <f t="shared" si="21"/>
        <v>1.16075E-2</v>
      </c>
      <c r="AF322" s="329"/>
      <c r="AG322" s="355">
        <v>0.23</v>
      </c>
      <c r="AH322" s="356">
        <f t="shared" si="22"/>
        <v>1.06789</v>
      </c>
      <c r="AI322" s="329"/>
      <c r="AJ322" s="345">
        <v>0.14000000000000001</v>
      </c>
      <c r="AK322" s="356">
        <f t="shared" si="11"/>
        <v>0.12264000000000001</v>
      </c>
      <c r="AL322" s="342" t="s">
        <v>85</v>
      </c>
      <c r="AM322" s="355">
        <v>0.03</v>
      </c>
      <c r="AN322" s="356">
        <f t="shared" si="12"/>
        <v>1.3139999999999999E-2</v>
      </c>
      <c r="AO322" s="329"/>
      <c r="AP322" s="355">
        <v>0.06</v>
      </c>
      <c r="AQ322" s="359">
        <f t="shared" si="13"/>
        <v>5.2559999999999996E-2</v>
      </c>
      <c r="AR322" s="394" t="s">
        <v>85</v>
      </c>
      <c r="AS322" s="355">
        <v>0.05</v>
      </c>
      <c r="AT322" s="356">
        <f t="shared" si="14"/>
        <v>2.1900000000000003E-2</v>
      </c>
      <c r="AU322" s="345" t="s">
        <v>85</v>
      </c>
      <c r="AV322" s="355">
        <v>0.15</v>
      </c>
      <c r="AW322" s="359">
        <f t="shared" si="15"/>
        <v>6.5700000000000008E-2</v>
      </c>
      <c r="AX322" s="345" t="s">
        <v>85</v>
      </c>
      <c r="AY322" s="355">
        <v>0.01</v>
      </c>
      <c r="AZ322" s="359">
        <f t="shared" si="16"/>
        <v>4.3800000000000002E-3</v>
      </c>
      <c r="BA322" s="329">
        <f>IF('Degrémont Entrée'!K322="",,('Degrémont Entrée'!K322-I322)/'Degrémont Entrée'!K322*100)</f>
        <v>82.564575645756449</v>
      </c>
      <c r="BB322" s="329">
        <f>IF('Degrémont Entrée'!G322="",,('Degrémont Entrée'!G322-G322)/'Degrémont Entrée'!G322*100)</f>
        <v>98.75</v>
      </c>
      <c r="BC322" s="329">
        <f>IF('Degrémont Entrée'!S322="",,('Degrémont Entrée'!S322-M322)/'Degrémont Entrée'!S322*100)</f>
        <v>97.032418952618457</v>
      </c>
      <c r="BD322" s="361">
        <f ca="1">IFERROR(__xludf.DUMMYFUNCTION("""COMPUTED_VALUE"""),52.3571428571428)</f>
        <v>52.357142857142797</v>
      </c>
      <c r="BE322" s="362"/>
      <c r="BF322" s="363"/>
      <c r="BG322" s="363"/>
      <c r="BH322" s="338">
        <f t="shared" si="17"/>
        <v>0</v>
      </c>
      <c r="BI322" s="364"/>
      <c r="BJ322" s="365"/>
      <c r="BK322" s="371">
        <f>'Degrémont Entrée'!BH322</f>
        <v>0</v>
      </c>
      <c r="BL322" s="372">
        <f>'Degrémont Entrée'!BI322</f>
        <v>0</v>
      </c>
    </row>
    <row r="323" spans="1:64" ht="15.75" customHeight="1" outlineLevel="1">
      <c r="A323" s="337">
        <f t="shared" si="18"/>
        <v>43775</v>
      </c>
      <c r="B323" s="339">
        <f>'Degrémont Entrée'!B323</f>
        <v>997</v>
      </c>
      <c r="C323" s="339">
        <v>8.93</v>
      </c>
      <c r="D323" s="340">
        <v>90</v>
      </c>
      <c r="E323" s="341">
        <v>91.4</v>
      </c>
      <c r="F323" s="342">
        <v>200</v>
      </c>
      <c r="G323" s="329">
        <f t="shared" si="0"/>
        <v>7.0000000000000284</v>
      </c>
      <c r="H323" s="338"/>
      <c r="I323" s="343">
        <v>190</v>
      </c>
      <c r="J323" s="344">
        <f t="shared" si="2"/>
        <v>189.43</v>
      </c>
      <c r="K323" s="343">
        <v>1</v>
      </c>
      <c r="L323" s="345">
        <v>0.85</v>
      </c>
      <c r="M323" s="346">
        <f t="shared" si="3"/>
        <v>0.85</v>
      </c>
      <c r="N323" s="338">
        <f t="shared" si="4"/>
        <v>0.84744999999999993</v>
      </c>
      <c r="O323" s="368"/>
      <c r="P323" s="347">
        <f t="shared" si="19"/>
        <v>0</v>
      </c>
      <c r="Q323" s="666"/>
      <c r="R323" s="318"/>
      <c r="S323" s="349">
        <f t="shared" si="20"/>
        <v>0</v>
      </c>
      <c r="T323" s="666"/>
      <c r="U323" s="318"/>
      <c r="V323" s="349">
        <f t="shared" si="5"/>
        <v>0</v>
      </c>
      <c r="W323" s="666"/>
      <c r="X323" s="318" t="str">
        <f t="shared" si="6"/>
        <v/>
      </c>
      <c r="Y323" s="370" t="e">
        <f t="shared" si="7"/>
        <v>#VALUE!</v>
      </c>
      <c r="Z323" s="343" t="s">
        <v>85</v>
      </c>
      <c r="AA323" s="345">
        <v>0.01</v>
      </c>
      <c r="AB323" s="352">
        <f t="shared" si="8"/>
        <v>4.9850000000000007E-3</v>
      </c>
      <c r="AC323" s="353"/>
      <c r="AD323" s="354"/>
      <c r="AE323" s="378" t="str">
        <f t="shared" si="21"/>
        <v/>
      </c>
      <c r="AF323" s="329"/>
      <c r="AG323" s="358"/>
      <c r="AH323" s="356" t="str">
        <f t="shared" si="22"/>
        <v/>
      </c>
      <c r="AI323" s="329"/>
      <c r="AJ323" s="329"/>
      <c r="AK323" s="356">
        <f t="shared" si="11"/>
        <v>0</v>
      </c>
      <c r="AL323" s="357"/>
      <c r="AM323" s="358"/>
      <c r="AN323" s="356">
        <f t="shared" si="12"/>
        <v>0</v>
      </c>
      <c r="AO323" s="329"/>
      <c r="AP323" s="358"/>
      <c r="AQ323" s="359">
        <f t="shared" si="13"/>
        <v>0</v>
      </c>
      <c r="AR323" s="360"/>
      <c r="AS323" s="358"/>
      <c r="AT323" s="356">
        <f t="shared" si="14"/>
        <v>0</v>
      </c>
      <c r="AU323" s="329"/>
      <c r="AV323" s="358"/>
      <c r="AW323" s="359">
        <f t="shared" si="15"/>
        <v>0</v>
      </c>
      <c r="AX323" s="329"/>
      <c r="AY323" s="358"/>
      <c r="AZ323" s="359">
        <f t="shared" si="16"/>
        <v>0</v>
      </c>
      <c r="BA323" s="329">
        <f>IF('Degrémont Entrée'!K323="",,('Degrémont Entrée'!K323-I323)/'Degrémont Entrée'!K323*100)</f>
        <v>92.003367003367003</v>
      </c>
      <c r="BB323" s="329">
        <f>IF('Degrémont Entrée'!G323="",,('Degrémont Entrée'!G323-G323)/'Degrémont Entrée'!G323*100)</f>
        <v>99.544468546637745</v>
      </c>
      <c r="BC323" s="329">
        <f>IF('Degrémont Entrée'!S323="",,('Degrémont Entrée'!S323-M323)/'Degrémont Entrée'!S323*100)</f>
        <v>99.260869565217391</v>
      </c>
      <c r="BD323" s="361">
        <f ca="1">IFERROR(__xludf.DUMMYFUNCTION("""COMPUTED_VALUE"""),52.7666666666666)</f>
        <v>52.766666666666602</v>
      </c>
      <c r="BE323" s="362"/>
      <c r="BF323" s="363"/>
      <c r="BG323" s="363"/>
      <c r="BH323" s="338">
        <f t="shared" si="17"/>
        <v>0</v>
      </c>
      <c r="BI323" s="364"/>
      <c r="BJ323" s="365"/>
      <c r="BK323" s="366">
        <f>'Degrémont Entrée'!BH323</f>
        <v>0</v>
      </c>
      <c r="BL323" s="367">
        <f>'Degrémont Entrée'!BI323</f>
        <v>0</v>
      </c>
    </row>
    <row r="324" spans="1:64" ht="14.25" outlineLevel="1">
      <c r="A324" s="337">
        <f t="shared" si="18"/>
        <v>43776</v>
      </c>
      <c r="B324" s="339">
        <f>'Degrémont Entrée'!B324</f>
        <v>850</v>
      </c>
      <c r="C324" s="339">
        <v>9.08</v>
      </c>
      <c r="D324" s="340">
        <v>88.4</v>
      </c>
      <c r="E324" s="341">
        <v>91.8</v>
      </c>
      <c r="F324" s="342">
        <v>200</v>
      </c>
      <c r="G324" s="329">
        <f t="shared" si="0"/>
        <v>16.999999999999957</v>
      </c>
      <c r="H324" s="338"/>
      <c r="I324" s="343">
        <v>216</v>
      </c>
      <c r="J324" s="344">
        <f t="shared" si="2"/>
        <v>183.6</v>
      </c>
      <c r="K324" s="343">
        <v>1</v>
      </c>
      <c r="L324" s="345">
        <v>0.99</v>
      </c>
      <c r="M324" s="346">
        <f t="shared" si="3"/>
        <v>0.99</v>
      </c>
      <c r="N324" s="338">
        <f t="shared" si="4"/>
        <v>0.84150000000000003</v>
      </c>
      <c r="O324" s="368"/>
      <c r="P324" s="347">
        <f t="shared" si="19"/>
        <v>0</v>
      </c>
      <c r="Q324" s="666"/>
      <c r="R324" s="318"/>
      <c r="S324" s="349">
        <f t="shared" si="20"/>
        <v>0</v>
      </c>
      <c r="T324" s="666"/>
      <c r="U324" s="318"/>
      <c r="V324" s="349">
        <f t="shared" si="5"/>
        <v>0</v>
      </c>
      <c r="W324" s="666"/>
      <c r="X324" s="318" t="str">
        <f t="shared" si="6"/>
        <v/>
      </c>
      <c r="Y324" s="370" t="e">
        <f t="shared" si="7"/>
        <v>#VALUE!</v>
      </c>
      <c r="Z324" s="343" t="s">
        <v>85</v>
      </c>
      <c r="AA324" s="345">
        <v>0.01</v>
      </c>
      <c r="AB324" s="352">
        <f t="shared" si="8"/>
        <v>4.2500000000000003E-3</v>
      </c>
      <c r="AC324" s="353"/>
      <c r="AD324" s="354"/>
      <c r="AE324" s="378" t="str">
        <f t="shared" si="21"/>
        <v/>
      </c>
      <c r="AF324" s="329"/>
      <c r="AG324" s="358"/>
      <c r="AH324" s="356" t="str">
        <f t="shared" si="22"/>
        <v/>
      </c>
      <c r="AI324" s="329"/>
      <c r="AJ324" s="329"/>
      <c r="AK324" s="356">
        <f t="shared" si="11"/>
        <v>0</v>
      </c>
      <c r="AL324" s="357"/>
      <c r="AM324" s="358"/>
      <c r="AN324" s="356">
        <f t="shared" si="12"/>
        <v>0</v>
      </c>
      <c r="AO324" s="329"/>
      <c r="AP324" s="358"/>
      <c r="AQ324" s="359">
        <f t="shared" si="13"/>
        <v>0</v>
      </c>
      <c r="AR324" s="360"/>
      <c r="AS324" s="358"/>
      <c r="AT324" s="356">
        <f t="shared" si="14"/>
        <v>0</v>
      </c>
      <c r="AU324" s="329"/>
      <c r="AV324" s="358"/>
      <c r="AW324" s="359">
        <f t="shared" si="15"/>
        <v>0</v>
      </c>
      <c r="AX324" s="329"/>
      <c r="AY324" s="358"/>
      <c r="AZ324" s="359">
        <f t="shared" si="16"/>
        <v>0</v>
      </c>
      <c r="BA324" s="329">
        <f>IF('Degrémont Entrée'!K324="",,('Degrémont Entrée'!K324-I324)/'Degrémont Entrée'!K324*100)</f>
        <v>97.132997079904442</v>
      </c>
      <c r="BB324" s="329">
        <f>IF('Degrémont Entrée'!G324="",,('Degrémont Entrée'!G324-G324)/'Degrémont Entrée'!G324*100)</f>
        <v>99.817531305903401</v>
      </c>
      <c r="BC324" s="329">
        <f>IF('Degrémont Entrée'!S324="",,('Degrémont Entrée'!S324-M324)/'Degrémont Entrée'!S324*100)</f>
        <v>99.64</v>
      </c>
      <c r="BD324" s="361">
        <f ca="1">IFERROR(__xludf.DUMMYFUNCTION("""COMPUTED_VALUE"""),52.8142857142857)</f>
        <v>52.814285714285703</v>
      </c>
      <c r="BE324" s="362"/>
      <c r="BF324" s="363"/>
      <c r="BG324" s="363"/>
      <c r="BH324" s="338">
        <f t="shared" si="17"/>
        <v>0</v>
      </c>
      <c r="BI324" s="364"/>
      <c r="BJ324" s="365"/>
      <c r="BK324" s="371">
        <f>'Degrémont Entrée'!BH324</f>
        <v>0</v>
      </c>
      <c r="BL324" s="372">
        <f>'Degrémont Entrée'!BI324</f>
        <v>0</v>
      </c>
    </row>
    <row r="325" spans="1:64" ht="15.75" customHeight="1" outlineLevel="1">
      <c r="A325" s="337">
        <f t="shared" si="18"/>
        <v>43777</v>
      </c>
      <c r="B325" s="339">
        <f>'Degrémont Entrée'!B325</f>
        <v>652</v>
      </c>
      <c r="C325" s="339">
        <v>8.01</v>
      </c>
      <c r="D325" s="340">
        <v>87.9</v>
      </c>
      <c r="E325" s="341">
        <v>90.8</v>
      </c>
      <c r="F325" s="342">
        <v>175</v>
      </c>
      <c r="G325" s="329">
        <f t="shared" si="0"/>
        <v>16.571428571428523</v>
      </c>
      <c r="H325" s="338"/>
      <c r="I325" s="343">
        <v>190</v>
      </c>
      <c r="J325" s="344">
        <f t="shared" si="2"/>
        <v>123.88</v>
      </c>
      <c r="K325" s="343">
        <v>1</v>
      </c>
      <c r="L325" s="345">
        <v>2.31</v>
      </c>
      <c r="M325" s="346">
        <f t="shared" si="3"/>
        <v>2.31</v>
      </c>
      <c r="N325" s="338">
        <f t="shared" si="4"/>
        <v>1.5061200000000001</v>
      </c>
      <c r="O325" s="368"/>
      <c r="P325" s="347">
        <f t="shared" si="19"/>
        <v>0</v>
      </c>
      <c r="Q325" s="348"/>
      <c r="R325" s="369"/>
      <c r="S325" s="349">
        <f t="shared" si="20"/>
        <v>0</v>
      </c>
      <c r="T325" s="348"/>
      <c r="U325" s="369"/>
      <c r="V325" s="349">
        <f t="shared" si="5"/>
        <v>0</v>
      </c>
      <c r="W325" s="348"/>
      <c r="X325" s="318" t="str">
        <f t="shared" si="6"/>
        <v/>
      </c>
      <c r="Y325" s="370" t="e">
        <f t="shared" si="7"/>
        <v>#VALUE!</v>
      </c>
      <c r="Z325" s="343" t="s">
        <v>85</v>
      </c>
      <c r="AA325" s="345">
        <v>0.01</v>
      </c>
      <c r="AB325" s="352">
        <f t="shared" si="8"/>
        <v>3.2600000000000003E-3</v>
      </c>
      <c r="AC325" s="353"/>
      <c r="AD325" s="354"/>
      <c r="AE325" s="378" t="str">
        <f t="shared" si="21"/>
        <v/>
      </c>
      <c r="AF325" s="329"/>
      <c r="AG325" s="358"/>
      <c r="AH325" s="356" t="str">
        <f t="shared" si="22"/>
        <v/>
      </c>
      <c r="AI325" s="329"/>
      <c r="AJ325" s="329"/>
      <c r="AK325" s="356">
        <f t="shared" si="11"/>
        <v>0</v>
      </c>
      <c r="AL325" s="357"/>
      <c r="AM325" s="358"/>
      <c r="AN325" s="356">
        <f t="shared" si="12"/>
        <v>0</v>
      </c>
      <c r="AO325" s="329"/>
      <c r="AP325" s="358"/>
      <c r="AQ325" s="359">
        <f t="shared" si="13"/>
        <v>0</v>
      </c>
      <c r="AR325" s="360"/>
      <c r="AS325" s="358"/>
      <c r="AT325" s="356">
        <f t="shared" si="14"/>
        <v>0</v>
      </c>
      <c r="AU325" s="329"/>
      <c r="AV325" s="358"/>
      <c r="AW325" s="359">
        <f t="shared" si="15"/>
        <v>0</v>
      </c>
      <c r="AX325" s="329"/>
      <c r="AY325" s="358"/>
      <c r="AZ325" s="359">
        <f t="shared" si="16"/>
        <v>0</v>
      </c>
      <c r="BA325" s="329">
        <f>IF('Degrémont Entrée'!K325="",,('Degrémont Entrée'!K325-I325)/'Degrémont Entrée'!K325*100)</f>
        <v>97.817346352670882</v>
      </c>
      <c r="BB325" s="329">
        <f>IF('Degrémont Entrée'!G325="",,('Degrémont Entrée'!G325-G325)/'Degrémont Entrée'!G325*100)</f>
        <v>99.870366921214369</v>
      </c>
      <c r="BC325" s="329">
        <f>IF('Degrémont Entrée'!S325="",,('Degrémont Entrée'!S325-M325)/'Degrémont Entrée'!S325*100)</f>
        <v>99.206185567010309</v>
      </c>
      <c r="BD325" s="361">
        <f ca="1">IFERROR(__xludf.DUMMYFUNCTION("""COMPUTED_VALUE"""),52.95)</f>
        <v>52.95</v>
      </c>
      <c r="BE325" s="362"/>
      <c r="BF325" s="363"/>
      <c r="BG325" s="363"/>
      <c r="BH325" s="338">
        <f t="shared" si="17"/>
        <v>0</v>
      </c>
      <c r="BI325" s="364"/>
      <c r="BJ325" s="365"/>
      <c r="BK325" s="366">
        <f>'Degrémont Entrée'!BH325</f>
        <v>0</v>
      </c>
      <c r="BL325" s="367">
        <f>'Degrémont Entrée'!BI325</f>
        <v>0</v>
      </c>
    </row>
    <row r="326" spans="1:64" ht="14.25" outlineLevel="1">
      <c r="A326" s="337">
        <f t="shared" si="18"/>
        <v>43778</v>
      </c>
      <c r="B326" s="339">
        <f>'Degrémont Entrée'!B326</f>
        <v>405</v>
      </c>
      <c r="C326" s="339">
        <v>8.16</v>
      </c>
      <c r="D326" s="340">
        <v>88.8</v>
      </c>
      <c r="E326" s="341">
        <v>95.8</v>
      </c>
      <c r="F326" s="342">
        <v>100</v>
      </c>
      <c r="G326" s="329">
        <f t="shared" si="0"/>
        <v>70</v>
      </c>
      <c r="H326" s="338"/>
      <c r="I326" s="343">
        <v>780</v>
      </c>
      <c r="J326" s="344">
        <f t="shared" si="2"/>
        <v>315.89999999999998</v>
      </c>
      <c r="K326" s="343">
        <v>1</v>
      </c>
      <c r="L326" s="345">
        <v>4.49</v>
      </c>
      <c r="M326" s="346">
        <f t="shared" si="3"/>
        <v>4.49</v>
      </c>
      <c r="N326" s="338">
        <f t="shared" si="4"/>
        <v>1.8184500000000001</v>
      </c>
      <c r="O326" s="368"/>
      <c r="P326" s="347">
        <f t="shared" si="19"/>
        <v>0</v>
      </c>
      <c r="Q326" s="348"/>
      <c r="R326" s="369"/>
      <c r="S326" s="349">
        <f t="shared" si="20"/>
        <v>0</v>
      </c>
      <c r="T326" s="348"/>
      <c r="U326" s="369"/>
      <c r="V326" s="349">
        <f t="shared" si="5"/>
        <v>0</v>
      </c>
      <c r="W326" s="348"/>
      <c r="X326" s="318" t="str">
        <f t="shared" si="6"/>
        <v/>
      </c>
      <c r="Y326" s="370" t="e">
        <f t="shared" si="7"/>
        <v>#VALUE!</v>
      </c>
      <c r="Z326" s="343" t="s">
        <v>85</v>
      </c>
      <c r="AA326" s="345">
        <v>0.01</v>
      </c>
      <c r="AB326" s="352">
        <f t="shared" si="8"/>
        <v>2.0249999999999999E-3</v>
      </c>
      <c r="AC326" s="353"/>
      <c r="AD326" s="354"/>
      <c r="AE326" s="378" t="str">
        <f t="shared" si="21"/>
        <v/>
      </c>
      <c r="AF326" s="329"/>
      <c r="AG326" s="358"/>
      <c r="AH326" s="356" t="str">
        <f t="shared" si="22"/>
        <v/>
      </c>
      <c r="AI326" s="329"/>
      <c r="AJ326" s="329"/>
      <c r="AK326" s="356">
        <f t="shared" si="11"/>
        <v>0</v>
      </c>
      <c r="AL326" s="357"/>
      <c r="AM326" s="358"/>
      <c r="AN326" s="356">
        <f t="shared" si="12"/>
        <v>0</v>
      </c>
      <c r="AO326" s="329"/>
      <c r="AP326" s="358"/>
      <c r="AQ326" s="359">
        <f t="shared" si="13"/>
        <v>0</v>
      </c>
      <c r="AR326" s="360"/>
      <c r="AS326" s="358"/>
      <c r="AT326" s="356">
        <f t="shared" si="14"/>
        <v>0</v>
      </c>
      <c r="AU326" s="329"/>
      <c r="AV326" s="358"/>
      <c r="AW326" s="359">
        <f t="shared" si="15"/>
        <v>0</v>
      </c>
      <c r="AX326" s="329"/>
      <c r="AY326" s="358"/>
      <c r="AZ326" s="359">
        <f t="shared" si="16"/>
        <v>0</v>
      </c>
      <c r="BA326" s="329">
        <f>IF('Degrémont Entrée'!K326="",,('Degrémont Entrée'!K326-I326)/'Degrémont Entrée'!K326*100)</f>
        <v>92.568597560975604</v>
      </c>
      <c r="BB326" s="329">
        <f>IF('Degrémont Entrée'!G326="",,('Degrémont Entrée'!G326-G326)/'Degrémont Entrée'!G326*100)</f>
        <v>99.602972814394676</v>
      </c>
      <c r="BC326" s="329">
        <f>IF('Degrémont Entrée'!S326="",,('Degrémont Entrée'!S326-M326)/'Degrémont Entrée'!S326*100)</f>
        <v>98.384892086330936</v>
      </c>
      <c r="BD326" s="361">
        <f ca="1">IFERROR(__xludf.DUMMYFUNCTION("""COMPUTED_VALUE"""),52.2249999999999)</f>
        <v>52.224999999999902</v>
      </c>
      <c r="BE326" s="362"/>
      <c r="BF326" s="363"/>
      <c r="BG326" s="363"/>
      <c r="BH326" s="338">
        <f t="shared" si="17"/>
        <v>0</v>
      </c>
      <c r="BI326" s="364"/>
      <c r="BJ326" s="365"/>
      <c r="BK326" s="371">
        <f>'Degrémont Entrée'!BH326</f>
        <v>0</v>
      </c>
      <c r="BL326" s="372">
        <f>'Degrémont Entrée'!BI326</f>
        <v>0</v>
      </c>
    </row>
    <row r="327" spans="1:64" ht="15.75" customHeight="1" outlineLevel="1">
      <c r="A327" s="337">
        <f t="shared" si="18"/>
        <v>43779</v>
      </c>
      <c r="B327" s="338">
        <f>'Degrémont Entrée'!B327</f>
        <v>0</v>
      </c>
      <c r="C327" s="338"/>
      <c r="D327" s="388"/>
      <c r="E327" s="368"/>
      <c r="F327" s="357"/>
      <c r="G327" s="329">
        <f t="shared" si="0"/>
        <v>0</v>
      </c>
      <c r="H327" s="338"/>
      <c r="I327" s="346"/>
      <c r="J327" s="344">
        <f t="shared" si="2"/>
        <v>0</v>
      </c>
      <c r="K327" s="343">
        <v>1</v>
      </c>
      <c r="L327" s="329"/>
      <c r="M327" s="346" t="str">
        <f t="shared" si="3"/>
        <v/>
      </c>
      <c r="N327" s="338" t="e">
        <f t="shared" si="4"/>
        <v>#VALUE!</v>
      </c>
      <c r="O327" s="368"/>
      <c r="P327" s="347">
        <f t="shared" si="19"/>
        <v>0</v>
      </c>
      <c r="Q327" s="348"/>
      <c r="R327" s="369"/>
      <c r="S327" s="349">
        <f t="shared" si="20"/>
        <v>0</v>
      </c>
      <c r="T327" s="348"/>
      <c r="U327" s="369"/>
      <c r="V327" s="349">
        <f t="shared" si="5"/>
        <v>0</v>
      </c>
      <c r="W327" s="348"/>
      <c r="X327" s="318" t="str">
        <f t="shared" si="6"/>
        <v/>
      </c>
      <c r="Y327" s="370" t="e">
        <f t="shared" si="7"/>
        <v>#VALUE!</v>
      </c>
      <c r="Z327" s="346"/>
      <c r="AA327" s="329"/>
      <c r="AB327" s="352">
        <f t="shared" si="8"/>
        <v>0</v>
      </c>
      <c r="AC327" s="353"/>
      <c r="AD327" s="354"/>
      <c r="AE327" s="378" t="str">
        <f t="shared" si="21"/>
        <v/>
      </c>
      <c r="AF327" s="329"/>
      <c r="AG327" s="358"/>
      <c r="AH327" s="356" t="str">
        <f t="shared" si="22"/>
        <v/>
      </c>
      <c r="AI327" s="329"/>
      <c r="AJ327" s="329"/>
      <c r="AK327" s="356">
        <f t="shared" si="11"/>
        <v>0</v>
      </c>
      <c r="AL327" s="357"/>
      <c r="AM327" s="358"/>
      <c r="AN327" s="356">
        <f t="shared" si="12"/>
        <v>0</v>
      </c>
      <c r="AO327" s="329"/>
      <c r="AP327" s="358"/>
      <c r="AQ327" s="359">
        <f t="shared" si="13"/>
        <v>0</v>
      </c>
      <c r="AR327" s="360"/>
      <c r="AS327" s="358"/>
      <c r="AT327" s="356">
        <f t="shared" si="14"/>
        <v>0</v>
      </c>
      <c r="AU327" s="329"/>
      <c r="AV327" s="358"/>
      <c r="AW327" s="359">
        <f t="shared" si="15"/>
        <v>0</v>
      </c>
      <c r="AX327" s="329"/>
      <c r="AY327" s="358"/>
      <c r="AZ327" s="359">
        <f t="shared" si="16"/>
        <v>0</v>
      </c>
      <c r="BA327" s="329" t="e">
        <f>IF('Degrémont Entrée'!K327="",,('Degrémont Entrée'!K327-I327)/'Degrémont Entrée'!K327*100)</f>
        <v>#DIV/0!</v>
      </c>
      <c r="BB327" s="329" t="e">
        <f>IF('Degrémont Entrée'!G327="",,('Degrémont Entrée'!G327-G327)/'Degrémont Entrée'!G327*100)</f>
        <v>#DIV/0!</v>
      </c>
      <c r="BC327" s="329">
        <f>IF('Degrémont Entrée'!S327="",,('Degrémont Entrée'!S327-M327)/'Degrémont Entrée'!S327*100)</f>
        <v>0</v>
      </c>
      <c r="BD327" s="361" t="str">
        <f ca="1">IFERROR(__xludf.DUMMYFUNCTION("""COMPUTED_VALUE"""),"#DIV/0!")</f>
        <v>#DIV/0!</v>
      </c>
      <c r="BE327" s="362"/>
      <c r="BF327" s="363"/>
      <c r="BG327" s="363"/>
      <c r="BH327" s="338">
        <f t="shared" si="17"/>
        <v>0</v>
      </c>
      <c r="BI327" s="364"/>
      <c r="BJ327" s="365"/>
      <c r="BK327" s="366">
        <f>'Degrémont Entrée'!BH327</f>
        <v>0</v>
      </c>
      <c r="BL327" s="367">
        <f>'Degrémont Entrée'!BI327</f>
        <v>0</v>
      </c>
    </row>
    <row r="328" spans="1:64" ht="14.25" outlineLevel="1">
      <c r="A328" s="337">
        <f t="shared" si="18"/>
        <v>43780</v>
      </c>
      <c r="B328" s="338">
        <f>'Degrémont Entrée'!B328</f>
        <v>0</v>
      </c>
      <c r="C328" s="338"/>
      <c r="D328" s="388"/>
      <c r="E328" s="368"/>
      <c r="F328" s="357"/>
      <c r="G328" s="329">
        <f t="shared" si="0"/>
        <v>0</v>
      </c>
      <c r="H328" s="338"/>
      <c r="I328" s="346"/>
      <c r="J328" s="344">
        <f t="shared" si="2"/>
        <v>0</v>
      </c>
      <c r="K328" s="343">
        <v>1</v>
      </c>
      <c r="L328" s="329"/>
      <c r="M328" s="346" t="str">
        <f t="shared" si="3"/>
        <v/>
      </c>
      <c r="N328" s="338" t="e">
        <f t="shared" si="4"/>
        <v>#VALUE!</v>
      </c>
      <c r="O328" s="368"/>
      <c r="P328" s="347">
        <f t="shared" si="19"/>
        <v>0</v>
      </c>
      <c r="Q328" s="348"/>
      <c r="R328" s="369"/>
      <c r="S328" s="349">
        <f t="shared" si="20"/>
        <v>0</v>
      </c>
      <c r="T328" s="348"/>
      <c r="U328" s="369"/>
      <c r="V328" s="349">
        <f t="shared" si="5"/>
        <v>0</v>
      </c>
      <c r="W328" s="348"/>
      <c r="X328" s="318" t="str">
        <f t="shared" si="6"/>
        <v/>
      </c>
      <c r="Y328" s="370" t="e">
        <f t="shared" si="7"/>
        <v>#VALUE!</v>
      </c>
      <c r="Z328" s="346"/>
      <c r="AA328" s="329"/>
      <c r="AB328" s="352">
        <f t="shared" si="8"/>
        <v>0</v>
      </c>
      <c r="AC328" s="353"/>
      <c r="AD328" s="354"/>
      <c r="AE328" s="378" t="str">
        <f t="shared" si="21"/>
        <v/>
      </c>
      <c r="AF328" s="329"/>
      <c r="AG328" s="358"/>
      <c r="AH328" s="356" t="str">
        <f t="shared" si="22"/>
        <v/>
      </c>
      <c r="AI328" s="329"/>
      <c r="AJ328" s="329"/>
      <c r="AK328" s="356">
        <f t="shared" si="11"/>
        <v>0</v>
      </c>
      <c r="AL328" s="357"/>
      <c r="AM328" s="358"/>
      <c r="AN328" s="356">
        <f t="shared" si="12"/>
        <v>0</v>
      </c>
      <c r="AO328" s="329"/>
      <c r="AP328" s="358"/>
      <c r="AQ328" s="359">
        <f t="shared" si="13"/>
        <v>0</v>
      </c>
      <c r="AR328" s="360"/>
      <c r="AS328" s="358"/>
      <c r="AT328" s="356">
        <f t="shared" si="14"/>
        <v>0</v>
      </c>
      <c r="AU328" s="329"/>
      <c r="AV328" s="358"/>
      <c r="AW328" s="359">
        <f t="shared" si="15"/>
        <v>0</v>
      </c>
      <c r="AX328" s="329"/>
      <c r="AY328" s="358"/>
      <c r="AZ328" s="359">
        <f t="shared" si="16"/>
        <v>0</v>
      </c>
      <c r="BA328" s="329" t="e">
        <f>IF('Degrémont Entrée'!K328="",,('Degrémont Entrée'!K328-I328)/'Degrémont Entrée'!K328*100)</f>
        <v>#DIV/0!</v>
      </c>
      <c r="BB328" s="329" t="e">
        <f>IF('Degrémont Entrée'!G328="",,('Degrémont Entrée'!G328-G328)/'Degrémont Entrée'!G328*100)</f>
        <v>#DIV/0!</v>
      </c>
      <c r="BC328" s="329">
        <f>IF('Degrémont Entrée'!S328="",,('Degrémont Entrée'!S328-M328)/'Degrémont Entrée'!S328*100)</f>
        <v>0</v>
      </c>
      <c r="BD328" s="361" t="str">
        <f ca="1">IFERROR(__xludf.DUMMYFUNCTION("""COMPUTED_VALUE"""),"#DIV/0!")</f>
        <v>#DIV/0!</v>
      </c>
      <c r="BE328" s="362"/>
      <c r="BF328" s="363"/>
      <c r="BG328" s="363"/>
      <c r="BH328" s="338">
        <f t="shared" si="17"/>
        <v>0</v>
      </c>
      <c r="BI328" s="364"/>
      <c r="BJ328" s="365"/>
      <c r="BK328" s="371">
        <f>'Degrémont Entrée'!BH328</f>
        <v>0</v>
      </c>
      <c r="BL328" s="372">
        <f>'Degrémont Entrée'!BI328</f>
        <v>0</v>
      </c>
    </row>
    <row r="329" spans="1:64" ht="15.75" customHeight="1" outlineLevel="1">
      <c r="A329" s="337">
        <f t="shared" si="18"/>
        <v>43781</v>
      </c>
      <c r="B329" s="338">
        <f>'Degrémont Entrée'!B329</f>
        <v>0</v>
      </c>
      <c r="C329" s="338"/>
      <c r="D329" s="388"/>
      <c r="E329" s="368"/>
      <c r="F329" s="357"/>
      <c r="G329" s="329">
        <f t="shared" si="0"/>
        <v>0</v>
      </c>
      <c r="H329" s="338"/>
      <c r="I329" s="346"/>
      <c r="J329" s="344">
        <f t="shared" si="2"/>
        <v>0</v>
      </c>
      <c r="K329" s="343">
        <v>1</v>
      </c>
      <c r="L329" s="329"/>
      <c r="M329" s="346" t="str">
        <f t="shared" si="3"/>
        <v/>
      </c>
      <c r="N329" s="338" t="e">
        <f t="shared" si="4"/>
        <v>#VALUE!</v>
      </c>
      <c r="O329" s="341">
        <v>7.7</v>
      </c>
      <c r="P329" s="347">
        <f t="shared" si="19"/>
        <v>0</v>
      </c>
      <c r="Q329" s="348"/>
      <c r="R329" s="369"/>
      <c r="S329" s="349">
        <f t="shared" si="20"/>
        <v>0</v>
      </c>
      <c r="T329" s="348"/>
      <c r="U329" s="369"/>
      <c r="V329" s="349">
        <f t="shared" si="5"/>
        <v>0</v>
      </c>
      <c r="W329" s="348"/>
      <c r="X329" s="318">
        <f t="shared" si="6"/>
        <v>7.7</v>
      </c>
      <c r="Y329" s="370">
        <f t="shared" si="7"/>
        <v>0</v>
      </c>
      <c r="Z329" s="346"/>
      <c r="AA329" s="329"/>
      <c r="AB329" s="352">
        <f t="shared" si="8"/>
        <v>0</v>
      </c>
      <c r="AC329" s="385" t="s">
        <v>85</v>
      </c>
      <c r="AD329" s="377">
        <v>5.0000000000000001E-3</v>
      </c>
      <c r="AE329" s="378">
        <f t="shared" si="21"/>
        <v>7.26E-3</v>
      </c>
      <c r="AF329" s="329"/>
      <c r="AG329" s="355">
        <v>0.24</v>
      </c>
      <c r="AH329" s="356">
        <f t="shared" si="22"/>
        <v>0.69695999999999991</v>
      </c>
      <c r="AI329" s="329"/>
      <c r="AJ329" s="345">
        <v>0.13</v>
      </c>
      <c r="AK329" s="356">
        <f t="shared" si="11"/>
        <v>0</v>
      </c>
      <c r="AL329" s="342" t="s">
        <v>85</v>
      </c>
      <c r="AM329" s="355">
        <v>0.03</v>
      </c>
      <c r="AN329" s="356">
        <f t="shared" si="12"/>
        <v>0</v>
      </c>
      <c r="AO329" s="329"/>
      <c r="AP329" s="355">
        <v>0.08</v>
      </c>
      <c r="AQ329" s="359">
        <f t="shared" si="13"/>
        <v>0</v>
      </c>
      <c r="AR329" s="360"/>
      <c r="AS329" s="355">
        <v>0.09</v>
      </c>
      <c r="AT329" s="356">
        <f t="shared" si="14"/>
        <v>0</v>
      </c>
      <c r="AU329" s="329"/>
      <c r="AV329" s="355">
        <v>0.15</v>
      </c>
      <c r="AW329" s="359">
        <f t="shared" si="15"/>
        <v>0</v>
      </c>
      <c r="AX329" s="345" t="s">
        <v>85</v>
      </c>
      <c r="AY329" s="355">
        <v>2E-3</v>
      </c>
      <c r="AZ329" s="359">
        <f t="shared" si="16"/>
        <v>0</v>
      </c>
      <c r="BA329" s="329" t="e">
        <f>IF('Degrémont Entrée'!K329="",,('Degrémont Entrée'!K329-I329)/'Degrémont Entrée'!K329*100)</f>
        <v>#DIV/0!</v>
      </c>
      <c r="BB329" s="329" t="e">
        <f>IF('Degrémont Entrée'!G329="",,('Degrémont Entrée'!G329-G329)/'Degrémont Entrée'!G329*100)</f>
        <v>#DIV/0!</v>
      </c>
      <c r="BC329" s="329">
        <f>IF('Degrémont Entrée'!S329="",,('Degrémont Entrée'!S329-M329)/'Degrémont Entrée'!S329*100)</f>
        <v>0</v>
      </c>
      <c r="BD329" s="361" t="str">
        <f ca="1">IFERROR(__xludf.DUMMYFUNCTION("""COMPUTED_VALUE"""),"#DIV/0!")</f>
        <v>#DIV/0!</v>
      </c>
      <c r="BE329" s="362"/>
      <c r="BF329" s="363"/>
      <c r="BG329" s="363"/>
      <c r="BH329" s="338">
        <f t="shared" si="17"/>
        <v>0</v>
      </c>
      <c r="BI329" s="364"/>
      <c r="BJ329" s="365"/>
      <c r="BK329" s="366" t="str">
        <f>'Degrémont Entrée'!BH329</f>
        <v>Application Avis du 21/08/2019 pour Lq plus restrictive que l'AP</v>
      </c>
      <c r="BL329" s="367">
        <f>'Degrémont Entrée'!BI329</f>
        <v>0</v>
      </c>
    </row>
    <row r="330" spans="1:64" ht="14.25" outlineLevel="1">
      <c r="A330" s="337">
        <f t="shared" si="18"/>
        <v>43782</v>
      </c>
      <c r="B330" s="339">
        <f>'Degrémont Entrée'!B330</f>
        <v>58</v>
      </c>
      <c r="C330" s="339">
        <v>8.5399999999999991</v>
      </c>
      <c r="D330" s="340">
        <v>89.1</v>
      </c>
      <c r="E330" s="341">
        <v>92.8</v>
      </c>
      <c r="F330" s="342">
        <v>200</v>
      </c>
      <c r="G330" s="329">
        <f t="shared" si="0"/>
        <v>18.500000000000014</v>
      </c>
      <c r="H330" s="338"/>
      <c r="I330" s="343">
        <v>483</v>
      </c>
      <c r="J330" s="344">
        <f t="shared" si="2"/>
        <v>28.013999999999999</v>
      </c>
      <c r="K330" s="343">
        <v>1</v>
      </c>
      <c r="L330" s="345">
        <v>0.98</v>
      </c>
      <c r="M330" s="346">
        <f t="shared" si="3"/>
        <v>0.98</v>
      </c>
      <c r="N330" s="338">
        <f t="shared" si="4"/>
        <v>5.6839999999999995E-2</v>
      </c>
      <c r="O330" s="368"/>
      <c r="P330" s="347">
        <f t="shared" si="19"/>
        <v>0</v>
      </c>
      <c r="Q330" s="348"/>
      <c r="R330" s="369"/>
      <c r="S330" s="349">
        <f t="shared" si="20"/>
        <v>0</v>
      </c>
      <c r="T330" s="348"/>
      <c r="U330" s="369"/>
      <c r="V330" s="349">
        <f t="shared" si="5"/>
        <v>0</v>
      </c>
      <c r="W330" s="348"/>
      <c r="X330" s="318" t="str">
        <f t="shared" si="6"/>
        <v/>
      </c>
      <c r="Y330" s="370" t="e">
        <f t="shared" si="7"/>
        <v>#VALUE!</v>
      </c>
      <c r="Z330" s="343" t="s">
        <v>85</v>
      </c>
      <c r="AA330" s="345">
        <v>0.01</v>
      </c>
      <c r="AB330" s="352">
        <f t="shared" si="8"/>
        <v>2.9E-4</v>
      </c>
      <c r="AC330" s="353"/>
      <c r="AD330" s="354"/>
      <c r="AE330" s="378" t="str">
        <f t="shared" si="21"/>
        <v/>
      </c>
      <c r="AF330" s="329"/>
      <c r="AG330" s="358"/>
      <c r="AH330" s="356" t="str">
        <f t="shared" si="22"/>
        <v/>
      </c>
      <c r="AI330" s="329"/>
      <c r="AJ330" s="329"/>
      <c r="AK330" s="356">
        <f t="shared" si="11"/>
        <v>0</v>
      </c>
      <c r="AL330" s="357"/>
      <c r="AM330" s="358"/>
      <c r="AN330" s="356">
        <f t="shared" si="12"/>
        <v>0</v>
      </c>
      <c r="AO330" s="329"/>
      <c r="AP330" s="358"/>
      <c r="AQ330" s="359">
        <f t="shared" si="13"/>
        <v>0</v>
      </c>
      <c r="AR330" s="360"/>
      <c r="AS330" s="358"/>
      <c r="AT330" s="356">
        <f t="shared" si="14"/>
        <v>0</v>
      </c>
      <c r="AU330" s="329"/>
      <c r="AV330" s="358"/>
      <c r="AW330" s="359">
        <f t="shared" si="15"/>
        <v>0</v>
      </c>
      <c r="AX330" s="329"/>
      <c r="AY330" s="358"/>
      <c r="AZ330" s="359">
        <f t="shared" si="16"/>
        <v>0</v>
      </c>
      <c r="BA330" s="329">
        <f>IF('Degrémont Entrée'!K330="",,('Degrémont Entrée'!K330-I330)/'Degrémont Entrée'!K330*100)</f>
        <v>94.101843936988644</v>
      </c>
      <c r="BB330" s="329">
        <f>IF('Degrémont Entrée'!G330="",,('Degrémont Entrée'!G330-G330)/'Degrémont Entrée'!G330*100)</f>
        <v>99.826127819548873</v>
      </c>
      <c r="BC330" s="329">
        <f>IF('Degrémont Entrée'!S330="",,('Degrémont Entrée'!S330-M330)/'Degrémont Entrée'!S330*100)</f>
        <v>99.735135135135138</v>
      </c>
      <c r="BD330" s="361">
        <f ca="1">IFERROR(__xludf.DUMMYFUNCTION("""COMPUTED_VALUE"""),52.225)</f>
        <v>52.225000000000001</v>
      </c>
      <c r="BE330" s="362"/>
      <c r="BF330" s="363"/>
      <c r="BG330" s="363"/>
      <c r="BH330" s="338">
        <f t="shared" si="17"/>
        <v>0</v>
      </c>
      <c r="BI330" s="364"/>
      <c r="BJ330" s="365"/>
      <c r="BK330" s="371">
        <f>'Degrémont Entrée'!BH330</f>
        <v>0</v>
      </c>
      <c r="BL330" s="372">
        <f>'Degrémont Entrée'!BI330</f>
        <v>0</v>
      </c>
    </row>
    <row r="331" spans="1:64" ht="15.75" customHeight="1" outlineLevel="1">
      <c r="A331" s="337">
        <f t="shared" si="18"/>
        <v>43783</v>
      </c>
      <c r="B331" s="339">
        <f>'Degrémont Entrée'!B331</f>
        <v>279</v>
      </c>
      <c r="C331" s="339">
        <v>7.73</v>
      </c>
      <c r="D331" s="340">
        <v>88.1</v>
      </c>
      <c r="E331" s="341">
        <v>94.8</v>
      </c>
      <c r="F331" s="342">
        <v>200</v>
      </c>
      <c r="G331" s="329">
        <f t="shared" si="0"/>
        <v>33.500000000000014</v>
      </c>
      <c r="H331" s="338"/>
      <c r="I331" s="343">
        <v>569</v>
      </c>
      <c r="J331" s="344">
        <f t="shared" si="2"/>
        <v>158.751</v>
      </c>
      <c r="K331" s="343">
        <v>1</v>
      </c>
      <c r="L331" s="345">
        <v>1.81</v>
      </c>
      <c r="M331" s="346">
        <f t="shared" si="3"/>
        <v>1.81</v>
      </c>
      <c r="N331" s="338">
        <f t="shared" si="4"/>
        <v>0.50499000000000005</v>
      </c>
      <c r="O331" s="368"/>
      <c r="P331" s="347">
        <f t="shared" si="19"/>
        <v>0</v>
      </c>
      <c r="Q331" s="348"/>
      <c r="R331" s="369"/>
      <c r="S331" s="349">
        <f t="shared" si="20"/>
        <v>0</v>
      </c>
      <c r="T331" s="348"/>
      <c r="U331" s="369"/>
      <c r="V331" s="349">
        <f t="shared" si="5"/>
        <v>0</v>
      </c>
      <c r="W331" s="348"/>
      <c r="X331" s="318" t="str">
        <f t="shared" si="6"/>
        <v/>
      </c>
      <c r="Y331" s="370" t="e">
        <f t="shared" si="7"/>
        <v>#VALUE!</v>
      </c>
      <c r="Z331" s="343" t="s">
        <v>85</v>
      </c>
      <c r="AA331" s="345">
        <v>0.01</v>
      </c>
      <c r="AB331" s="352">
        <f t="shared" si="8"/>
        <v>1.395E-3</v>
      </c>
      <c r="AC331" s="353"/>
      <c r="AD331" s="354"/>
      <c r="AE331" s="378" t="str">
        <f t="shared" si="21"/>
        <v/>
      </c>
      <c r="AF331" s="329"/>
      <c r="AG331" s="358"/>
      <c r="AH331" s="356" t="str">
        <f t="shared" si="22"/>
        <v/>
      </c>
      <c r="AI331" s="329"/>
      <c r="AJ331" s="329"/>
      <c r="AK331" s="356">
        <f t="shared" si="11"/>
        <v>0</v>
      </c>
      <c r="AL331" s="357"/>
      <c r="AM331" s="358"/>
      <c r="AN331" s="356">
        <f t="shared" si="12"/>
        <v>0</v>
      </c>
      <c r="AO331" s="329"/>
      <c r="AP331" s="358"/>
      <c r="AQ331" s="359">
        <f t="shared" si="13"/>
        <v>0</v>
      </c>
      <c r="AR331" s="360"/>
      <c r="AS331" s="358"/>
      <c r="AT331" s="356">
        <f t="shared" si="14"/>
        <v>0</v>
      </c>
      <c r="AU331" s="329"/>
      <c r="AV331" s="358"/>
      <c r="AW331" s="359">
        <f t="shared" si="15"/>
        <v>0</v>
      </c>
      <c r="AX331" s="329"/>
      <c r="AY331" s="358"/>
      <c r="AZ331" s="359">
        <f t="shared" si="16"/>
        <v>0</v>
      </c>
      <c r="BA331" s="329">
        <f>IF('Degrémont Entrée'!K331="",,('Degrémont Entrée'!K331-I331)/'Degrémont Entrée'!K331*100)</f>
        <v>94.781252866183621</v>
      </c>
      <c r="BB331" s="329">
        <f>IF('Degrémont Entrée'!G331="",,('Degrémont Entrée'!G331-G331)/'Degrémont Entrée'!G331*100)</f>
        <v>99.743532206969377</v>
      </c>
      <c r="BC331" s="329">
        <f>IF('Degrémont Entrée'!S331="",,('Degrémont Entrée'!S331-M331)/'Degrémont Entrée'!S331*100)</f>
        <v>99.469208211143695</v>
      </c>
      <c r="BD331" s="361">
        <f ca="1">IFERROR(__xludf.DUMMYFUNCTION("""COMPUTED_VALUE"""),52.075)</f>
        <v>52.075000000000003</v>
      </c>
      <c r="BE331" s="386">
        <v>21.853200000000001</v>
      </c>
      <c r="BF331" s="387">
        <v>35.126100000000001</v>
      </c>
      <c r="BG331" s="387">
        <v>29.002300000000002</v>
      </c>
      <c r="BH331" s="338">
        <f t="shared" si="17"/>
        <v>53.86238124298383</v>
      </c>
      <c r="BI331" s="364"/>
      <c r="BJ331" s="365"/>
      <c r="BK331" s="366">
        <f>'Degrémont Entrée'!BH331</f>
        <v>0</v>
      </c>
      <c r="BL331" s="367">
        <f>'Degrémont Entrée'!BI331</f>
        <v>0</v>
      </c>
    </row>
    <row r="332" spans="1:64" ht="14.25" outlineLevel="1">
      <c r="A332" s="337">
        <f t="shared" si="18"/>
        <v>43784</v>
      </c>
      <c r="B332" s="338">
        <f>'Degrémont Entrée'!B332</f>
        <v>405</v>
      </c>
      <c r="C332" s="338"/>
      <c r="D332" s="388"/>
      <c r="E332" s="368"/>
      <c r="F332" s="357"/>
      <c r="G332" s="329">
        <f t="shared" si="0"/>
        <v>0</v>
      </c>
      <c r="H332" s="338"/>
      <c r="I332" s="346"/>
      <c r="J332" s="344">
        <f t="shared" si="2"/>
        <v>0</v>
      </c>
      <c r="K332" s="343">
        <v>1</v>
      </c>
      <c r="L332" s="329"/>
      <c r="M332" s="346" t="str">
        <f t="shared" si="3"/>
        <v/>
      </c>
      <c r="N332" s="338" t="e">
        <f t="shared" si="4"/>
        <v>#VALUE!</v>
      </c>
      <c r="O332" s="368"/>
      <c r="P332" s="347">
        <f t="shared" si="19"/>
        <v>0</v>
      </c>
      <c r="Q332" s="348"/>
      <c r="R332" s="369"/>
      <c r="S332" s="349">
        <f t="shared" si="20"/>
        <v>0</v>
      </c>
      <c r="T332" s="348"/>
      <c r="U332" s="369"/>
      <c r="V332" s="349">
        <f t="shared" si="5"/>
        <v>0</v>
      </c>
      <c r="W332" s="348"/>
      <c r="X332" s="318" t="str">
        <f t="shared" si="6"/>
        <v/>
      </c>
      <c r="Y332" s="370" t="e">
        <f t="shared" si="7"/>
        <v>#VALUE!</v>
      </c>
      <c r="Z332" s="346"/>
      <c r="AA332" s="329"/>
      <c r="AB332" s="352">
        <f t="shared" si="8"/>
        <v>0</v>
      </c>
      <c r="AC332" s="353"/>
      <c r="AD332" s="354"/>
      <c r="AE332" s="378" t="str">
        <f t="shared" si="21"/>
        <v/>
      </c>
      <c r="AF332" s="329"/>
      <c r="AG332" s="358"/>
      <c r="AH332" s="356" t="str">
        <f t="shared" si="22"/>
        <v/>
      </c>
      <c r="AI332" s="329"/>
      <c r="AJ332" s="329"/>
      <c r="AK332" s="356">
        <f t="shared" si="11"/>
        <v>0</v>
      </c>
      <c r="AL332" s="357"/>
      <c r="AM332" s="358"/>
      <c r="AN332" s="356">
        <f t="shared" si="12"/>
        <v>0</v>
      </c>
      <c r="AO332" s="329"/>
      <c r="AP332" s="358"/>
      <c r="AQ332" s="359">
        <f t="shared" si="13"/>
        <v>0</v>
      </c>
      <c r="AR332" s="360"/>
      <c r="AS332" s="358"/>
      <c r="AT332" s="356">
        <f t="shared" si="14"/>
        <v>0</v>
      </c>
      <c r="AU332" s="329"/>
      <c r="AV332" s="358"/>
      <c r="AW332" s="359">
        <f t="shared" si="15"/>
        <v>0</v>
      </c>
      <c r="AX332" s="329"/>
      <c r="AY332" s="358"/>
      <c r="AZ332" s="359">
        <f t="shared" si="16"/>
        <v>0</v>
      </c>
      <c r="BA332" s="329" t="e">
        <f>IF('Degrémont Entrée'!K332="",,('Degrémont Entrée'!K332-I332)/'Degrémont Entrée'!K332*100)</f>
        <v>#DIV/0!</v>
      </c>
      <c r="BB332" s="329" t="e">
        <f>IF('Degrémont Entrée'!G332="",,('Degrémont Entrée'!G332-G332)/'Degrémont Entrée'!G332*100)</f>
        <v>#DIV/0!</v>
      </c>
      <c r="BC332" s="329">
        <f>IF('Degrémont Entrée'!S332="",,('Degrémont Entrée'!S332-M332)/'Degrémont Entrée'!S332*100)</f>
        <v>0</v>
      </c>
      <c r="BD332" s="361">
        <f ca="1">IFERROR(__xludf.DUMMYFUNCTION("""COMPUTED_VALUE"""),52.1)</f>
        <v>52.1</v>
      </c>
      <c r="BE332" s="362"/>
      <c r="BF332" s="363"/>
      <c r="BG332" s="363"/>
      <c r="BH332" s="338">
        <f t="shared" si="17"/>
        <v>0</v>
      </c>
      <c r="BI332" s="364"/>
      <c r="BJ332" s="365"/>
      <c r="BK332" s="371">
        <f>'Degrémont Entrée'!BH332</f>
        <v>0</v>
      </c>
      <c r="BL332" s="372">
        <f>'Degrémont Entrée'!BI332</f>
        <v>0</v>
      </c>
    </row>
    <row r="333" spans="1:64" ht="15.75" customHeight="1" outlineLevel="1">
      <c r="A333" s="337">
        <f t="shared" si="18"/>
        <v>43785</v>
      </c>
      <c r="B333" s="338">
        <f>'Degrémont Entrée'!B333</f>
        <v>0</v>
      </c>
      <c r="C333" s="338"/>
      <c r="D333" s="388"/>
      <c r="E333" s="368"/>
      <c r="F333" s="357"/>
      <c r="G333" s="329">
        <f t="shared" si="0"/>
        <v>0</v>
      </c>
      <c r="H333" s="338"/>
      <c r="I333" s="346"/>
      <c r="J333" s="344">
        <f t="shared" si="2"/>
        <v>0</v>
      </c>
      <c r="K333" s="343">
        <v>1</v>
      </c>
      <c r="L333" s="329"/>
      <c r="M333" s="346" t="str">
        <f t="shared" si="3"/>
        <v/>
      </c>
      <c r="N333" s="338" t="e">
        <f t="shared" si="4"/>
        <v>#VALUE!</v>
      </c>
      <c r="O333" s="368"/>
      <c r="P333" s="347">
        <f t="shared" si="19"/>
        <v>0</v>
      </c>
      <c r="Q333" s="348"/>
      <c r="R333" s="369"/>
      <c r="S333" s="349">
        <f t="shared" si="20"/>
        <v>0</v>
      </c>
      <c r="T333" s="348"/>
      <c r="U333" s="369"/>
      <c r="V333" s="349">
        <f t="shared" si="5"/>
        <v>0</v>
      </c>
      <c r="W333" s="348"/>
      <c r="X333" s="318" t="str">
        <f t="shared" si="6"/>
        <v/>
      </c>
      <c r="Y333" s="370" t="e">
        <f t="shared" si="7"/>
        <v>#VALUE!</v>
      </c>
      <c r="Z333" s="346"/>
      <c r="AA333" s="329"/>
      <c r="AB333" s="352">
        <f t="shared" si="8"/>
        <v>0</v>
      </c>
      <c r="AC333" s="353"/>
      <c r="AD333" s="354"/>
      <c r="AE333" s="378" t="str">
        <f t="shared" si="21"/>
        <v/>
      </c>
      <c r="AF333" s="329"/>
      <c r="AG333" s="358"/>
      <c r="AH333" s="356" t="str">
        <f t="shared" si="22"/>
        <v/>
      </c>
      <c r="AI333" s="329"/>
      <c r="AJ333" s="329"/>
      <c r="AK333" s="356">
        <f t="shared" si="11"/>
        <v>0</v>
      </c>
      <c r="AL333" s="357"/>
      <c r="AM333" s="358"/>
      <c r="AN333" s="356">
        <f t="shared" si="12"/>
        <v>0</v>
      </c>
      <c r="AO333" s="329"/>
      <c r="AP333" s="358"/>
      <c r="AQ333" s="359">
        <f t="shared" si="13"/>
        <v>0</v>
      </c>
      <c r="AR333" s="360"/>
      <c r="AS333" s="358"/>
      <c r="AT333" s="356">
        <f t="shared" si="14"/>
        <v>0</v>
      </c>
      <c r="AU333" s="329"/>
      <c r="AV333" s="358"/>
      <c r="AW333" s="359">
        <f t="shared" si="15"/>
        <v>0</v>
      </c>
      <c r="AX333" s="329"/>
      <c r="AY333" s="358"/>
      <c r="AZ333" s="359">
        <f t="shared" si="16"/>
        <v>0</v>
      </c>
      <c r="BA333" s="329" t="e">
        <f>IF('Degrémont Entrée'!K333="",,('Degrémont Entrée'!K333-I333)/'Degrémont Entrée'!K333*100)</f>
        <v>#DIV/0!</v>
      </c>
      <c r="BB333" s="329" t="e">
        <f>IF('Degrémont Entrée'!G333="",,('Degrémont Entrée'!G333-G333)/'Degrémont Entrée'!G333*100)</f>
        <v>#DIV/0!</v>
      </c>
      <c r="BC333" s="329">
        <f>IF('Degrémont Entrée'!S333="",,('Degrémont Entrée'!S333-M333)/'Degrémont Entrée'!S333*100)</f>
        <v>0</v>
      </c>
      <c r="BD333" s="361" t="str">
        <f ca="1">IFERROR(__xludf.DUMMYFUNCTION("""COMPUTED_VALUE"""),"#DIV/0!")</f>
        <v>#DIV/0!</v>
      </c>
      <c r="BE333" s="362"/>
      <c r="BF333" s="363"/>
      <c r="BG333" s="363"/>
      <c r="BH333" s="338">
        <f t="shared" si="17"/>
        <v>0</v>
      </c>
      <c r="BI333" s="364"/>
      <c r="BJ333" s="365"/>
      <c r="BK333" s="366">
        <f>'Degrémont Entrée'!BH333</f>
        <v>0</v>
      </c>
      <c r="BL333" s="367">
        <f>'Degrémont Entrée'!BI333</f>
        <v>0</v>
      </c>
    </row>
    <row r="334" spans="1:64" ht="14.25" outlineLevel="1">
      <c r="A334" s="337">
        <f t="shared" si="18"/>
        <v>43786</v>
      </c>
      <c r="B334" s="338">
        <f>'Degrémont Entrée'!B334</f>
        <v>380</v>
      </c>
      <c r="C334" s="338"/>
      <c r="D334" s="388"/>
      <c r="E334" s="368"/>
      <c r="F334" s="357"/>
      <c r="G334" s="329">
        <f t="shared" si="0"/>
        <v>0</v>
      </c>
      <c r="H334" s="338"/>
      <c r="I334" s="346"/>
      <c r="J334" s="344">
        <f t="shared" si="2"/>
        <v>0</v>
      </c>
      <c r="K334" s="343">
        <v>1</v>
      </c>
      <c r="L334" s="329"/>
      <c r="M334" s="346" t="str">
        <f t="shared" si="3"/>
        <v/>
      </c>
      <c r="N334" s="338" t="e">
        <f t="shared" si="4"/>
        <v>#VALUE!</v>
      </c>
      <c r="O334" s="368"/>
      <c r="P334" s="347">
        <f t="shared" si="19"/>
        <v>0</v>
      </c>
      <c r="Q334" s="348"/>
      <c r="R334" s="369"/>
      <c r="S334" s="349">
        <f t="shared" si="20"/>
        <v>0</v>
      </c>
      <c r="T334" s="348"/>
      <c r="U334" s="369"/>
      <c r="V334" s="349">
        <f t="shared" si="5"/>
        <v>0</v>
      </c>
      <c r="W334" s="348"/>
      <c r="X334" s="318" t="str">
        <f t="shared" si="6"/>
        <v/>
      </c>
      <c r="Y334" s="370" t="e">
        <f t="shared" si="7"/>
        <v>#VALUE!</v>
      </c>
      <c r="Z334" s="346"/>
      <c r="AA334" s="329"/>
      <c r="AB334" s="352">
        <f t="shared" si="8"/>
        <v>0</v>
      </c>
      <c r="AC334" s="353"/>
      <c r="AD334" s="354"/>
      <c r="AE334" s="378" t="str">
        <f t="shared" si="21"/>
        <v/>
      </c>
      <c r="AF334" s="329"/>
      <c r="AG334" s="358"/>
      <c r="AH334" s="356" t="str">
        <f t="shared" si="22"/>
        <v/>
      </c>
      <c r="AI334" s="329"/>
      <c r="AJ334" s="329"/>
      <c r="AK334" s="356">
        <f t="shared" si="11"/>
        <v>0</v>
      </c>
      <c r="AL334" s="357"/>
      <c r="AM334" s="358"/>
      <c r="AN334" s="356">
        <f t="shared" si="12"/>
        <v>0</v>
      </c>
      <c r="AO334" s="329"/>
      <c r="AP334" s="358"/>
      <c r="AQ334" s="359">
        <f t="shared" si="13"/>
        <v>0</v>
      </c>
      <c r="AR334" s="360"/>
      <c r="AS334" s="358"/>
      <c r="AT334" s="356">
        <f t="shared" si="14"/>
        <v>0</v>
      </c>
      <c r="AU334" s="329"/>
      <c r="AV334" s="358"/>
      <c r="AW334" s="359">
        <f t="shared" si="15"/>
        <v>0</v>
      </c>
      <c r="AX334" s="329"/>
      <c r="AY334" s="358"/>
      <c r="AZ334" s="359">
        <f t="shared" si="16"/>
        <v>0</v>
      </c>
      <c r="BA334" s="329" t="e">
        <f>IF('Degrémont Entrée'!K334="",,('Degrémont Entrée'!K334-I334)/'Degrémont Entrée'!K334*100)</f>
        <v>#DIV/0!</v>
      </c>
      <c r="BB334" s="329" t="e">
        <f>IF('Degrémont Entrée'!G334="",,('Degrémont Entrée'!G334-G334)/'Degrémont Entrée'!G334*100)</f>
        <v>#DIV/0!</v>
      </c>
      <c r="BC334" s="329">
        <f>IF('Degrémont Entrée'!S334="",,('Degrémont Entrée'!S334-M334)/'Degrémont Entrée'!S334*100)</f>
        <v>0</v>
      </c>
      <c r="BD334" s="361" t="str">
        <f ca="1">IFERROR(__xludf.DUMMYFUNCTION("""COMPUTED_VALUE"""),"#DIV/0!")</f>
        <v>#DIV/0!</v>
      </c>
      <c r="BE334" s="362"/>
      <c r="BF334" s="363"/>
      <c r="BG334" s="363"/>
      <c r="BH334" s="338">
        <f t="shared" si="17"/>
        <v>0</v>
      </c>
      <c r="BI334" s="364"/>
      <c r="BJ334" s="365"/>
      <c r="BK334" s="371">
        <f>'Degrémont Entrée'!BH334</f>
        <v>0</v>
      </c>
      <c r="BL334" s="372">
        <f>'Degrémont Entrée'!BI334</f>
        <v>0</v>
      </c>
    </row>
    <row r="335" spans="1:64" ht="15.75" customHeight="1" outlineLevel="1">
      <c r="A335" s="337">
        <f t="shared" si="18"/>
        <v>43787</v>
      </c>
      <c r="B335" s="338">
        <f>'Degrémont Entrée'!B335</f>
        <v>0</v>
      </c>
      <c r="C335" s="338"/>
      <c r="D335" s="388"/>
      <c r="E335" s="368"/>
      <c r="F335" s="357"/>
      <c r="G335" s="329">
        <f t="shared" si="0"/>
        <v>0</v>
      </c>
      <c r="H335" s="338"/>
      <c r="I335" s="346"/>
      <c r="J335" s="344">
        <f t="shared" si="2"/>
        <v>0</v>
      </c>
      <c r="K335" s="343">
        <v>1</v>
      </c>
      <c r="L335" s="329"/>
      <c r="M335" s="346" t="str">
        <f t="shared" si="3"/>
        <v/>
      </c>
      <c r="N335" s="338" t="e">
        <f t="shared" si="4"/>
        <v>#VALUE!</v>
      </c>
      <c r="O335" s="368"/>
      <c r="P335" s="347">
        <f t="shared" si="19"/>
        <v>0</v>
      </c>
      <c r="Q335" s="348"/>
      <c r="R335" s="369"/>
      <c r="S335" s="349">
        <f t="shared" si="20"/>
        <v>0</v>
      </c>
      <c r="T335" s="348"/>
      <c r="U335" s="369"/>
      <c r="V335" s="349">
        <f t="shared" si="5"/>
        <v>0</v>
      </c>
      <c r="W335" s="348"/>
      <c r="X335" s="318" t="str">
        <f t="shared" si="6"/>
        <v/>
      </c>
      <c r="Y335" s="370" t="e">
        <f t="shared" si="7"/>
        <v>#VALUE!</v>
      </c>
      <c r="Z335" s="346"/>
      <c r="AA335" s="329"/>
      <c r="AB335" s="352">
        <f t="shared" si="8"/>
        <v>0</v>
      </c>
      <c r="AC335" s="353"/>
      <c r="AD335" s="354"/>
      <c r="AE335" s="378" t="str">
        <f t="shared" si="21"/>
        <v/>
      </c>
      <c r="AF335" s="329"/>
      <c r="AG335" s="358"/>
      <c r="AH335" s="356" t="str">
        <f t="shared" si="22"/>
        <v/>
      </c>
      <c r="AI335" s="329"/>
      <c r="AJ335" s="329"/>
      <c r="AK335" s="356">
        <f t="shared" si="11"/>
        <v>0</v>
      </c>
      <c r="AL335" s="357"/>
      <c r="AM335" s="358"/>
      <c r="AN335" s="356">
        <f t="shared" si="12"/>
        <v>0</v>
      </c>
      <c r="AO335" s="329"/>
      <c r="AP335" s="358"/>
      <c r="AQ335" s="359">
        <f t="shared" si="13"/>
        <v>0</v>
      </c>
      <c r="AR335" s="360"/>
      <c r="AS335" s="358"/>
      <c r="AT335" s="356">
        <f t="shared" si="14"/>
        <v>0</v>
      </c>
      <c r="AU335" s="329"/>
      <c r="AV335" s="358"/>
      <c r="AW335" s="359">
        <f t="shared" si="15"/>
        <v>0</v>
      </c>
      <c r="AX335" s="329"/>
      <c r="AY335" s="358"/>
      <c r="AZ335" s="359">
        <f t="shared" si="16"/>
        <v>0</v>
      </c>
      <c r="BA335" s="329" t="e">
        <f>IF('Degrémont Entrée'!K335="",,('Degrémont Entrée'!K335-I335)/'Degrémont Entrée'!K335*100)</f>
        <v>#DIV/0!</v>
      </c>
      <c r="BB335" s="329" t="e">
        <f>IF('Degrémont Entrée'!G335="",,('Degrémont Entrée'!G335-G335)/'Degrémont Entrée'!G335*100)</f>
        <v>#DIV/0!</v>
      </c>
      <c r="BC335" s="329">
        <f>IF('Degrémont Entrée'!S335="",,('Degrémont Entrée'!S335-M335)/'Degrémont Entrée'!S335*100)</f>
        <v>0</v>
      </c>
      <c r="BD335" s="361" t="str">
        <f ca="1">IFERROR(__xludf.DUMMYFUNCTION("""COMPUTED_VALUE"""),"#DIV/0!")</f>
        <v>#DIV/0!</v>
      </c>
      <c r="BE335" s="362"/>
      <c r="BF335" s="363"/>
      <c r="BG335" s="363"/>
      <c r="BH335" s="338">
        <f t="shared" si="17"/>
        <v>0</v>
      </c>
      <c r="BI335" s="364"/>
      <c r="BJ335" s="365"/>
      <c r="BK335" s="366">
        <f>'Degrémont Entrée'!BH335</f>
        <v>0</v>
      </c>
      <c r="BL335" s="367">
        <f>'Degrémont Entrée'!BI335</f>
        <v>0</v>
      </c>
    </row>
    <row r="336" spans="1:64" ht="14.25" outlineLevel="1">
      <c r="A336" s="337">
        <f t="shared" si="18"/>
        <v>43788</v>
      </c>
      <c r="B336" s="339">
        <f>'Degrémont Entrée'!B336</f>
        <v>572</v>
      </c>
      <c r="C336" s="339">
        <v>8.7899999999999991</v>
      </c>
      <c r="D336" s="340">
        <v>88.3</v>
      </c>
      <c r="E336" s="341">
        <v>95.5</v>
      </c>
      <c r="F336" s="342">
        <v>150</v>
      </c>
      <c r="G336" s="329">
        <f t="shared" si="0"/>
        <v>48.000000000000021</v>
      </c>
      <c r="H336" s="338"/>
      <c r="I336" s="343">
        <v>1114</v>
      </c>
      <c r="J336" s="344">
        <f t="shared" si="2"/>
        <v>637.20799999999997</v>
      </c>
      <c r="K336" s="343">
        <v>1</v>
      </c>
      <c r="L336" s="345">
        <v>3.12</v>
      </c>
      <c r="M336" s="346">
        <f t="shared" si="3"/>
        <v>3.12</v>
      </c>
      <c r="N336" s="338">
        <f t="shared" si="4"/>
        <v>1.78464</v>
      </c>
      <c r="O336" s="341">
        <v>24</v>
      </c>
      <c r="P336" s="347">
        <f t="shared" si="19"/>
        <v>13.728</v>
      </c>
      <c r="Q336" s="348"/>
      <c r="R336" s="369"/>
      <c r="S336" s="349">
        <f t="shared" si="20"/>
        <v>0</v>
      </c>
      <c r="T336" s="348"/>
      <c r="U336" s="369"/>
      <c r="V336" s="349">
        <f t="shared" si="5"/>
        <v>0</v>
      </c>
      <c r="W336" s="348"/>
      <c r="X336" s="318">
        <f t="shared" si="6"/>
        <v>24</v>
      </c>
      <c r="Y336" s="370">
        <f t="shared" si="7"/>
        <v>13.728</v>
      </c>
      <c r="Z336" s="343" t="s">
        <v>85</v>
      </c>
      <c r="AA336" s="345">
        <v>0.01</v>
      </c>
      <c r="AB336" s="352">
        <f t="shared" si="8"/>
        <v>2.8599999999999997E-3</v>
      </c>
      <c r="AC336" s="385" t="s">
        <v>85</v>
      </c>
      <c r="AD336" s="377">
        <v>0.01</v>
      </c>
      <c r="AE336" s="378">
        <f t="shared" si="21"/>
        <v>8.4700000000000001E-3</v>
      </c>
      <c r="AF336" s="329"/>
      <c r="AG336" s="355">
        <v>0.52</v>
      </c>
      <c r="AH336" s="356">
        <f t="shared" si="22"/>
        <v>0.88088</v>
      </c>
      <c r="AI336" s="329"/>
      <c r="AJ336" s="345">
        <v>0.49</v>
      </c>
      <c r="AK336" s="356">
        <f t="shared" si="11"/>
        <v>0.28027999999999997</v>
      </c>
      <c r="AL336" s="357"/>
      <c r="AM336" s="355">
        <v>0.04</v>
      </c>
      <c r="AN336" s="356">
        <f t="shared" si="12"/>
        <v>2.2879999999999998E-2</v>
      </c>
      <c r="AO336" s="329"/>
      <c r="AP336" s="355">
        <v>0.15</v>
      </c>
      <c r="AQ336" s="359">
        <f t="shared" si="13"/>
        <v>8.5800000000000001E-2</v>
      </c>
      <c r="AR336" s="360"/>
      <c r="AS336" s="355">
        <v>0.34</v>
      </c>
      <c r="AT336" s="356">
        <f t="shared" si="14"/>
        <v>0.19448000000000001</v>
      </c>
      <c r="AU336" s="329"/>
      <c r="AV336" s="355">
        <v>0.03</v>
      </c>
      <c r="AW336" s="359">
        <f t="shared" si="15"/>
        <v>1.7160000000000002E-2</v>
      </c>
      <c r="AX336" s="345" t="s">
        <v>85</v>
      </c>
      <c r="AY336" s="355">
        <v>2E-3</v>
      </c>
      <c r="AZ336" s="359">
        <f t="shared" si="16"/>
        <v>5.7200000000000003E-4</v>
      </c>
      <c r="BA336" s="329">
        <f>IF('Degrémont Entrée'!K336="",,('Degrémont Entrée'!K336-I336)/'Degrémont Entrée'!K336*100)</f>
        <v>98.958868774474524</v>
      </c>
      <c r="BB336" s="329">
        <f>IF('Degrémont Entrée'!G336="",,('Degrémont Entrée'!G336-G336)/'Degrémont Entrée'!G336*100)</f>
        <v>99.667896678966798</v>
      </c>
      <c r="BC336" s="329">
        <f>IF('Degrémont Entrée'!S336="",,('Degrémont Entrée'!S336-M336)/'Degrémont Entrée'!S336*100)</f>
        <v>99.060240963855421</v>
      </c>
      <c r="BD336" s="361">
        <f ca="1">IFERROR(__xludf.DUMMYFUNCTION("""COMPUTED_VALUE"""),52.9833333333333)</f>
        <v>52.983333333333299</v>
      </c>
      <c r="BE336" s="362"/>
      <c r="BF336" s="363"/>
      <c r="BG336" s="363"/>
      <c r="BH336" s="338">
        <f t="shared" si="17"/>
        <v>0</v>
      </c>
      <c r="BI336" s="364"/>
      <c r="BJ336" s="365"/>
      <c r="BK336" s="371">
        <f>'Degrémont Entrée'!BH336</f>
        <v>0</v>
      </c>
      <c r="BL336" s="372">
        <f>'Degrémont Entrée'!BI336</f>
        <v>0</v>
      </c>
    </row>
    <row r="337" spans="1:64" ht="15.75" customHeight="1" outlineLevel="1">
      <c r="A337" s="337">
        <f t="shared" si="18"/>
        <v>43789</v>
      </c>
      <c r="B337" s="339">
        <f>'Degrémont Entrée'!B337</f>
        <v>813</v>
      </c>
      <c r="C337" s="339">
        <v>8.76</v>
      </c>
      <c r="D337" s="340">
        <v>87.9</v>
      </c>
      <c r="E337" s="341">
        <v>93.4</v>
      </c>
      <c r="F337" s="342">
        <v>150</v>
      </c>
      <c r="G337" s="329">
        <f t="shared" si="0"/>
        <v>36.666666666666664</v>
      </c>
      <c r="H337" s="338"/>
      <c r="I337" s="343">
        <v>695</v>
      </c>
      <c r="J337" s="344">
        <f t="shared" si="2"/>
        <v>565.03499999999997</v>
      </c>
      <c r="K337" s="343">
        <v>1</v>
      </c>
      <c r="L337" s="345">
        <v>1.78</v>
      </c>
      <c r="M337" s="346">
        <f t="shared" si="3"/>
        <v>1.78</v>
      </c>
      <c r="N337" s="338">
        <f t="shared" si="4"/>
        <v>1.4471400000000001</v>
      </c>
      <c r="O337" s="368"/>
      <c r="P337" s="347">
        <f t="shared" si="19"/>
        <v>0</v>
      </c>
      <c r="Q337" s="348"/>
      <c r="R337" s="369"/>
      <c r="S337" s="349">
        <f t="shared" si="20"/>
        <v>0</v>
      </c>
      <c r="T337" s="348"/>
      <c r="U337" s="369"/>
      <c r="V337" s="349">
        <f t="shared" si="5"/>
        <v>0</v>
      </c>
      <c r="W337" s="348"/>
      <c r="X337" s="318" t="str">
        <f t="shared" si="6"/>
        <v/>
      </c>
      <c r="Y337" s="370" t="e">
        <f t="shared" si="7"/>
        <v>#VALUE!</v>
      </c>
      <c r="Z337" s="343" t="s">
        <v>85</v>
      </c>
      <c r="AA337" s="345">
        <v>0.01</v>
      </c>
      <c r="AB337" s="352">
        <f t="shared" si="8"/>
        <v>4.065E-3</v>
      </c>
      <c r="AC337" s="353"/>
      <c r="AD337" s="354"/>
      <c r="AE337" s="378" t="str">
        <f t="shared" si="21"/>
        <v/>
      </c>
      <c r="AF337" s="329"/>
      <c r="AG337" s="358"/>
      <c r="AH337" s="356" t="str">
        <f t="shared" si="22"/>
        <v/>
      </c>
      <c r="AI337" s="329"/>
      <c r="AJ337" s="329"/>
      <c r="AK337" s="356">
        <f t="shared" si="11"/>
        <v>0</v>
      </c>
      <c r="AL337" s="357"/>
      <c r="AM337" s="358"/>
      <c r="AN337" s="356">
        <f t="shared" si="12"/>
        <v>0</v>
      </c>
      <c r="AO337" s="329"/>
      <c r="AP337" s="358"/>
      <c r="AQ337" s="359">
        <f t="shared" si="13"/>
        <v>0</v>
      </c>
      <c r="AR337" s="360"/>
      <c r="AS337" s="358"/>
      <c r="AT337" s="356">
        <f t="shared" si="14"/>
        <v>0</v>
      </c>
      <c r="AU337" s="329"/>
      <c r="AV337" s="358"/>
      <c r="AW337" s="359">
        <f t="shared" si="15"/>
        <v>0</v>
      </c>
      <c r="AX337" s="329"/>
      <c r="AY337" s="358"/>
      <c r="AZ337" s="359">
        <f t="shared" si="16"/>
        <v>0</v>
      </c>
      <c r="BA337" s="329">
        <f>IF('Degrémont Entrée'!K337="",,('Degrémont Entrée'!K337-I337)/'Degrémont Entrée'!K337*100)</f>
        <v>92.66335902037369</v>
      </c>
      <c r="BB337" s="329">
        <f>IF('Degrémont Entrée'!G337="",,('Degrémont Entrée'!G337-G337)/'Degrémont Entrée'!G337*100)</f>
        <v>99.688208616780045</v>
      </c>
      <c r="BC337" s="329">
        <f>IF('Degrémont Entrée'!S337="",,('Degrémont Entrée'!S337-M337)/'Degrémont Entrée'!S337*100)</f>
        <v>99.442006269592483</v>
      </c>
      <c r="BD337" s="361">
        <f ca="1">IFERROR(__xludf.DUMMYFUNCTION("""COMPUTED_VALUE"""),53.3833333333333)</f>
        <v>53.383333333333297</v>
      </c>
      <c r="BE337" s="362"/>
      <c r="BF337" s="363"/>
      <c r="BG337" s="363"/>
      <c r="BH337" s="338">
        <f t="shared" si="17"/>
        <v>0</v>
      </c>
      <c r="BI337" s="364"/>
      <c r="BJ337" s="365"/>
      <c r="BK337" s="366">
        <f>'Degrémont Entrée'!BH337</f>
        <v>0</v>
      </c>
      <c r="BL337" s="367">
        <f>'Degrémont Entrée'!BI337</f>
        <v>0</v>
      </c>
    </row>
    <row r="338" spans="1:64" ht="14.25" outlineLevel="1">
      <c r="A338" s="337">
        <f t="shared" si="18"/>
        <v>43790</v>
      </c>
      <c r="B338" s="339">
        <f>'Degrémont Entrée'!B338</f>
        <v>972</v>
      </c>
      <c r="C338" s="339">
        <v>8.89</v>
      </c>
      <c r="D338" s="340">
        <v>87.3</v>
      </c>
      <c r="E338" s="341">
        <v>90.8</v>
      </c>
      <c r="F338" s="342">
        <v>150</v>
      </c>
      <c r="G338" s="329">
        <f t="shared" si="0"/>
        <v>23.333333333333332</v>
      </c>
      <c r="H338" s="338"/>
      <c r="I338" s="343">
        <v>359</v>
      </c>
      <c r="J338" s="344">
        <f t="shared" si="2"/>
        <v>348.94799999999998</v>
      </c>
      <c r="K338" s="343">
        <v>1</v>
      </c>
      <c r="L338" s="345">
        <v>1.07</v>
      </c>
      <c r="M338" s="346">
        <f t="shared" si="3"/>
        <v>1.07</v>
      </c>
      <c r="N338" s="338">
        <f t="shared" si="4"/>
        <v>1.0400399999999999</v>
      </c>
      <c r="O338" s="368"/>
      <c r="P338" s="347">
        <f t="shared" si="19"/>
        <v>0</v>
      </c>
      <c r="Q338" s="348"/>
      <c r="R338" s="369"/>
      <c r="S338" s="349">
        <f t="shared" si="20"/>
        <v>0</v>
      </c>
      <c r="T338" s="348"/>
      <c r="U338" s="369"/>
      <c r="V338" s="349">
        <f t="shared" si="5"/>
        <v>0</v>
      </c>
      <c r="W338" s="348"/>
      <c r="X338" s="318" t="str">
        <f t="shared" si="6"/>
        <v/>
      </c>
      <c r="Y338" s="370" t="e">
        <f t="shared" si="7"/>
        <v>#VALUE!</v>
      </c>
      <c r="Z338" s="343" t="s">
        <v>85</v>
      </c>
      <c r="AA338" s="345">
        <v>0.01</v>
      </c>
      <c r="AB338" s="352">
        <f t="shared" si="8"/>
        <v>4.8600000000000006E-3</v>
      </c>
      <c r="AC338" s="353"/>
      <c r="AD338" s="354"/>
      <c r="AE338" s="378" t="str">
        <f t="shared" si="21"/>
        <v/>
      </c>
      <c r="AF338" s="329"/>
      <c r="AG338" s="358"/>
      <c r="AH338" s="356" t="str">
        <f t="shared" si="22"/>
        <v/>
      </c>
      <c r="AI338" s="329"/>
      <c r="AJ338" s="329"/>
      <c r="AK338" s="356">
        <f t="shared" si="11"/>
        <v>0</v>
      </c>
      <c r="AL338" s="357"/>
      <c r="AM338" s="358"/>
      <c r="AN338" s="356">
        <f t="shared" si="12"/>
        <v>0</v>
      </c>
      <c r="AO338" s="329"/>
      <c r="AP338" s="358"/>
      <c r="AQ338" s="359">
        <f t="shared" si="13"/>
        <v>0</v>
      </c>
      <c r="AR338" s="360"/>
      <c r="AS338" s="358"/>
      <c r="AT338" s="356">
        <f t="shared" si="14"/>
        <v>0</v>
      </c>
      <c r="AU338" s="329"/>
      <c r="AV338" s="358"/>
      <c r="AW338" s="359">
        <f t="shared" si="15"/>
        <v>0</v>
      </c>
      <c r="AX338" s="329"/>
      <c r="AY338" s="358"/>
      <c r="AZ338" s="359">
        <f t="shared" si="16"/>
        <v>0</v>
      </c>
      <c r="BA338" s="329">
        <f>IF('Degrémont Entrée'!K338="",,('Degrémont Entrée'!K338-I338)/'Degrémont Entrée'!K338*100)</f>
        <v>96.308103661044839</v>
      </c>
      <c r="BB338" s="329">
        <f>IF('Degrémont Entrée'!G338="",,('Degrémont Entrée'!G338-G338)/'Degrémont Entrée'!G338*100)</f>
        <v>99.825870646766163</v>
      </c>
      <c r="BC338" s="329">
        <f>IF('Degrémont Entrée'!S338="",,('Degrémont Entrée'!S338-M338)/'Degrémont Entrée'!S338*100)</f>
        <v>99.702777777777783</v>
      </c>
      <c r="BD338" s="361">
        <f ca="1">IFERROR(__xludf.DUMMYFUNCTION("""COMPUTED_VALUE"""),53.3714285714285)</f>
        <v>53.371428571428503</v>
      </c>
      <c r="BE338" s="362"/>
      <c r="BF338" s="363"/>
      <c r="BG338" s="363"/>
      <c r="BH338" s="338">
        <f t="shared" si="17"/>
        <v>0</v>
      </c>
      <c r="BI338" s="364"/>
      <c r="BJ338" s="365"/>
      <c r="BK338" s="371">
        <f>'Degrémont Entrée'!BH338</f>
        <v>0</v>
      </c>
      <c r="BL338" s="372">
        <f>'Degrémont Entrée'!BI338</f>
        <v>0</v>
      </c>
    </row>
    <row r="339" spans="1:64" ht="15.75" customHeight="1" outlineLevel="1">
      <c r="A339" s="337">
        <f t="shared" si="18"/>
        <v>43791</v>
      </c>
      <c r="B339" s="339">
        <f>'Degrémont Entrée'!B339</f>
        <v>819</v>
      </c>
      <c r="C339" s="339">
        <v>8.91</v>
      </c>
      <c r="D339" s="340">
        <v>88.8</v>
      </c>
      <c r="E339" s="341">
        <v>92.2</v>
      </c>
      <c r="F339" s="342">
        <v>150</v>
      </c>
      <c r="G339" s="329">
        <f t="shared" si="0"/>
        <v>22.666666666666703</v>
      </c>
      <c r="H339" s="338"/>
      <c r="I339" s="343">
        <v>325</v>
      </c>
      <c r="J339" s="344">
        <f t="shared" si="2"/>
        <v>266.17500000000001</v>
      </c>
      <c r="K339" s="343">
        <v>1</v>
      </c>
      <c r="L339" s="345">
        <v>1.19</v>
      </c>
      <c r="M339" s="346">
        <f t="shared" si="3"/>
        <v>1.19</v>
      </c>
      <c r="N339" s="338">
        <f t="shared" si="4"/>
        <v>0.97460999999999987</v>
      </c>
      <c r="O339" s="368"/>
      <c r="P339" s="347">
        <f t="shared" si="19"/>
        <v>0</v>
      </c>
      <c r="Q339" s="348"/>
      <c r="R339" s="369"/>
      <c r="S339" s="349">
        <f t="shared" si="20"/>
        <v>0</v>
      </c>
      <c r="T339" s="348"/>
      <c r="U339" s="369"/>
      <c r="V339" s="349">
        <f t="shared" si="5"/>
        <v>0</v>
      </c>
      <c r="W339" s="348"/>
      <c r="X339" s="318" t="str">
        <f t="shared" si="6"/>
        <v/>
      </c>
      <c r="Y339" s="370" t="e">
        <f t="shared" si="7"/>
        <v>#VALUE!</v>
      </c>
      <c r="Z339" s="343" t="s">
        <v>85</v>
      </c>
      <c r="AA339" s="345">
        <v>0.01</v>
      </c>
      <c r="AB339" s="352">
        <f t="shared" si="8"/>
        <v>4.0949999999999997E-3</v>
      </c>
      <c r="AC339" s="353"/>
      <c r="AD339" s="354"/>
      <c r="AE339" s="378" t="str">
        <f t="shared" si="21"/>
        <v/>
      </c>
      <c r="AF339" s="329"/>
      <c r="AG339" s="358"/>
      <c r="AH339" s="356" t="str">
        <f t="shared" si="22"/>
        <v/>
      </c>
      <c r="AI339" s="329"/>
      <c r="AJ339" s="345"/>
      <c r="AK339" s="356">
        <f t="shared" si="11"/>
        <v>0</v>
      </c>
      <c r="AL339" s="357"/>
      <c r="AM339" s="358"/>
      <c r="AN339" s="356">
        <f t="shared" si="12"/>
        <v>0</v>
      </c>
      <c r="AO339" s="329"/>
      <c r="AP339" s="358"/>
      <c r="AQ339" s="359">
        <f t="shared" si="13"/>
        <v>0</v>
      </c>
      <c r="AR339" s="360"/>
      <c r="AS339" s="358"/>
      <c r="AT339" s="356">
        <f t="shared" si="14"/>
        <v>0</v>
      </c>
      <c r="AU339" s="329"/>
      <c r="AV339" s="358"/>
      <c r="AW339" s="359">
        <f t="shared" si="15"/>
        <v>0</v>
      </c>
      <c r="AX339" s="329"/>
      <c r="AY339" s="358"/>
      <c r="AZ339" s="359">
        <f t="shared" si="16"/>
        <v>0</v>
      </c>
      <c r="BA339" s="329">
        <f>IF('Degrémont Entrée'!K339="",,('Degrémont Entrée'!K339-I339)/'Degrémont Entrée'!K339*100)</f>
        <v>96.712855264488724</v>
      </c>
      <c r="BB339" s="329">
        <f>IF('Degrémont Entrée'!G339="",,('Degrémont Entrée'!G339-G339)/'Degrémont Entrée'!G339*100)</f>
        <v>99.827673593512429</v>
      </c>
      <c r="BC339" s="329">
        <f>IF('Degrémont Entrée'!S339="",,('Degrémont Entrée'!S339-M339)/'Degrémont Entrée'!S339*100)</f>
        <v>99.667597765363126</v>
      </c>
      <c r="BD339" s="361">
        <f ca="1">IFERROR(__xludf.DUMMYFUNCTION("""COMPUTED_VALUE"""),54.4666666666666)</f>
        <v>54.466666666666598</v>
      </c>
      <c r="BE339" s="362"/>
      <c r="BF339" s="363"/>
      <c r="BG339" s="363"/>
      <c r="BH339" s="338">
        <f t="shared" si="17"/>
        <v>0</v>
      </c>
      <c r="BI339" s="364"/>
      <c r="BJ339" s="365"/>
      <c r="BK339" s="366">
        <f>'Degrémont Entrée'!BH339</f>
        <v>0</v>
      </c>
      <c r="BL339" s="367">
        <f>'Degrémont Entrée'!BI339</f>
        <v>0</v>
      </c>
    </row>
    <row r="340" spans="1:64" ht="14.25" outlineLevel="1">
      <c r="A340" s="337">
        <f t="shared" si="18"/>
        <v>43792</v>
      </c>
      <c r="B340" s="339">
        <f>'Degrémont Entrée'!B340</f>
        <v>391</v>
      </c>
      <c r="C340" s="339">
        <v>8.64</v>
      </c>
      <c r="D340" s="340">
        <v>87.3</v>
      </c>
      <c r="E340" s="341">
        <v>91.5</v>
      </c>
      <c r="F340" s="342">
        <v>175</v>
      </c>
      <c r="G340" s="329">
        <f t="shared" si="0"/>
        <v>24.000000000000014</v>
      </c>
      <c r="H340" s="338"/>
      <c r="I340" s="343">
        <v>381</v>
      </c>
      <c r="J340" s="344">
        <f t="shared" si="2"/>
        <v>148.971</v>
      </c>
      <c r="K340" s="343">
        <v>1</v>
      </c>
      <c r="L340" s="345">
        <v>1.46</v>
      </c>
      <c r="M340" s="346">
        <f t="shared" si="3"/>
        <v>1.46</v>
      </c>
      <c r="N340" s="338">
        <f t="shared" si="4"/>
        <v>0.57086000000000003</v>
      </c>
      <c r="O340" s="368"/>
      <c r="P340" s="347">
        <f t="shared" si="19"/>
        <v>0</v>
      </c>
      <c r="Q340" s="348"/>
      <c r="R340" s="369"/>
      <c r="S340" s="349">
        <f t="shared" si="20"/>
        <v>0</v>
      </c>
      <c r="T340" s="348"/>
      <c r="U340" s="369"/>
      <c r="V340" s="349">
        <f t="shared" si="5"/>
        <v>0</v>
      </c>
      <c r="W340" s="348"/>
      <c r="X340" s="318" t="str">
        <f t="shared" si="6"/>
        <v/>
      </c>
      <c r="Y340" s="370" t="e">
        <f t="shared" si="7"/>
        <v>#VALUE!</v>
      </c>
      <c r="Z340" s="343" t="s">
        <v>85</v>
      </c>
      <c r="AA340" s="345">
        <v>0.01</v>
      </c>
      <c r="AB340" s="352">
        <f t="shared" si="8"/>
        <v>1.9550000000000001E-3</v>
      </c>
      <c r="AC340" s="353"/>
      <c r="AD340" s="354"/>
      <c r="AE340" s="378" t="str">
        <f t="shared" si="21"/>
        <v/>
      </c>
      <c r="AF340" s="329"/>
      <c r="AG340" s="358"/>
      <c r="AH340" s="356" t="str">
        <f t="shared" si="22"/>
        <v/>
      </c>
      <c r="AI340" s="329"/>
      <c r="AJ340" s="329"/>
      <c r="AK340" s="356">
        <f t="shared" si="11"/>
        <v>0</v>
      </c>
      <c r="AL340" s="357"/>
      <c r="AM340" s="358"/>
      <c r="AN340" s="356">
        <f t="shared" si="12"/>
        <v>0</v>
      </c>
      <c r="AO340" s="329"/>
      <c r="AP340" s="358"/>
      <c r="AQ340" s="359">
        <f t="shared" si="13"/>
        <v>0</v>
      </c>
      <c r="AR340" s="360"/>
      <c r="AS340" s="358"/>
      <c r="AT340" s="356">
        <f t="shared" si="14"/>
        <v>0</v>
      </c>
      <c r="AU340" s="329"/>
      <c r="AV340" s="358"/>
      <c r="AW340" s="359">
        <f t="shared" si="15"/>
        <v>0</v>
      </c>
      <c r="AX340" s="329"/>
      <c r="AY340" s="358"/>
      <c r="AZ340" s="359">
        <f t="shared" si="16"/>
        <v>0</v>
      </c>
      <c r="BA340" s="329">
        <f>IF('Degrémont Entrée'!K340="",,('Degrémont Entrée'!K340-I340)/'Degrémont Entrée'!K340*100)</f>
        <v>97.0469694620989</v>
      </c>
      <c r="BB340" s="329">
        <f>IF('Degrémont Entrée'!G340="",,('Degrémont Entrée'!G340-G340)/'Degrémont Entrée'!G340*100)</f>
        <v>99.88481842905135</v>
      </c>
      <c r="BC340" s="329">
        <f>IF('Degrémont Entrée'!S340="",,('Degrémont Entrée'!S340-M340)/'Degrémont Entrée'!S340*100)</f>
        <v>99.695198329853866</v>
      </c>
      <c r="BD340" s="361" t="str">
        <f ca="1">IFERROR(__xludf.DUMMYFUNCTION("""COMPUTED_VALUE"""),"#DIV/0!")</f>
        <v>#DIV/0!</v>
      </c>
      <c r="BE340" s="362"/>
      <c r="BF340" s="363"/>
      <c r="BG340" s="363"/>
      <c r="BH340" s="338">
        <f t="shared" si="17"/>
        <v>0</v>
      </c>
      <c r="BI340" s="364"/>
      <c r="BJ340" s="365"/>
      <c r="BK340" s="371">
        <f>'Degrémont Entrée'!BH340</f>
        <v>0</v>
      </c>
      <c r="BL340" s="372">
        <f>'Degrémont Entrée'!BI340</f>
        <v>0</v>
      </c>
    </row>
    <row r="341" spans="1:64" ht="15.75" customHeight="1" outlineLevel="1">
      <c r="A341" s="337">
        <f t="shared" si="18"/>
        <v>43793</v>
      </c>
      <c r="B341" s="338">
        <f>'Degrémont Entrée'!B341</f>
        <v>0</v>
      </c>
      <c r="C341" s="338"/>
      <c r="D341" s="388"/>
      <c r="E341" s="368"/>
      <c r="F341" s="357"/>
      <c r="G341" s="329">
        <f t="shared" si="0"/>
        <v>0</v>
      </c>
      <c r="H341" s="338"/>
      <c r="I341" s="346"/>
      <c r="J341" s="344">
        <f t="shared" si="2"/>
        <v>0</v>
      </c>
      <c r="K341" s="343">
        <v>1</v>
      </c>
      <c r="L341" s="329"/>
      <c r="M341" s="346" t="str">
        <f t="shared" si="3"/>
        <v/>
      </c>
      <c r="N341" s="338" t="e">
        <f t="shared" si="4"/>
        <v>#VALUE!</v>
      </c>
      <c r="O341" s="368"/>
      <c r="P341" s="347">
        <f t="shared" si="19"/>
        <v>0</v>
      </c>
      <c r="Q341" s="348"/>
      <c r="R341" s="369"/>
      <c r="S341" s="349">
        <f t="shared" si="20"/>
        <v>0</v>
      </c>
      <c r="T341" s="348"/>
      <c r="U341" s="369"/>
      <c r="V341" s="349">
        <f t="shared" si="5"/>
        <v>0</v>
      </c>
      <c r="W341" s="348"/>
      <c r="X341" s="318" t="str">
        <f t="shared" si="6"/>
        <v/>
      </c>
      <c r="Y341" s="370" t="e">
        <f t="shared" si="7"/>
        <v>#VALUE!</v>
      </c>
      <c r="Z341" s="346"/>
      <c r="AA341" s="329"/>
      <c r="AB341" s="352">
        <f t="shared" si="8"/>
        <v>0</v>
      </c>
      <c r="AC341" s="353"/>
      <c r="AD341" s="354"/>
      <c r="AE341" s="378" t="str">
        <f t="shared" si="21"/>
        <v/>
      </c>
      <c r="AF341" s="329"/>
      <c r="AG341" s="358"/>
      <c r="AH341" s="356" t="str">
        <f t="shared" si="22"/>
        <v/>
      </c>
      <c r="AI341" s="329"/>
      <c r="AJ341" s="329"/>
      <c r="AK341" s="356">
        <f t="shared" si="11"/>
        <v>0</v>
      </c>
      <c r="AL341" s="357"/>
      <c r="AM341" s="358"/>
      <c r="AN341" s="356">
        <f t="shared" si="12"/>
        <v>0</v>
      </c>
      <c r="AO341" s="329"/>
      <c r="AP341" s="358"/>
      <c r="AQ341" s="359">
        <f t="shared" si="13"/>
        <v>0</v>
      </c>
      <c r="AR341" s="360"/>
      <c r="AS341" s="358"/>
      <c r="AT341" s="356">
        <f t="shared" si="14"/>
        <v>0</v>
      </c>
      <c r="AU341" s="329"/>
      <c r="AV341" s="358"/>
      <c r="AW341" s="359">
        <f t="shared" si="15"/>
        <v>0</v>
      </c>
      <c r="AX341" s="329"/>
      <c r="AY341" s="358"/>
      <c r="AZ341" s="359">
        <f t="shared" si="16"/>
        <v>0</v>
      </c>
      <c r="BA341" s="329" t="e">
        <f>IF('Degrémont Entrée'!K341="",,('Degrémont Entrée'!K341-I341)/'Degrémont Entrée'!K341*100)</f>
        <v>#DIV/0!</v>
      </c>
      <c r="BB341" s="329" t="e">
        <f>IF('Degrémont Entrée'!G341="",,('Degrémont Entrée'!G341-G341)/'Degrémont Entrée'!G341*100)</f>
        <v>#DIV/0!</v>
      </c>
      <c r="BC341" s="329">
        <f>IF('Degrémont Entrée'!S341="",,('Degrémont Entrée'!S341-M341)/'Degrémont Entrée'!S341*100)</f>
        <v>0</v>
      </c>
      <c r="BD341" s="361" t="str">
        <f ca="1">IFERROR(__xludf.DUMMYFUNCTION("""COMPUTED_VALUE"""),"#DIV/0!")</f>
        <v>#DIV/0!</v>
      </c>
      <c r="BE341" s="362"/>
      <c r="BF341" s="363"/>
      <c r="BG341" s="363"/>
      <c r="BH341" s="338">
        <f t="shared" si="17"/>
        <v>0</v>
      </c>
      <c r="BI341" s="364"/>
      <c r="BJ341" s="365"/>
      <c r="BK341" s="366">
        <f>'Degrémont Entrée'!BH341</f>
        <v>0</v>
      </c>
      <c r="BL341" s="367">
        <f>'Degrémont Entrée'!BI341</f>
        <v>0</v>
      </c>
    </row>
    <row r="342" spans="1:64" ht="14.25" outlineLevel="1">
      <c r="A342" s="337">
        <f t="shared" si="18"/>
        <v>43794</v>
      </c>
      <c r="B342" s="339">
        <f>'Degrémont Entrée'!B342</f>
        <v>758</v>
      </c>
      <c r="C342" s="339">
        <v>9.07</v>
      </c>
      <c r="D342" s="340">
        <v>88.1</v>
      </c>
      <c r="E342" s="341">
        <v>92.5</v>
      </c>
      <c r="F342" s="342">
        <v>175</v>
      </c>
      <c r="G342" s="329">
        <f t="shared" si="0"/>
        <v>25.142857142857174</v>
      </c>
      <c r="H342" s="338"/>
      <c r="I342" s="343">
        <v>595</v>
      </c>
      <c r="J342" s="344">
        <f t="shared" si="2"/>
        <v>451.01</v>
      </c>
      <c r="K342" s="343">
        <v>1</v>
      </c>
      <c r="L342" s="345">
        <v>1.1299999999999999</v>
      </c>
      <c r="M342" s="346">
        <f t="shared" si="3"/>
        <v>1.1299999999999999</v>
      </c>
      <c r="N342" s="338">
        <f t="shared" si="4"/>
        <v>0.85653999999999997</v>
      </c>
      <c r="O342" s="368"/>
      <c r="P342" s="347">
        <f t="shared" si="19"/>
        <v>0</v>
      </c>
      <c r="Q342" s="348"/>
      <c r="R342" s="369"/>
      <c r="S342" s="349">
        <f t="shared" si="20"/>
        <v>0</v>
      </c>
      <c r="T342" s="348"/>
      <c r="U342" s="369"/>
      <c r="V342" s="349">
        <f t="shared" si="5"/>
        <v>0</v>
      </c>
      <c r="W342" s="348"/>
      <c r="X342" s="318" t="str">
        <f t="shared" si="6"/>
        <v/>
      </c>
      <c r="Y342" s="370" t="e">
        <f t="shared" si="7"/>
        <v>#VALUE!</v>
      </c>
      <c r="Z342" s="343" t="s">
        <v>85</v>
      </c>
      <c r="AA342" s="345">
        <v>0.01</v>
      </c>
      <c r="AB342" s="352">
        <f t="shared" si="8"/>
        <v>3.79E-3</v>
      </c>
      <c r="AC342" s="353"/>
      <c r="AD342" s="354"/>
      <c r="AE342" s="378" t="str">
        <f t="shared" si="21"/>
        <v/>
      </c>
      <c r="AF342" s="329"/>
      <c r="AG342" s="358"/>
      <c r="AH342" s="356" t="str">
        <f t="shared" si="22"/>
        <v/>
      </c>
      <c r="AI342" s="329"/>
      <c r="AJ342" s="329"/>
      <c r="AK342" s="356">
        <f t="shared" si="11"/>
        <v>0</v>
      </c>
      <c r="AL342" s="357"/>
      <c r="AM342" s="358"/>
      <c r="AN342" s="356">
        <f t="shared" si="12"/>
        <v>0</v>
      </c>
      <c r="AO342" s="329"/>
      <c r="AP342" s="358"/>
      <c r="AQ342" s="359">
        <f t="shared" si="13"/>
        <v>0</v>
      </c>
      <c r="AR342" s="360"/>
      <c r="AS342" s="358"/>
      <c r="AT342" s="356">
        <f t="shared" si="14"/>
        <v>0</v>
      </c>
      <c r="AU342" s="329"/>
      <c r="AV342" s="358"/>
      <c r="AW342" s="359">
        <f t="shared" si="15"/>
        <v>0</v>
      </c>
      <c r="AX342" s="329"/>
      <c r="AY342" s="358"/>
      <c r="AZ342" s="359">
        <f t="shared" si="16"/>
        <v>0</v>
      </c>
      <c r="BA342" s="329">
        <f>IF('Degrémont Entrée'!K342="",,('Degrémont Entrée'!K342-I342)/'Degrémont Entrée'!K342*100)</f>
        <v>93.053934158300251</v>
      </c>
      <c r="BB342" s="329">
        <f>IF('Degrémont Entrée'!G342="",,('Degrémont Entrée'!G342-G342)/'Degrémont Entrée'!G342*100)</f>
        <v>99.758782950340347</v>
      </c>
      <c r="BC342" s="329">
        <f>IF('Degrémont Entrée'!S342="",,('Degrémont Entrée'!S342-M342)/'Degrémont Entrée'!S342*100)</f>
        <v>99.762605042016801</v>
      </c>
      <c r="BD342" s="361">
        <f ca="1">IFERROR(__xludf.DUMMYFUNCTION("""COMPUTED_VALUE"""),52.9333333333333)</f>
        <v>52.933333333333302</v>
      </c>
      <c r="BE342" s="362"/>
      <c r="BF342" s="363"/>
      <c r="BG342" s="363"/>
      <c r="BH342" s="338">
        <f t="shared" si="17"/>
        <v>0</v>
      </c>
      <c r="BI342" s="364"/>
      <c r="BJ342" s="365"/>
      <c r="BK342" s="371">
        <f>'Degrémont Entrée'!BH342</f>
        <v>0</v>
      </c>
      <c r="BL342" s="372">
        <f>'Degrémont Entrée'!BI342</f>
        <v>0</v>
      </c>
    </row>
    <row r="343" spans="1:64" ht="15.75" customHeight="1" outlineLevel="1">
      <c r="A343" s="337">
        <f t="shared" si="18"/>
        <v>43795</v>
      </c>
      <c r="B343" s="339">
        <f>'Degrémont Entrée'!B343</f>
        <v>725</v>
      </c>
      <c r="C343" s="339">
        <v>8.98</v>
      </c>
      <c r="D343" s="340">
        <v>89.9</v>
      </c>
      <c r="E343" s="341">
        <v>93</v>
      </c>
      <c r="F343" s="342">
        <v>150</v>
      </c>
      <c r="G343" s="329">
        <f t="shared" si="0"/>
        <v>20.666666666666629</v>
      </c>
      <c r="H343" s="338"/>
      <c r="I343" s="343">
        <v>297</v>
      </c>
      <c r="J343" s="344">
        <f t="shared" si="2"/>
        <v>215.32499999999999</v>
      </c>
      <c r="K343" s="343">
        <v>1</v>
      </c>
      <c r="L343" s="345">
        <v>0.93</v>
      </c>
      <c r="M343" s="346">
        <f t="shared" si="3"/>
        <v>0.93</v>
      </c>
      <c r="N343" s="338">
        <f t="shared" si="4"/>
        <v>0.67425000000000002</v>
      </c>
      <c r="O343" s="341">
        <v>11.4</v>
      </c>
      <c r="P343" s="347">
        <f t="shared" si="19"/>
        <v>8.2650000000000006</v>
      </c>
      <c r="Q343" s="348"/>
      <c r="R343" s="369"/>
      <c r="S343" s="349">
        <f t="shared" si="20"/>
        <v>0</v>
      </c>
      <c r="T343" s="348"/>
      <c r="U343" s="369"/>
      <c r="V343" s="349">
        <f t="shared" si="5"/>
        <v>0</v>
      </c>
      <c r="W343" s="348"/>
      <c r="X343" s="318">
        <f t="shared" si="6"/>
        <v>11.4</v>
      </c>
      <c r="Y343" s="370">
        <f t="shared" si="7"/>
        <v>8.2650000000000006</v>
      </c>
      <c r="Z343" s="343" t="s">
        <v>85</v>
      </c>
      <c r="AA343" s="345">
        <v>0.01</v>
      </c>
      <c r="AB343" s="352">
        <f t="shared" si="8"/>
        <v>3.6250000000000002E-3</v>
      </c>
      <c r="AC343" s="385" t="s">
        <v>85</v>
      </c>
      <c r="AD343" s="377">
        <v>0.01</v>
      </c>
      <c r="AE343" s="378">
        <f t="shared" si="21"/>
        <v>2.239E-2</v>
      </c>
      <c r="AF343" s="329"/>
      <c r="AG343" s="355">
        <v>0.65</v>
      </c>
      <c r="AH343" s="356">
        <f t="shared" si="22"/>
        <v>2.9106999999999998</v>
      </c>
      <c r="AI343" s="329"/>
      <c r="AJ343" s="345">
        <v>0.16</v>
      </c>
      <c r="AK343" s="356">
        <f t="shared" si="11"/>
        <v>0.11600000000000001</v>
      </c>
      <c r="AL343" s="342" t="s">
        <v>85</v>
      </c>
      <c r="AM343" s="355">
        <v>0.01</v>
      </c>
      <c r="AN343" s="356">
        <f t="shared" si="12"/>
        <v>3.6250000000000002E-3</v>
      </c>
      <c r="AO343" s="329"/>
      <c r="AP343" s="355">
        <v>7.0000000000000007E-2</v>
      </c>
      <c r="AQ343" s="359">
        <f t="shared" si="13"/>
        <v>5.075000000000001E-2</v>
      </c>
      <c r="AR343" s="360"/>
      <c r="AS343" s="355">
        <v>0.01</v>
      </c>
      <c r="AT343" s="356">
        <f t="shared" si="14"/>
        <v>7.2500000000000004E-3</v>
      </c>
      <c r="AU343" s="329"/>
      <c r="AV343" s="355">
        <v>0.01</v>
      </c>
      <c r="AW343" s="359">
        <f t="shared" si="15"/>
        <v>7.2500000000000004E-3</v>
      </c>
      <c r="AX343" s="345" t="s">
        <v>85</v>
      </c>
      <c r="AY343" s="355">
        <v>2E-3</v>
      </c>
      <c r="AZ343" s="359">
        <f t="shared" si="16"/>
        <v>7.2499999999999995E-4</v>
      </c>
      <c r="BA343" s="329">
        <f>IF('Degrémont Entrée'!K343="",,('Degrémont Entrée'!K343-I343)/'Degrémont Entrée'!K343*100)</f>
        <v>94.836578581363</v>
      </c>
      <c r="BB343" s="329">
        <f>IF('Degrémont Entrée'!G343="",,('Degrémont Entrée'!G343-G343)/'Degrémont Entrée'!G343*100)</f>
        <v>99.698882952889747</v>
      </c>
      <c r="BC343" s="329">
        <f>IF('Degrémont Entrée'!S343="",,('Degrémont Entrée'!S343-M343)/'Degrémont Entrée'!S343*100)</f>
        <v>99.753968253968253</v>
      </c>
      <c r="BD343" s="361">
        <f ca="1">IFERROR(__xludf.DUMMYFUNCTION("""COMPUTED_VALUE"""),52.2571428571428)</f>
        <v>52.257142857142803</v>
      </c>
      <c r="BE343" s="362"/>
      <c r="BF343" s="363"/>
      <c r="BG343" s="363"/>
      <c r="BH343" s="338">
        <f t="shared" si="17"/>
        <v>0</v>
      </c>
      <c r="BI343" s="364"/>
      <c r="BJ343" s="365"/>
      <c r="BK343" s="366">
        <f>'Degrémont Entrée'!BH343</f>
        <v>0</v>
      </c>
      <c r="BL343" s="367">
        <f>'Degrémont Entrée'!BI343</f>
        <v>0</v>
      </c>
    </row>
    <row r="344" spans="1:64" ht="14.25" outlineLevel="1">
      <c r="A344" s="337">
        <f t="shared" si="18"/>
        <v>43796</v>
      </c>
      <c r="B344" s="339">
        <f>'Degrémont Entrée'!B344</f>
        <v>831</v>
      </c>
      <c r="C344" s="339">
        <v>9</v>
      </c>
      <c r="D344" s="340">
        <v>89.7</v>
      </c>
      <c r="E344" s="341">
        <v>92.6</v>
      </c>
      <c r="F344" s="342">
        <v>175</v>
      </c>
      <c r="G344" s="329">
        <f t="shared" si="0"/>
        <v>16.571428571428523</v>
      </c>
      <c r="H344" s="338"/>
      <c r="I344" s="343">
        <v>209</v>
      </c>
      <c r="J344" s="344">
        <f t="shared" si="2"/>
        <v>173.679</v>
      </c>
      <c r="K344" s="343">
        <v>1</v>
      </c>
      <c r="L344" s="345">
        <v>0.87</v>
      </c>
      <c r="M344" s="346">
        <f t="shared" si="3"/>
        <v>0.87</v>
      </c>
      <c r="N344" s="338">
        <f t="shared" si="4"/>
        <v>0.72297</v>
      </c>
      <c r="O344" s="368"/>
      <c r="P344" s="347">
        <f t="shared" si="19"/>
        <v>0</v>
      </c>
      <c r="Q344" s="348"/>
      <c r="R344" s="369"/>
      <c r="S344" s="349">
        <f t="shared" si="20"/>
        <v>0</v>
      </c>
      <c r="T344" s="348"/>
      <c r="U344" s="369"/>
      <c r="V344" s="349">
        <f t="shared" si="5"/>
        <v>0</v>
      </c>
      <c r="W344" s="348"/>
      <c r="X344" s="318" t="str">
        <f t="shared" si="6"/>
        <v/>
      </c>
      <c r="Y344" s="370" t="e">
        <f t="shared" si="7"/>
        <v>#VALUE!</v>
      </c>
      <c r="Z344" s="343" t="s">
        <v>85</v>
      </c>
      <c r="AA344" s="345">
        <v>0.01</v>
      </c>
      <c r="AB344" s="352">
        <f t="shared" si="8"/>
        <v>4.1549999999999998E-3</v>
      </c>
      <c r="AC344" s="353"/>
      <c r="AD344" s="354"/>
      <c r="AE344" s="378" t="str">
        <f t="shared" si="21"/>
        <v/>
      </c>
      <c r="AF344" s="329"/>
      <c r="AG344" s="358"/>
      <c r="AH344" s="356" t="str">
        <f t="shared" si="22"/>
        <v/>
      </c>
      <c r="AI344" s="329"/>
      <c r="AJ344" s="329"/>
      <c r="AK344" s="356">
        <f t="shared" si="11"/>
        <v>0</v>
      </c>
      <c r="AL344" s="357"/>
      <c r="AM344" s="358"/>
      <c r="AN344" s="356">
        <f t="shared" si="12"/>
        <v>0</v>
      </c>
      <c r="AO344" s="329"/>
      <c r="AP344" s="358"/>
      <c r="AQ344" s="359">
        <f t="shared" si="13"/>
        <v>0</v>
      </c>
      <c r="AR344" s="360"/>
      <c r="AS344" s="358"/>
      <c r="AT344" s="356">
        <f t="shared" si="14"/>
        <v>0</v>
      </c>
      <c r="AU344" s="329"/>
      <c r="AV344" s="358"/>
      <c r="AW344" s="359">
        <f t="shared" si="15"/>
        <v>0</v>
      </c>
      <c r="AX344" s="329"/>
      <c r="AY344" s="358"/>
      <c r="AZ344" s="359">
        <f t="shared" si="16"/>
        <v>0</v>
      </c>
      <c r="BA344" s="329">
        <f>IF('Degrémont Entrée'!K344="",,('Degrémont Entrée'!K344-I344)/'Degrémont Entrée'!K344*100)</f>
        <v>98.625</v>
      </c>
      <c r="BB344" s="329">
        <f>IF('Degrémont Entrée'!G344="",,('Degrémont Entrée'!G344-G344)/'Degrémont Entrée'!G344*100)</f>
        <v>99.903878024527685</v>
      </c>
      <c r="BC344" s="329">
        <f>IF('Degrémont Entrée'!S344="",,('Degrémont Entrée'!S344-M344)/'Degrémont Entrée'!S344*100)</f>
        <v>99.858766233766232</v>
      </c>
      <c r="BD344" s="361">
        <f ca="1">IFERROR(__xludf.DUMMYFUNCTION("""COMPUTED_VALUE"""),52.54)</f>
        <v>52.54</v>
      </c>
      <c r="BE344" s="362"/>
      <c r="BF344" s="363"/>
      <c r="BG344" s="363"/>
      <c r="BH344" s="338">
        <f t="shared" si="17"/>
        <v>0</v>
      </c>
      <c r="BI344" s="364"/>
      <c r="BJ344" s="365"/>
      <c r="BK344" s="371">
        <f>'Degrémont Entrée'!BH344</f>
        <v>0</v>
      </c>
      <c r="BL344" s="372">
        <f>'Degrémont Entrée'!BI344</f>
        <v>0</v>
      </c>
    </row>
    <row r="345" spans="1:64" ht="15.75" customHeight="1" outlineLevel="1">
      <c r="A345" s="337">
        <f t="shared" si="18"/>
        <v>43797</v>
      </c>
      <c r="B345" s="339">
        <f>'Degrémont Entrée'!B345</f>
        <v>772</v>
      </c>
      <c r="C345" s="339">
        <v>8.61</v>
      </c>
      <c r="D345" s="340">
        <v>87.6</v>
      </c>
      <c r="E345" s="341">
        <v>90.1</v>
      </c>
      <c r="F345" s="342">
        <v>175</v>
      </c>
      <c r="G345" s="329">
        <f t="shared" si="0"/>
        <v>14.285714285714286</v>
      </c>
      <c r="H345" s="338"/>
      <c r="I345" s="343">
        <v>170</v>
      </c>
      <c r="J345" s="344">
        <f t="shared" si="2"/>
        <v>131.24</v>
      </c>
      <c r="K345" s="343">
        <v>1</v>
      </c>
      <c r="L345" s="345">
        <v>0.7</v>
      </c>
      <c r="M345" s="346">
        <f t="shared" si="3"/>
        <v>0.7</v>
      </c>
      <c r="N345" s="338">
        <f t="shared" si="4"/>
        <v>0.54039999999999999</v>
      </c>
      <c r="O345" s="368"/>
      <c r="P345" s="347">
        <f t="shared" si="19"/>
        <v>0</v>
      </c>
      <c r="Q345" s="348"/>
      <c r="R345" s="369"/>
      <c r="S345" s="349">
        <f t="shared" si="20"/>
        <v>0</v>
      </c>
      <c r="T345" s="348"/>
      <c r="U345" s="369"/>
      <c r="V345" s="349">
        <f t="shared" si="5"/>
        <v>0</v>
      </c>
      <c r="W345" s="348"/>
      <c r="X345" s="318" t="str">
        <f t="shared" si="6"/>
        <v/>
      </c>
      <c r="Y345" s="370" t="e">
        <f t="shared" si="7"/>
        <v>#VALUE!</v>
      </c>
      <c r="Z345" s="343" t="s">
        <v>85</v>
      </c>
      <c r="AA345" s="345">
        <v>0.01</v>
      </c>
      <c r="AB345" s="352">
        <f t="shared" si="8"/>
        <v>3.8599999999999997E-3</v>
      </c>
      <c r="AC345" s="353"/>
      <c r="AD345" s="354"/>
      <c r="AE345" s="378" t="str">
        <f t="shared" si="21"/>
        <v/>
      </c>
      <c r="AF345" s="329"/>
      <c r="AG345" s="358"/>
      <c r="AH345" s="356" t="str">
        <f t="shared" si="22"/>
        <v/>
      </c>
      <c r="AI345" s="329"/>
      <c r="AJ345" s="329"/>
      <c r="AK345" s="356">
        <f t="shared" si="11"/>
        <v>0</v>
      </c>
      <c r="AL345" s="357"/>
      <c r="AM345" s="358"/>
      <c r="AN345" s="356">
        <f t="shared" si="12"/>
        <v>0</v>
      </c>
      <c r="AO345" s="329"/>
      <c r="AP345" s="358"/>
      <c r="AQ345" s="359">
        <f t="shared" si="13"/>
        <v>0</v>
      </c>
      <c r="AR345" s="360"/>
      <c r="AS345" s="355">
        <v>0.04</v>
      </c>
      <c r="AT345" s="356">
        <f t="shared" si="14"/>
        <v>3.0879999999999998E-2</v>
      </c>
      <c r="AU345" s="329"/>
      <c r="AV345" s="358"/>
      <c r="AW345" s="359">
        <f t="shared" si="15"/>
        <v>0</v>
      </c>
      <c r="AX345" s="329"/>
      <c r="AY345" s="358"/>
      <c r="AZ345" s="359">
        <f t="shared" si="16"/>
        <v>0</v>
      </c>
      <c r="BA345" s="329">
        <f>IF('Degrémont Entrée'!K345="",,('Degrémont Entrée'!K345-I345)/'Degrémont Entrée'!K345*100)</f>
        <v>98.994082840236686</v>
      </c>
      <c r="BB345" s="329">
        <f>IF('Degrémont Entrée'!G345="",,('Degrémont Entrée'!G345-G345)/'Degrémont Entrée'!G345*100)</f>
        <v>99.908895876803712</v>
      </c>
      <c r="BC345" s="329">
        <f>IF('Degrémont Entrée'!S345="",,('Degrémont Entrée'!S345-M345)/'Degrémont Entrée'!S345*100)</f>
        <v>99.886363636363626</v>
      </c>
      <c r="BD345" s="361">
        <f ca="1">IFERROR(__xludf.DUMMYFUNCTION("""COMPUTED_VALUE"""),54.3499999999999)</f>
        <v>54.349999999999902</v>
      </c>
      <c r="BE345" s="362"/>
      <c r="BF345" s="363"/>
      <c r="BG345" s="363"/>
      <c r="BH345" s="338">
        <f t="shared" si="17"/>
        <v>0</v>
      </c>
      <c r="BI345" s="364"/>
      <c r="BJ345" s="365"/>
      <c r="BK345" s="366">
        <f>'Degrémont Entrée'!BH345</f>
        <v>0</v>
      </c>
      <c r="BL345" s="367">
        <f>'Degrémont Entrée'!BI345</f>
        <v>0</v>
      </c>
    </row>
    <row r="346" spans="1:64" ht="14.25" outlineLevel="1">
      <c r="A346" s="337">
        <f t="shared" si="18"/>
        <v>43798</v>
      </c>
      <c r="B346" s="338">
        <f>'Degrémont Entrée'!B346</f>
        <v>695</v>
      </c>
      <c r="C346" s="339">
        <v>8.91</v>
      </c>
      <c r="D346" s="340">
        <v>88.3</v>
      </c>
      <c r="E346" s="341">
        <v>90.9</v>
      </c>
      <c r="F346" s="342">
        <v>150</v>
      </c>
      <c r="G346" s="329">
        <f t="shared" si="0"/>
        <v>17.333333333333393</v>
      </c>
      <c r="H346" s="338"/>
      <c r="I346" s="343">
        <v>145</v>
      </c>
      <c r="J346" s="344">
        <f t="shared" si="2"/>
        <v>100.77500000000001</v>
      </c>
      <c r="K346" s="343">
        <v>1</v>
      </c>
      <c r="L346" s="345">
        <v>0.84</v>
      </c>
      <c r="M346" s="346">
        <f t="shared" si="3"/>
        <v>0.84</v>
      </c>
      <c r="N346" s="338">
        <f t="shared" si="4"/>
        <v>0.58379999999999999</v>
      </c>
      <c r="O346" s="368"/>
      <c r="P346" s="347">
        <f t="shared" si="19"/>
        <v>0</v>
      </c>
      <c r="Q346" s="348"/>
      <c r="R346" s="369"/>
      <c r="S346" s="349">
        <f t="shared" si="20"/>
        <v>0</v>
      </c>
      <c r="T346" s="348"/>
      <c r="U346" s="369"/>
      <c r="V346" s="349">
        <f t="shared" si="5"/>
        <v>0</v>
      </c>
      <c r="W346" s="348"/>
      <c r="X346" s="318" t="str">
        <f t="shared" si="6"/>
        <v/>
      </c>
      <c r="Y346" s="370" t="e">
        <f t="shared" si="7"/>
        <v>#VALUE!</v>
      </c>
      <c r="Z346" s="343" t="s">
        <v>85</v>
      </c>
      <c r="AA346" s="345">
        <v>0.01</v>
      </c>
      <c r="AB346" s="352">
        <f t="shared" si="8"/>
        <v>3.4750000000000002E-3</v>
      </c>
      <c r="AC346" s="353"/>
      <c r="AD346" s="354"/>
      <c r="AE346" s="378" t="str">
        <f t="shared" si="21"/>
        <v/>
      </c>
      <c r="AF346" s="329"/>
      <c r="AG346" s="358"/>
      <c r="AH346" s="356" t="str">
        <f t="shared" si="22"/>
        <v/>
      </c>
      <c r="AI346" s="329"/>
      <c r="AJ346" s="329"/>
      <c r="AK346" s="356">
        <f t="shared" si="11"/>
        <v>0</v>
      </c>
      <c r="AL346" s="357"/>
      <c r="AM346" s="358"/>
      <c r="AN346" s="356">
        <f t="shared" si="12"/>
        <v>0</v>
      </c>
      <c r="AO346" s="329"/>
      <c r="AP346" s="358"/>
      <c r="AQ346" s="359">
        <f t="shared" si="13"/>
        <v>0</v>
      </c>
      <c r="AR346" s="360"/>
      <c r="AS346" s="355">
        <v>0.09</v>
      </c>
      <c r="AT346" s="356">
        <f t="shared" si="14"/>
        <v>6.2549999999999994E-2</v>
      </c>
      <c r="AU346" s="329"/>
      <c r="AV346" s="358"/>
      <c r="AW346" s="359">
        <f t="shared" si="15"/>
        <v>0</v>
      </c>
      <c r="AX346" s="329"/>
      <c r="AY346" s="358"/>
      <c r="AZ346" s="359">
        <f t="shared" si="16"/>
        <v>0</v>
      </c>
      <c r="BA346" s="329">
        <f>IF('Degrémont Entrée'!K346="",,('Degrémont Entrée'!K346-I346)/'Degrémont Entrée'!K346*100)</f>
        <v>97.634584013050571</v>
      </c>
      <c r="BB346" s="329">
        <f>IF('Degrémont Entrée'!G346="",,('Degrémont Entrée'!G346-G346)/'Degrémont Entrée'!G346*100)</f>
        <v>99.700288184438051</v>
      </c>
      <c r="BC346" s="329">
        <f>IF('Degrémont Entrée'!S346="",,('Degrémont Entrée'!S346-M346)/'Degrémont Entrée'!S346*100)</f>
        <v>99.799043062200965</v>
      </c>
      <c r="BD346" s="361">
        <f ca="1">IFERROR(__xludf.DUMMYFUNCTION("""COMPUTED_VALUE"""),56.8)</f>
        <v>56.8</v>
      </c>
      <c r="BE346" s="362"/>
      <c r="BF346" s="363"/>
      <c r="BG346" s="363"/>
      <c r="BH346" s="338">
        <f t="shared" si="17"/>
        <v>0</v>
      </c>
      <c r="BI346" s="364"/>
      <c r="BJ346" s="365"/>
      <c r="BK346" s="371">
        <f>'Degrémont Entrée'!BH346</f>
        <v>0</v>
      </c>
      <c r="BL346" s="372">
        <f>'Degrémont Entrée'!BI346</f>
        <v>0</v>
      </c>
    </row>
    <row r="347" spans="1:64" ht="15.75" customHeight="1" outlineLevel="1">
      <c r="A347" s="337">
        <f t="shared" si="18"/>
        <v>43799</v>
      </c>
      <c r="B347" s="338">
        <f>'Degrémont Entrée'!B347</f>
        <v>624</v>
      </c>
      <c r="C347" s="339">
        <v>8.69</v>
      </c>
      <c r="D347" s="340">
        <v>88.9</v>
      </c>
      <c r="E347" s="341">
        <v>91.5</v>
      </c>
      <c r="F347" s="342">
        <v>150</v>
      </c>
      <c r="G347" s="329">
        <f t="shared" si="0"/>
        <v>17.333333333333297</v>
      </c>
      <c r="H347" s="338"/>
      <c r="I347" s="343">
        <v>525</v>
      </c>
      <c r="J347" s="344">
        <f t="shared" si="2"/>
        <v>327.60000000000002</v>
      </c>
      <c r="K347" s="343">
        <v>1</v>
      </c>
      <c r="L347" s="345">
        <v>0.99</v>
      </c>
      <c r="M347" s="346">
        <f t="shared" si="3"/>
        <v>0.99</v>
      </c>
      <c r="N347" s="338">
        <f t="shared" si="4"/>
        <v>0.61775999999999998</v>
      </c>
      <c r="O347" s="368"/>
      <c r="P347" s="347">
        <f t="shared" si="19"/>
        <v>0</v>
      </c>
      <c r="Q347" s="348"/>
      <c r="R347" s="369"/>
      <c r="S347" s="349">
        <f t="shared" si="20"/>
        <v>0</v>
      </c>
      <c r="T347" s="348"/>
      <c r="U347" s="369"/>
      <c r="V347" s="349">
        <f t="shared" si="5"/>
        <v>0</v>
      </c>
      <c r="W347" s="348"/>
      <c r="X347" s="318" t="str">
        <f t="shared" si="6"/>
        <v/>
      </c>
      <c r="Y347" s="370" t="e">
        <f t="shared" si="7"/>
        <v>#VALUE!</v>
      </c>
      <c r="Z347" s="343" t="s">
        <v>85</v>
      </c>
      <c r="AA347" s="345">
        <v>0.01</v>
      </c>
      <c r="AB347" s="352">
        <f t="shared" si="8"/>
        <v>3.1199999999999999E-3</v>
      </c>
      <c r="AC347" s="353"/>
      <c r="AD347" s="354"/>
      <c r="AE347" s="378" t="str">
        <f t="shared" si="21"/>
        <v/>
      </c>
      <c r="AF347" s="329"/>
      <c r="AG347" s="358"/>
      <c r="AH347" s="356" t="str">
        <f t="shared" si="22"/>
        <v/>
      </c>
      <c r="AI347" s="329"/>
      <c r="AJ347" s="329"/>
      <c r="AK347" s="356">
        <f t="shared" si="11"/>
        <v>0</v>
      </c>
      <c r="AL347" s="357"/>
      <c r="AM347" s="358"/>
      <c r="AN347" s="356">
        <f t="shared" si="12"/>
        <v>0</v>
      </c>
      <c r="AO347" s="329"/>
      <c r="AP347" s="358"/>
      <c r="AQ347" s="359">
        <f t="shared" si="13"/>
        <v>0</v>
      </c>
      <c r="AR347" s="360"/>
      <c r="AS347" s="358"/>
      <c r="AT347" s="356">
        <f t="shared" si="14"/>
        <v>0</v>
      </c>
      <c r="AU347" s="329"/>
      <c r="AV347" s="358"/>
      <c r="AW347" s="359">
        <f t="shared" si="15"/>
        <v>0</v>
      </c>
      <c r="AX347" s="329"/>
      <c r="AY347" s="358"/>
      <c r="AZ347" s="359">
        <f t="shared" si="16"/>
        <v>0</v>
      </c>
      <c r="BA347" s="329">
        <f>IF('Degrémont Entrée'!K347="",,('Degrémont Entrée'!K347-I347)/'Degrémont Entrée'!K347*100)</f>
        <v>97.58064516129032</v>
      </c>
      <c r="BB347" s="329">
        <f>IF('Degrémont Entrée'!G347="",,('Degrémont Entrée'!G347-G347)/'Degrémont Entrée'!G347*100)</f>
        <v>99.92269956890145</v>
      </c>
      <c r="BC347" s="329">
        <f>IF('Degrémont Entrée'!S347="",,('Degrémont Entrée'!S347-M347)/'Degrémont Entrée'!S347*100)</f>
        <v>99.86056338028169</v>
      </c>
      <c r="BD347" s="361">
        <f ca="1">IFERROR(__xludf.DUMMYFUNCTION("""COMPUTED_VALUE"""),55.35)</f>
        <v>55.35</v>
      </c>
      <c r="BE347" s="362"/>
      <c r="BF347" s="363"/>
      <c r="BG347" s="363"/>
      <c r="BH347" s="338">
        <f t="shared" si="17"/>
        <v>0</v>
      </c>
      <c r="BI347" s="364"/>
      <c r="BJ347" s="365"/>
      <c r="BK347" s="366">
        <f>'Degrémont Entrée'!BH347</f>
        <v>0</v>
      </c>
      <c r="BL347" s="367">
        <f>'Degrémont Entrée'!BI347</f>
        <v>0</v>
      </c>
    </row>
    <row r="348" spans="1:64" ht="14.25" outlineLevel="1">
      <c r="A348" s="337">
        <f t="shared" si="18"/>
        <v>43800</v>
      </c>
      <c r="B348" s="338">
        <f>'Degrémont Entrée'!B348</f>
        <v>0</v>
      </c>
      <c r="C348" s="338"/>
      <c r="D348" s="388"/>
      <c r="E348" s="368"/>
      <c r="F348" s="357"/>
      <c r="G348" s="329">
        <f t="shared" si="0"/>
        <v>0</v>
      </c>
      <c r="H348" s="338"/>
      <c r="I348" s="346"/>
      <c r="J348" s="344">
        <f t="shared" si="2"/>
        <v>0</v>
      </c>
      <c r="K348" s="343">
        <v>1</v>
      </c>
      <c r="L348" s="329"/>
      <c r="M348" s="346" t="str">
        <f t="shared" si="3"/>
        <v/>
      </c>
      <c r="N348" s="338" t="e">
        <f t="shared" si="4"/>
        <v>#VALUE!</v>
      </c>
      <c r="O348" s="368"/>
      <c r="P348" s="347">
        <f t="shared" si="19"/>
        <v>0</v>
      </c>
      <c r="Q348" s="348"/>
      <c r="R348" s="369"/>
      <c r="S348" s="349">
        <f t="shared" si="20"/>
        <v>0</v>
      </c>
      <c r="T348" s="348"/>
      <c r="U348" s="369"/>
      <c r="V348" s="349">
        <f t="shared" si="5"/>
        <v>0</v>
      </c>
      <c r="W348" s="348"/>
      <c r="X348" s="318" t="str">
        <f t="shared" si="6"/>
        <v/>
      </c>
      <c r="Y348" s="370" t="e">
        <f t="shared" si="7"/>
        <v>#VALUE!</v>
      </c>
      <c r="Z348" s="346"/>
      <c r="AA348" s="329"/>
      <c r="AB348" s="352">
        <f t="shared" si="8"/>
        <v>0</v>
      </c>
      <c r="AC348" s="353"/>
      <c r="AD348" s="354"/>
      <c r="AE348" s="378" t="str">
        <f t="shared" si="21"/>
        <v/>
      </c>
      <c r="AF348" s="329"/>
      <c r="AG348" s="358"/>
      <c r="AH348" s="356" t="str">
        <f t="shared" si="22"/>
        <v/>
      </c>
      <c r="AI348" s="329"/>
      <c r="AJ348" s="329"/>
      <c r="AK348" s="356">
        <f t="shared" si="11"/>
        <v>0</v>
      </c>
      <c r="AL348" s="357"/>
      <c r="AM348" s="358"/>
      <c r="AN348" s="356">
        <f t="shared" si="12"/>
        <v>0</v>
      </c>
      <c r="AO348" s="329"/>
      <c r="AP348" s="358"/>
      <c r="AQ348" s="359">
        <f t="shared" si="13"/>
        <v>0</v>
      </c>
      <c r="AR348" s="360"/>
      <c r="AS348" s="358"/>
      <c r="AT348" s="356">
        <f t="shared" si="14"/>
        <v>0</v>
      </c>
      <c r="AU348" s="329"/>
      <c r="AV348" s="358"/>
      <c r="AW348" s="359">
        <f t="shared" si="15"/>
        <v>0</v>
      </c>
      <c r="AX348" s="329"/>
      <c r="AY348" s="358"/>
      <c r="AZ348" s="359">
        <f t="shared" si="16"/>
        <v>0</v>
      </c>
      <c r="BA348" s="329" t="e">
        <f>IF('Degrémont Entrée'!K348="",,('Degrémont Entrée'!K348-I348)/'Degrémont Entrée'!K348*100)</f>
        <v>#DIV/0!</v>
      </c>
      <c r="BB348" s="329" t="e">
        <f>IF('Degrémont Entrée'!G348="",,('Degrémont Entrée'!G348-G348)/'Degrémont Entrée'!G348*100)</f>
        <v>#DIV/0!</v>
      </c>
      <c r="BC348" s="329">
        <f>IF('Degrémont Entrée'!S348="",,('Degrémont Entrée'!S348-M348)/'Degrémont Entrée'!S348*100)</f>
        <v>0</v>
      </c>
      <c r="BD348" s="361" t="str">
        <f ca="1">IFERROR(__xludf.DUMMYFUNCTION("""COMPUTED_VALUE"""),"#DIV/0!")</f>
        <v>#DIV/0!</v>
      </c>
      <c r="BE348" s="362"/>
      <c r="BF348" s="363"/>
      <c r="BG348" s="363"/>
      <c r="BH348" s="338">
        <f t="shared" si="17"/>
        <v>0</v>
      </c>
      <c r="BI348" s="364"/>
      <c r="BJ348" s="365"/>
      <c r="BK348" s="371">
        <f>'Degrémont Entrée'!BH348</f>
        <v>0</v>
      </c>
      <c r="BL348" s="372">
        <f>'Degrémont Entrée'!BI348</f>
        <v>0</v>
      </c>
    </row>
    <row r="349" spans="1:64" ht="15.75" customHeight="1" outlineLevel="1">
      <c r="A349" s="337">
        <f t="shared" si="18"/>
        <v>43801</v>
      </c>
      <c r="B349" s="338">
        <f>'Degrémont Entrée'!B349</f>
        <v>879</v>
      </c>
      <c r="C349" s="339">
        <v>8.84</v>
      </c>
      <c r="D349" s="340">
        <v>89.7</v>
      </c>
      <c r="E349" s="341">
        <v>91.8</v>
      </c>
      <c r="F349" s="342">
        <v>155</v>
      </c>
      <c r="G349" s="329">
        <f t="shared" si="0"/>
        <v>13.548387096774158</v>
      </c>
      <c r="H349" s="338"/>
      <c r="I349" s="343">
        <v>446</v>
      </c>
      <c r="J349" s="344">
        <f t="shared" si="2"/>
        <v>392.03399999999999</v>
      </c>
      <c r="K349" s="343">
        <v>1</v>
      </c>
      <c r="L349" s="345">
        <v>0.95</v>
      </c>
      <c r="M349" s="346">
        <f t="shared" si="3"/>
        <v>0.95</v>
      </c>
      <c r="N349" s="338">
        <f t="shared" si="4"/>
        <v>0.83504999999999996</v>
      </c>
      <c r="O349" s="341">
        <v>9.8000000000000007</v>
      </c>
      <c r="P349" s="347">
        <f t="shared" si="19"/>
        <v>8.6142000000000003</v>
      </c>
      <c r="Q349" s="348"/>
      <c r="R349" s="369"/>
      <c r="S349" s="349">
        <f t="shared" si="20"/>
        <v>0</v>
      </c>
      <c r="T349" s="348"/>
      <c r="U349" s="369"/>
      <c r="V349" s="349">
        <f t="shared" si="5"/>
        <v>0</v>
      </c>
      <c r="W349" s="348"/>
      <c r="X349" s="318">
        <f t="shared" si="6"/>
        <v>9.8000000000000007</v>
      </c>
      <c r="Y349" s="370">
        <f t="shared" si="7"/>
        <v>8.6142000000000003</v>
      </c>
      <c r="Z349" s="343" t="s">
        <v>85</v>
      </c>
      <c r="AA349" s="345">
        <v>0.01</v>
      </c>
      <c r="AB349" s="352">
        <f t="shared" si="8"/>
        <v>4.3950000000000005E-3</v>
      </c>
      <c r="AC349" s="353"/>
      <c r="AD349" s="354"/>
      <c r="AE349" s="378" t="str">
        <f t="shared" si="21"/>
        <v/>
      </c>
      <c r="AF349" s="329"/>
      <c r="AG349" s="358"/>
      <c r="AH349" s="356" t="str">
        <f t="shared" si="22"/>
        <v/>
      </c>
      <c r="AI349" s="329"/>
      <c r="AJ349" s="329"/>
      <c r="AK349" s="356">
        <f t="shared" si="11"/>
        <v>0</v>
      </c>
      <c r="AL349" s="357"/>
      <c r="AM349" s="358"/>
      <c r="AN349" s="356">
        <f t="shared" si="12"/>
        <v>0</v>
      </c>
      <c r="AO349" s="329"/>
      <c r="AP349" s="358"/>
      <c r="AQ349" s="359">
        <f t="shared" si="13"/>
        <v>0</v>
      </c>
      <c r="AR349" s="360"/>
      <c r="AS349" s="358"/>
      <c r="AT349" s="356">
        <f t="shared" si="14"/>
        <v>0</v>
      </c>
      <c r="AU349" s="329"/>
      <c r="AV349" s="358"/>
      <c r="AW349" s="359">
        <f t="shared" si="15"/>
        <v>0</v>
      </c>
      <c r="AX349" s="329"/>
      <c r="AY349" s="358"/>
      <c r="AZ349" s="359">
        <f t="shared" si="16"/>
        <v>0</v>
      </c>
      <c r="BA349" s="329">
        <f>IF('Degrémont Entrée'!K349="",,('Degrémont Entrée'!K349-I349)/'Degrémont Entrée'!K349*100)</f>
        <v>93.077758808008696</v>
      </c>
      <c r="BB349" s="329">
        <f>IF('Degrémont Entrée'!G349="",,('Degrémont Entrée'!G349-G349)/'Degrémont Entrée'!G349*100)</f>
        <v>99.821418447757807</v>
      </c>
      <c r="BC349" s="329">
        <f>IF('Degrémont Entrée'!S349="",,('Degrémont Entrée'!S349-M349)/'Degrémont Entrée'!S349*100)</f>
        <v>99.774881516587683</v>
      </c>
      <c r="BD349" s="361">
        <f ca="1">IFERROR(__xludf.DUMMYFUNCTION("""COMPUTED_VALUE"""),54.2571428571428)</f>
        <v>54.257142857142803</v>
      </c>
      <c r="BE349" s="362"/>
      <c r="BF349" s="363"/>
      <c r="BG349" s="363"/>
      <c r="BH349" s="338">
        <f t="shared" si="17"/>
        <v>0</v>
      </c>
      <c r="BI349" s="364"/>
      <c r="BJ349" s="365"/>
      <c r="BK349" s="366">
        <f>'Degrémont Entrée'!BH349</f>
        <v>0</v>
      </c>
      <c r="BL349" s="367">
        <f>'Degrémont Entrée'!BI349</f>
        <v>0</v>
      </c>
    </row>
    <row r="350" spans="1:64" ht="14.25" outlineLevel="1">
      <c r="A350" s="337">
        <f t="shared" si="18"/>
        <v>43802</v>
      </c>
      <c r="B350" s="338">
        <f>'Degrémont Entrée'!B350</f>
        <v>752</v>
      </c>
      <c r="C350" s="339">
        <v>9.0299999999999994</v>
      </c>
      <c r="D350" s="340">
        <v>89.9</v>
      </c>
      <c r="E350" s="341">
        <v>92.7</v>
      </c>
      <c r="F350" s="342">
        <v>150</v>
      </c>
      <c r="G350" s="329">
        <f t="shared" si="0"/>
        <v>18.66666666666665</v>
      </c>
      <c r="H350" s="338"/>
      <c r="I350" s="343">
        <v>676</v>
      </c>
      <c r="J350" s="344">
        <f t="shared" si="2"/>
        <v>508.35199999999998</v>
      </c>
      <c r="K350" s="343">
        <v>1</v>
      </c>
      <c r="L350" s="345">
        <v>0.93</v>
      </c>
      <c r="M350" s="346">
        <f t="shared" si="3"/>
        <v>0.93</v>
      </c>
      <c r="N350" s="338">
        <f t="shared" si="4"/>
        <v>0.69935999999999998</v>
      </c>
      <c r="O350" s="341">
        <v>12.8</v>
      </c>
      <c r="P350" s="347">
        <f t="shared" si="19"/>
        <v>9.6256000000000004</v>
      </c>
      <c r="Q350" s="348"/>
      <c r="R350" s="369"/>
      <c r="S350" s="349">
        <f t="shared" si="20"/>
        <v>0</v>
      </c>
      <c r="T350" s="348"/>
      <c r="U350" s="369"/>
      <c r="V350" s="349">
        <f t="shared" si="5"/>
        <v>0</v>
      </c>
      <c r="W350" s="348"/>
      <c r="X350" s="318">
        <f t="shared" si="6"/>
        <v>12.8</v>
      </c>
      <c r="Y350" s="370">
        <f t="shared" si="7"/>
        <v>9.6256000000000004</v>
      </c>
      <c r="Z350" s="343" t="s">
        <v>85</v>
      </c>
      <c r="AA350" s="345">
        <v>0.01</v>
      </c>
      <c r="AB350" s="352">
        <f t="shared" si="8"/>
        <v>3.7600000000000003E-3</v>
      </c>
      <c r="AC350" s="385" t="s">
        <v>85</v>
      </c>
      <c r="AD350" s="377">
        <v>0.01</v>
      </c>
      <c r="AE350" s="378">
        <f t="shared" si="21"/>
        <v>2.2765000000000001E-2</v>
      </c>
      <c r="AF350" s="329"/>
      <c r="AG350" s="355">
        <v>0.45500000000000002</v>
      </c>
      <c r="AH350" s="356">
        <f t="shared" si="22"/>
        <v>2.071615</v>
      </c>
      <c r="AI350" s="329"/>
      <c r="AJ350" s="345">
        <v>0.1</v>
      </c>
      <c r="AK350" s="356">
        <f t="shared" si="11"/>
        <v>7.5200000000000003E-2</v>
      </c>
      <c r="AL350" s="342" t="s">
        <v>85</v>
      </c>
      <c r="AM350" s="355">
        <v>0.01</v>
      </c>
      <c r="AN350" s="356">
        <f t="shared" si="12"/>
        <v>3.7600000000000003E-3</v>
      </c>
      <c r="AO350" s="329"/>
      <c r="AP350" s="355">
        <v>0.12</v>
      </c>
      <c r="AQ350" s="359">
        <f t="shared" si="13"/>
        <v>9.0240000000000001E-2</v>
      </c>
      <c r="AR350" s="360"/>
      <c r="AS350" s="355">
        <v>0.08</v>
      </c>
      <c r="AT350" s="356">
        <f t="shared" si="14"/>
        <v>6.0160000000000005E-2</v>
      </c>
      <c r="AU350" s="329"/>
      <c r="AV350" s="355">
        <v>0.01</v>
      </c>
      <c r="AW350" s="359">
        <f t="shared" si="15"/>
        <v>7.5200000000000006E-3</v>
      </c>
      <c r="AX350" s="345" t="s">
        <v>85</v>
      </c>
      <c r="AY350" s="355">
        <v>2E-3</v>
      </c>
      <c r="AZ350" s="359">
        <f t="shared" si="16"/>
        <v>7.5199999999999996E-4</v>
      </c>
      <c r="BA350" s="329">
        <f>IF('Degrémont Entrée'!K350="",,('Degrémont Entrée'!K350-I350)/'Degrémont Entrée'!K350*100)</f>
        <v>92.885708271942747</v>
      </c>
      <c r="BB350" s="329">
        <f>IF('Degrémont Entrée'!G350="",,('Degrémont Entrée'!G350-G350)/'Degrémont Entrée'!G350*100)</f>
        <v>99.859225741578683</v>
      </c>
      <c r="BC350" s="329">
        <f>IF('Degrémont Entrée'!S350="",,('Degrémont Entrée'!S350-M350)/'Degrémont Entrée'!S350*100)</f>
        <v>99.833333333333343</v>
      </c>
      <c r="BD350" s="361">
        <f ca="1">IFERROR(__xludf.DUMMYFUNCTION("""COMPUTED_VALUE"""),54.0571428571428)</f>
        <v>54.0571428571428</v>
      </c>
      <c r="BE350" s="386">
        <v>21.852799999999998</v>
      </c>
      <c r="BF350" s="387">
        <v>33.937100000000001</v>
      </c>
      <c r="BG350" s="387">
        <v>26.569900000000001</v>
      </c>
      <c r="BH350" s="338">
        <f t="shared" si="17"/>
        <v>39.034946169823662</v>
      </c>
      <c r="BI350" s="364"/>
      <c r="BJ350" s="365"/>
      <c r="BK350" s="371">
        <f>'Degrémont Entrée'!BH350</f>
        <v>0</v>
      </c>
      <c r="BL350" s="372">
        <f>'Degrémont Entrée'!BI350</f>
        <v>0</v>
      </c>
    </row>
    <row r="351" spans="1:64" ht="15.75" customHeight="1" outlineLevel="1">
      <c r="A351" s="337">
        <f t="shared" si="18"/>
        <v>43803</v>
      </c>
      <c r="B351" s="338">
        <f>'Degrémont Entrée'!B351</f>
        <v>899</v>
      </c>
      <c r="C351" s="339">
        <v>9.09</v>
      </c>
      <c r="D351" s="340">
        <v>87.8</v>
      </c>
      <c r="E351" s="341">
        <v>91</v>
      </c>
      <c r="F351" s="342">
        <v>150</v>
      </c>
      <c r="G351" s="329">
        <f t="shared" si="0"/>
        <v>21.33333333333335</v>
      </c>
      <c r="H351" s="338"/>
      <c r="I351" s="343">
        <v>425</v>
      </c>
      <c r="J351" s="344">
        <f t="shared" si="2"/>
        <v>382.07499999999999</v>
      </c>
      <c r="K351" s="343">
        <v>1</v>
      </c>
      <c r="L351" s="345">
        <v>1.1299999999999999</v>
      </c>
      <c r="M351" s="346">
        <f t="shared" si="3"/>
        <v>1.1299999999999999</v>
      </c>
      <c r="N351" s="338">
        <f t="shared" si="4"/>
        <v>1.0158699999999998</v>
      </c>
      <c r="O351" s="341">
        <v>10.6</v>
      </c>
      <c r="P351" s="347">
        <f t="shared" si="19"/>
        <v>9.529399999999999</v>
      </c>
      <c r="Q351" s="348"/>
      <c r="R351" s="369"/>
      <c r="S351" s="349">
        <f t="shared" si="20"/>
        <v>0</v>
      </c>
      <c r="T351" s="348"/>
      <c r="U351" s="369"/>
      <c r="V351" s="349">
        <f t="shared" si="5"/>
        <v>0</v>
      </c>
      <c r="W351" s="348"/>
      <c r="X351" s="318">
        <f t="shared" si="6"/>
        <v>10.6</v>
      </c>
      <c r="Y351" s="370">
        <f t="shared" si="7"/>
        <v>9.529399999999999</v>
      </c>
      <c r="Z351" s="343" t="s">
        <v>85</v>
      </c>
      <c r="AA351" s="345">
        <v>0.01</v>
      </c>
      <c r="AB351" s="352">
        <f t="shared" si="8"/>
        <v>4.4949999999999999E-3</v>
      </c>
      <c r="AC351" s="353"/>
      <c r="AD351" s="354"/>
      <c r="AE351" s="378" t="str">
        <f t="shared" si="21"/>
        <v/>
      </c>
      <c r="AF351" s="329"/>
      <c r="AG351" s="358"/>
      <c r="AH351" s="356" t="str">
        <f t="shared" si="22"/>
        <v/>
      </c>
      <c r="AI351" s="329"/>
      <c r="AJ351" s="329"/>
      <c r="AK351" s="356">
        <f t="shared" si="11"/>
        <v>0</v>
      </c>
      <c r="AL351" s="357"/>
      <c r="AM351" s="358"/>
      <c r="AN351" s="356">
        <f t="shared" si="12"/>
        <v>0</v>
      </c>
      <c r="AO351" s="329"/>
      <c r="AP351" s="358"/>
      <c r="AQ351" s="359">
        <f t="shared" si="13"/>
        <v>0</v>
      </c>
      <c r="AR351" s="360"/>
      <c r="AS351" s="358"/>
      <c r="AT351" s="356">
        <f t="shared" si="14"/>
        <v>0</v>
      </c>
      <c r="AU351" s="329"/>
      <c r="AV351" s="358"/>
      <c r="AW351" s="359">
        <f t="shared" si="15"/>
        <v>0</v>
      </c>
      <c r="AX351" s="329"/>
      <c r="AY351" s="358"/>
      <c r="AZ351" s="359">
        <f t="shared" si="16"/>
        <v>0</v>
      </c>
      <c r="BA351" s="329">
        <f>IF('Degrémont Entrée'!K351="",,('Degrémont Entrée'!K351-I351)/'Degrémont Entrée'!K351*100)</f>
        <v>97.485207100591722</v>
      </c>
      <c r="BB351" s="329">
        <f>IF('Degrémont Entrée'!G351="",,('Degrémont Entrée'!G351-G351)/'Degrémont Entrée'!G351*100)</f>
        <v>99.866611087953302</v>
      </c>
      <c r="BC351" s="329">
        <f>IF('Degrémont Entrée'!S351="",,('Degrémont Entrée'!S351-M351)/'Degrémont Entrée'!S351*100)</f>
        <v>99.790740740740745</v>
      </c>
      <c r="BD351" s="361">
        <f ca="1">IFERROR(__xludf.DUMMYFUNCTION("""COMPUTED_VALUE"""),52.9857142857142)</f>
        <v>52.985714285714202</v>
      </c>
      <c r="BE351" s="362"/>
      <c r="BF351" s="363"/>
      <c r="BG351" s="363"/>
      <c r="BH351" s="338">
        <f t="shared" si="17"/>
        <v>0</v>
      </c>
      <c r="BI351" s="364"/>
      <c r="BJ351" s="365"/>
      <c r="BK351" s="366">
        <f>'Degrémont Entrée'!BH351</f>
        <v>0</v>
      </c>
      <c r="BL351" s="367">
        <f>'Degrémont Entrée'!BI351</f>
        <v>0</v>
      </c>
    </row>
    <row r="352" spans="1:64" ht="14.25" outlineLevel="1">
      <c r="A352" s="337">
        <f t="shared" si="18"/>
        <v>43804</v>
      </c>
      <c r="B352" s="338">
        <f>'Degrémont Entrée'!B352</f>
        <v>599</v>
      </c>
      <c r="C352" s="339">
        <v>9.19</v>
      </c>
      <c r="D352" s="340">
        <v>89.8</v>
      </c>
      <c r="E352" s="341">
        <v>91.9</v>
      </c>
      <c r="F352" s="342">
        <v>155</v>
      </c>
      <c r="G352" s="329">
        <f t="shared" si="0"/>
        <v>13.548387096774249</v>
      </c>
      <c r="H352" s="338"/>
      <c r="I352" s="343">
        <v>197</v>
      </c>
      <c r="J352" s="344">
        <f t="shared" si="2"/>
        <v>118.003</v>
      </c>
      <c r="K352" s="343">
        <v>1</v>
      </c>
      <c r="L352" s="345">
        <v>1.1000000000000001</v>
      </c>
      <c r="M352" s="346">
        <f t="shared" si="3"/>
        <v>1.1000000000000001</v>
      </c>
      <c r="N352" s="338">
        <f t="shared" si="4"/>
        <v>0.65890000000000004</v>
      </c>
      <c r="O352" s="341">
        <v>5.4</v>
      </c>
      <c r="P352" s="347">
        <f t="shared" si="19"/>
        <v>3.2346000000000004</v>
      </c>
      <c r="Q352" s="348"/>
      <c r="R352" s="369"/>
      <c r="S352" s="349">
        <f t="shared" si="20"/>
        <v>0</v>
      </c>
      <c r="T352" s="348"/>
      <c r="U352" s="369"/>
      <c r="V352" s="349">
        <f t="shared" si="5"/>
        <v>0</v>
      </c>
      <c r="W352" s="348"/>
      <c r="X352" s="318">
        <f t="shared" si="6"/>
        <v>5.4</v>
      </c>
      <c r="Y352" s="370">
        <f t="shared" si="7"/>
        <v>3.2346000000000004</v>
      </c>
      <c r="Z352" s="343" t="s">
        <v>85</v>
      </c>
      <c r="AA352" s="345">
        <v>0.01</v>
      </c>
      <c r="AB352" s="352">
        <f t="shared" si="8"/>
        <v>2.9950000000000003E-3</v>
      </c>
      <c r="AC352" s="353"/>
      <c r="AD352" s="354"/>
      <c r="AE352" s="378" t="str">
        <f t="shared" si="21"/>
        <v/>
      </c>
      <c r="AF352" s="329"/>
      <c r="AG352" s="358"/>
      <c r="AH352" s="356" t="str">
        <f t="shared" si="22"/>
        <v/>
      </c>
      <c r="AI352" s="329"/>
      <c r="AJ352" s="329"/>
      <c r="AK352" s="356">
        <f t="shared" si="11"/>
        <v>0</v>
      </c>
      <c r="AL352" s="357"/>
      <c r="AM352" s="358"/>
      <c r="AN352" s="356">
        <f t="shared" si="12"/>
        <v>0</v>
      </c>
      <c r="AO352" s="329"/>
      <c r="AP352" s="358"/>
      <c r="AQ352" s="359">
        <f t="shared" si="13"/>
        <v>0</v>
      </c>
      <c r="AR352" s="360"/>
      <c r="AS352" s="358"/>
      <c r="AT352" s="356">
        <f t="shared" si="14"/>
        <v>0</v>
      </c>
      <c r="AU352" s="329"/>
      <c r="AV352" s="358"/>
      <c r="AW352" s="359">
        <f t="shared" si="15"/>
        <v>0</v>
      </c>
      <c r="AX352" s="329"/>
      <c r="AY352" s="358"/>
      <c r="AZ352" s="359">
        <f t="shared" si="16"/>
        <v>0</v>
      </c>
      <c r="BA352" s="329">
        <f>IF('Degrémont Entrée'!K352="",,('Degrémont Entrée'!K352-I352)/'Degrémont Entrée'!K352*100)</f>
        <v>98.641379310344817</v>
      </c>
      <c r="BB352" s="329">
        <f>IF('Degrémont Entrée'!G352="",,('Degrémont Entrée'!G352-G352)/'Degrémont Entrée'!G352*100)</f>
        <v>99.900403917445914</v>
      </c>
      <c r="BC352" s="329">
        <f>IF('Degrémont Entrée'!S352="",,('Degrémont Entrée'!S352-M352)/'Degrémont Entrée'!S352*100)</f>
        <v>99.791666666666671</v>
      </c>
      <c r="BD352" s="361">
        <f ca="1">IFERROR(__xludf.DUMMYFUNCTION("""COMPUTED_VALUE"""),52.22)</f>
        <v>52.22</v>
      </c>
      <c r="BE352" s="362"/>
      <c r="BF352" s="363"/>
      <c r="BG352" s="363"/>
      <c r="BH352" s="338">
        <f t="shared" si="17"/>
        <v>0</v>
      </c>
      <c r="BI352" s="364"/>
      <c r="BJ352" s="365"/>
      <c r="BK352" s="371">
        <f>'Degrémont Entrée'!BH352</f>
        <v>0</v>
      </c>
      <c r="BL352" s="372">
        <f>'Degrémont Entrée'!BI352</f>
        <v>0</v>
      </c>
    </row>
    <row r="353" spans="1:64" ht="15.75" customHeight="1" outlineLevel="1">
      <c r="A353" s="337">
        <f t="shared" si="18"/>
        <v>43805</v>
      </c>
      <c r="B353" s="338">
        <f>'Degrémont Entrée'!B353</f>
        <v>952</v>
      </c>
      <c r="C353" s="339">
        <v>8.82</v>
      </c>
      <c r="D353" s="340">
        <v>88.8</v>
      </c>
      <c r="E353" s="341">
        <v>91.3</v>
      </c>
      <c r="F353" s="342">
        <v>160</v>
      </c>
      <c r="G353" s="329">
        <f t="shared" si="0"/>
        <v>15.625</v>
      </c>
      <c r="H353" s="338"/>
      <c r="I353" s="343">
        <v>227</v>
      </c>
      <c r="J353" s="344">
        <f t="shared" si="2"/>
        <v>216.10400000000001</v>
      </c>
      <c r="K353" s="343">
        <v>1</v>
      </c>
      <c r="L353" s="345">
        <v>1.38</v>
      </c>
      <c r="M353" s="346">
        <f t="shared" si="3"/>
        <v>1.38</v>
      </c>
      <c r="N353" s="338">
        <f t="shared" si="4"/>
        <v>1.31376</v>
      </c>
      <c r="O353" s="341">
        <v>6.2</v>
      </c>
      <c r="P353" s="347">
        <f t="shared" si="19"/>
        <v>5.902400000000001</v>
      </c>
      <c r="Q353" s="666" t="s">
        <v>85</v>
      </c>
      <c r="R353" s="318">
        <v>0.02</v>
      </c>
      <c r="S353" s="349">
        <f t="shared" si="20"/>
        <v>9.5199999999999989E-3</v>
      </c>
      <c r="T353" s="666" t="s">
        <v>85</v>
      </c>
      <c r="U353" s="318">
        <v>0.22</v>
      </c>
      <c r="V353" s="349">
        <f t="shared" si="5"/>
        <v>0.10471999999999999</v>
      </c>
      <c r="W353" s="348"/>
      <c r="X353" s="318">
        <f t="shared" si="6"/>
        <v>6.32</v>
      </c>
      <c r="Y353" s="370">
        <f t="shared" si="7"/>
        <v>6.0166400000000007</v>
      </c>
      <c r="Z353" s="343" t="s">
        <v>85</v>
      </c>
      <c r="AA353" s="345">
        <v>0.01</v>
      </c>
      <c r="AB353" s="352">
        <f t="shared" si="8"/>
        <v>4.7599999999999995E-3</v>
      </c>
      <c r="AC353" s="353"/>
      <c r="AD353" s="354"/>
      <c r="AE353" s="378" t="str">
        <f t="shared" si="21"/>
        <v/>
      </c>
      <c r="AF353" s="329"/>
      <c r="AG353" s="358"/>
      <c r="AH353" s="356" t="str">
        <f t="shared" si="22"/>
        <v/>
      </c>
      <c r="AI353" s="329"/>
      <c r="AJ353" s="329"/>
      <c r="AK353" s="356">
        <f t="shared" si="11"/>
        <v>0</v>
      </c>
      <c r="AL353" s="357"/>
      <c r="AM353" s="358"/>
      <c r="AN353" s="356">
        <f t="shared" si="12"/>
        <v>0</v>
      </c>
      <c r="AO353" s="329"/>
      <c r="AP353" s="358"/>
      <c r="AQ353" s="359">
        <f t="shared" si="13"/>
        <v>0</v>
      </c>
      <c r="AR353" s="360"/>
      <c r="AS353" s="358"/>
      <c r="AT353" s="356">
        <f t="shared" si="14"/>
        <v>0</v>
      </c>
      <c r="AU353" s="329"/>
      <c r="AV353" s="358"/>
      <c r="AW353" s="359">
        <f t="shared" si="15"/>
        <v>0</v>
      </c>
      <c r="AX353" s="329"/>
      <c r="AY353" s="358"/>
      <c r="AZ353" s="359">
        <f t="shared" si="16"/>
        <v>0</v>
      </c>
      <c r="BA353" s="329">
        <f>IF('Degrémont Entrée'!K353="",,('Degrémont Entrée'!K353-I353)/'Degrémont Entrée'!K353*100)</f>
        <v>98.506578947368411</v>
      </c>
      <c r="BB353" s="329">
        <f>IF('Degrémont Entrée'!G353="",,('Degrémont Entrée'!G353-G353)/'Degrémont Entrée'!G353*100)</f>
        <v>99.901791326209931</v>
      </c>
      <c r="BC353" s="329">
        <f>IF('Degrémont Entrée'!S353="",,('Degrémont Entrée'!S353-M353)/'Degrémont Entrée'!S353*100)</f>
        <v>99.721774193548384</v>
      </c>
      <c r="BD353" s="361">
        <f ca="1">IFERROR(__xludf.DUMMYFUNCTION("""COMPUTED_VALUE"""),52.16)</f>
        <v>52.16</v>
      </c>
      <c r="BE353" s="362"/>
      <c r="BF353" s="363"/>
      <c r="BG353" s="363"/>
      <c r="BH353" s="338">
        <f t="shared" si="17"/>
        <v>0</v>
      </c>
      <c r="BI353" s="364"/>
      <c r="BJ353" s="365"/>
      <c r="BK353" s="366">
        <f>'Degrémont Entrée'!BH353</f>
        <v>0</v>
      </c>
      <c r="BL353" s="367">
        <f>'Degrémont Entrée'!BI353</f>
        <v>0</v>
      </c>
    </row>
    <row r="354" spans="1:64" ht="14.25" outlineLevel="1">
      <c r="A354" s="337">
        <f t="shared" si="18"/>
        <v>43806</v>
      </c>
      <c r="B354" s="338">
        <f>'Degrémont Entrée'!B354</f>
        <v>0</v>
      </c>
      <c r="C354" s="338"/>
      <c r="D354" s="388"/>
      <c r="E354" s="368"/>
      <c r="F354" s="357"/>
      <c r="G354" s="329">
        <f t="shared" si="0"/>
        <v>0</v>
      </c>
      <c r="H354" s="338"/>
      <c r="I354" s="346"/>
      <c r="J354" s="344">
        <f t="shared" si="2"/>
        <v>0</v>
      </c>
      <c r="K354" s="343">
        <v>1</v>
      </c>
      <c r="L354" s="329"/>
      <c r="M354" s="346" t="str">
        <f t="shared" si="3"/>
        <v/>
      </c>
      <c r="N354" s="338" t="e">
        <f t="shared" si="4"/>
        <v>#VALUE!</v>
      </c>
      <c r="O354" s="368"/>
      <c r="P354" s="347">
        <f t="shared" si="19"/>
        <v>0</v>
      </c>
      <c r="Q354" s="348"/>
      <c r="R354" s="369"/>
      <c r="S354" s="349">
        <f t="shared" si="20"/>
        <v>0</v>
      </c>
      <c r="T354" s="348"/>
      <c r="U354" s="369"/>
      <c r="V354" s="349">
        <f t="shared" si="5"/>
        <v>0</v>
      </c>
      <c r="W354" s="348"/>
      <c r="X354" s="318" t="str">
        <f t="shared" si="6"/>
        <v/>
      </c>
      <c r="Y354" s="370" t="e">
        <f t="shared" si="7"/>
        <v>#VALUE!</v>
      </c>
      <c r="Z354" s="346"/>
      <c r="AA354" s="329"/>
      <c r="AB354" s="352">
        <f t="shared" si="8"/>
        <v>0</v>
      </c>
      <c r="AC354" s="353"/>
      <c r="AD354" s="354"/>
      <c r="AE354" s="378" t="str">
        <f t="shared" si="21"/>
        <v/>
      </c>
      <c r="AF354" s="329"/>
      <c r="AG354" s="358"/>
      <c r="AH354" s="356" t="str">
        <f t="shared" si="22"/>
        <v/>
      </c>
      <c r="AI354" s="329"/>
      <c r="AJ354" s="329"/>
      <c r="AK354" s="356">
        <f t="shared" si="11"/>
        <v>0</v>
      </c>
      <c r="AL354" s="357"/>
      <c r="AM354" s="358"/>
      <c r="AN354" s="356">
        <f t="shared" si="12"/>
        <v>0</v>
      </c>
      <c r="AO354" s="329"/>
      <c r="AP354" s="358"/>
      <c r="AQ354" s="359">
        <f t="shared" si="13"/>
        <v>0</v>
      </c>
      <c r="AR354" s="360"/>
      <c r="AS354" s="358"/>
      <c r="AT354" s="356">
        <f t="shared" si="14"/>
        <v>0</v>
      </c>
      <c r="AU354" s="329"/>
      <c r="AV354" s="358"/>
      <c r="AW354" s="359">
        <f t="shared" si="15"/>
        <v>0</v>
      </c>
      <c r="AX354" s="329"/>
      <c r="AY354" s="358"/>
      <c r="AZ354" s="359">
        <f t="shared" si="16"/>
        <v>0</v>
      </c>
      <c r="BA354" s="329" t="e">
        <f>IF('Degrémont Entrée'!K354="",,('Degrémont Entrée'!K354-I354)/'Degrémont Entrée'!K354*100)</f>
        <v>#DIV/0!</v>
      </c>
      <c r="BB354" s="329" t="e">
        <f>IF('Degrémont Entrée'!G354="",,('Degrémont Entrée'!G354-G354)/'Degrémont Entrée'!G354*100)</f>
        <v>#DIV/0!</v>
      </c>
      <c r="BC354" s="329">
        <f>IF('Degrémont Entrée'!S354="",,('Degrémont Entrée'!S354-M354)/'Degrémont Entrée'!S354*100)</f>
        <v>0</v>
      </c>
      <c r="BD354" s="361" t="str">
        <f ca="1">IFERROR(__xludf.DUMMYFUNCTION("""COMPUTED_VALUE"""),"#DIV/0!")</f>
        <v>#DIV/0!</v>
      </c>
      <c r="BE354" s="362"/>
      <c r="BF354" s="363"/>
      <c r="BG354" s="363"/>
      <c r="BH354" s="338">
        <f t="shared" si="17"/>
        <v>0</v>
      </c>
      <c r="BI354" s="364"/>
      <c r="BJ354" s="365"/>
      <c r="BK354" s="371">
        <f>'Degrémont Entrée'!BH354</f>
        <v>0</v>
      </c>
      <c r="BL354" s="372">
        <f>'Degrémont Entrée'!BI354</f>
        <v>0</v>
      </c>
    </row>
    <row r="355" spans="1:64" ht="15.75" customHeight="1" outlineLevel="1">
      <c r="A355" s="337">
        <f t="shared" si="18"/>
        <v>43807</v>
      </c>
      <c r="B355" s="338">
        <f>'Degrémont Entrée'!B355</f>
        <v>0</v>
      </c>
      <c r="C355" s="338"/>
      <c r="D355" s="388"/>
      <c r="E355" s="368"/>
      <c r="F355" s="357"/>
      <c r="G355" s="329">
        <f t="shared" si="0"/>
        <v>0</v>
      </c>
      <c r="H355" s="338"/>
      <c r="I355" s="346"/>
      <c r="J355" s="344">
        <f t="shared" si="2"/>
        <v>0</v>
      </c>
      <c r="K355" s="343">
        <v>1</v>
      </c>
      <c r="L355" s="329"/>
      <c r="M355" s="346" t="str">
        <f t="shared" si="3"/>
        <v/>
      </c>
      <c r="N355" s="338" t="e">
        <f t="shared" si="4"/>
        <v>#VALUE!</v>
      </c>
      <c r="O355" s="368"/>
      <c r="P355" s="347">
        <f t="shared" si="19"/>
        <v>0</v>
      </c>
      <c r="Q355" s="348"/>
      <c r="R355" s="369"/>
      <c r="S355" s="349">
        <f t="shared" si="20"/>
        <v>0</v>
      </c>
      <c r="T355" s="348"/>
      <c r="U355" s="369"/>
      <c r="V355" s="349">
        <f t="shared" si="5"/>
        <v>0</v>
      </c>
      <c r="W355" s="348"/>
      <c r="X355" s="318" t="str">
        <f t="shared" si="6"/>
        <v/>
      </c>
      <c r="Y355" s="370" t="e">
        <f t="shared" si="7"/>
        <v>#VALUE!</v>
      </c>
      <c r="Z355" s="346"/>
      <c r="AA355" s="329"/>
      <c r="AB355" s="352">
        <f t="shared" si="8"/>
        <v>0</v>
      </c>
      <c r="AC355" s="353"/>
      <c r="AD355" s="354"/>
      <c r="AE355" s="378" t="str">
        <f t="shared" si="21"/>
        <v/>
      </c>
      <c r="AF355" s="329"/>
      <c r="AG355" s="358"/>
      <c r="AH355" s="356" t="str">
        <f t="shared" si="22"/>
        <v/>
      </c>
      <c r="AI355" s="329"/>
      <c r="AJ355" s="329"/>
      <c r="AK355" s="356">
        <f t="shared" si="11"/>
        <v>0</v>
      </c>
      <c r="AL355" s="357"/>
      <c r="AM355" s="358"/>
      <c r="AN355" s="356">
        <f t="shared" si="12"/>
        <v>0</v>
      </c>
      <c r="AO355" s="329"/>
      <c r="AP355" s="358"/>
      <c r="AQ355" s="359">
        <f t="shared" si="13"/>
        <v>0</v>
      </c>
      <c r="AR355" s="360"/>
      <c r="AS355" s="358"/>
      <c r="AT355" s="356">
        <f t="shared" si="14"/>
        <v>0</v>
      </c>
      <c r="AU355" s="329"/>
      <c r="AV355" s="358"/>
      <c r="AW355" s="359">
        <f t="shared" si="15"/>
        <v>0</v>
      </c>
      <c r="AX355" s="329"/>
      <c r="AY355" s="358"/>
      <c r="AZ355" s="359">
        <f t="shared" si="16"/>
        <v>0</v>
      </c>
      <c r="BA355" s="329" t="e">
        <f>IF('Degrémont Entrée'!K355="",,('Degrémont Entrée'!K355-I355)/'Degrémont Entrée'!K355*100)</f>
        <v>#DIV/0!</v>
      </c>
      <c r="BB355" s="329" t="e">
        <f>IF('Degrémont Entrée'!G355="",,('Degrémont Entrée'!G355-G355)/'Degrémont Entrée'!G355*100)</f>
        <v>#DIV/0!</v>
      </c>
      <c r="BC355" s="329">
        <f>IF('Degrémont Entrée'!S355="",,('Degrémont Entrée'!S355-M355)/'Degrémont Entrée'!S355*100)</f>
        <v>0</v>
      </c>
      <c r="BD355" s="361" t="str">
        <f ca="1">IFERROR(__xludf.DUMMYFUNCTION("""COMPUTED_VALUE"""),"#DIV/0!")</f>
        <v>#DIV/0!</v>
      </c>
      <c r="BE355" s="362"/>
      <c r="BF355" s="363"/>
      <c r="BG355" s="363"/>
      <c r="BH355" s="338">
        <f t="shared" si="17"/>
        <v>0</v>
      </c>
      <c r="BI355" s="364"/>
      <c r="BJ355" s="365"/>
      <c r="BK355" s="366">
        <f>'Degrémont Entrée'!BH355</f>
        <v>0</v>
      </c>
      <c r="BL355" s="367">
        <f>'Degrémont Entrée'!BI355</f>
        <v>0</v>
      </c>
    </row>
    <row r="356" spans="1:64" ht="14.25" outlineLevel="1">
      <c r="A356" s="337">
        <f t="shared" si="18"/>
        <v>43808</v>
      </c>
      <c r="B356" s="338">
        <f>'Degrémont Entrée'!B356</f>
        <v>879</v>
      </c>
      <c r="C356" s="339">
        <v>9.0500000000000007</v>
      </c>
      <c r="D356" s="340">
        <v>88.1</v>
      </c>
      <c r="E356" s="341">
        <v>90.2</v>
      </c>
      <c r="F356" s="342">
        <v>150</v>
      </c>
      <c r="G356" s="329">
        <f t="shared" si="0"/>
        <v>14.000000000000057</v>
      </c>
      <c r="H356" s="338"/>
      <c r="I356" s="343">
        <v>590</v>
      </c>
      <c r="J356" s="344">
        <f t="shared" si="2"/>
        <v>518.61</v>
      </c>
      <c r="K356" s="343">
        <v>1</v>
      </c>
      <c r="L356" s="345">
        <v>1.46</v>
      </c>
      <c r="M356" s="346">
        <f t="shared" si="3"/>
        <v>1.46</v>
      </c>
      <c r="N356" s="338">
        <f t="shared" si="4"/>
        <v>1.2833399999999999</v>
      </c>
      <c r="O356" s="341">
        <v>12.8</v>
      </c>
      <c r="P356" s="347">
        <f t="shared" si="19"/>
        <v>11.251200000000001</v>
      </c>
      <c r="Q356" s="666" t="s">
        <v>85</v>
      </c>
      <c r="R356" s="318">
        <v>0.02</v>
      </c>
      <c r="S356" s="349">
        <f t="shared" si="20"/>
        <v>8.7900000000000009E-3</v>
      </c>
      <c r="T356" s="666" t="s">
        <v>85</v>
      </c>
      <c r="U356" s="318">
        <v>0.22</v>
      </c>
      <c r="V356" s="349">
        <f t="shared" si="5"/>
        <v>9.6689999999999998E-2</v>
      </c>
      <c r="W356" s="348"/>
      <c r="X356" s="318">
        <f t="shared" si="6"/>
        <v>12.92</v>
      </c>
      <c r="Y356" s="370">
        <f t="shared" si="7"/>
        <v>11.356680000000001</v>
      </c>
      <c r="Z356" s="343" t="s">
        <v>85</v>
      </c>
      <c r="AA356" s="345">
        <v>0.01</v>
      </c>
      <c r="AB356" s="352">
        <f t="shared" si="8"/>
        <v>4.3950000000000005E-3</v>
      </c>
      <c r="AC356" s="353"/>
      <c r="AD356" s="354"/>
      <c r="AE356" s="378" t="str">
        <f t="shared" si="21"/>
        <v/>
      </c>
      <c r="AF356" s="329"/>
      <c r="AG356" s="358"/>
      <c r="AH356" s="356" t="str">
        <f t="shared" si="22"/>
        <v/>
      </c>
      <c r="AI356" s="329"/>
      <c r="AJ356" s="329"/>
      <c r="AK356" s="356">
        <f t="shared" si="11"/>
        <v>0</v>
      </c>
      <c r="AL356" s="357"/>
      <c r="AM356" s="358"/>
      <c r="AN356" s="356">
        <f t="shared" si="12"/>
        <v>0</v>
      </c>
      <c r="AO356" s="329"/>
      <c r="AP356" s="358"/>
      <c r="AQ356" s="359">
        <f t="shared" si="13"/>
        <v>0</v>
      </c>
      <c r="AR356" s="360"/>
      <c r="AS356" s="358"/>
      <c r="AT356" s="356">
        <f t="shared" si="14"/>
        <v>0</v>
      </c>
      <c r="AU356" s="329"/>
      <c r="AV356" s="358"/>
      <c r="AW356" s="359">
        <f t="shared" si="15"/>
        <v>0</v>
      </c>
      <c r="AX356" s="329"/>
      <c r="AY356" s="358"/>
      <c r="AZ356" s="359">
        <f t="shared" si="16"/>
        <v>0</v>
      </c>
      <c r="BA356" s="329">
        <f>IF('Degrémont Entrée'!K356="",,('Degrémont Entrée'!K356-I356)/'Degrémont Entrée'!K356*100)</f>
        <v>92.337662337662337</v>
      </c>
      <c r="BB356" s="329">
        <f>IF('Degrémont Entrée'!G356="",,('Degrémont Entrée'!G356-G356)/'Degrémont Entrée'!G356*100)</f>
        <v>99.80437820214253</v>
      </c>
      <c r="BC356" s="329">
        <f>IF('Degrémont Entrée'!S356="",,('Degrémont Entrée'!S356-M356)/'Degrémont Entrée'!S356*100)</f>
        <v>99.665137614678898</v>
      </c>
      <c r="BD356" s="361">
        <f ca="1">IFERROR(__xludf.DUMMYFUNCTION("""COMPUTED_VALUE"""),51.9142857142857)</f>
        <v>51.914285714285697</v>
      </c>
      <c r="BE356" s="386">
        <v>21.852900000000002</v>
      </c>
      <c r="BF356" s="387">
        <v>39.133800000000001</v>
      </c>
      <c r="BG356" s="387">
        <v>29.409400000000002</v>
      </c>
      <c r="BH356" s="338">
        <f t="shared" si="17"/>
        <v>43.727467898084015</v>
      </c>
      <c r="BI356" s="364"/>
      <c r="BJ356" s="365"/>
      <c r="BK356" s="371">
        <f>'Degrémont Entrée'!BH356</f>
        <v>0</v>
      </c>
      <c r="BL356" s="372">
        <f>'Degrémont Entrée'!BI356</f>
        <v>0</v>
      </c>
    </row>
    <row r="357" spans="1:64" ht="15.75" customHeight="1" outlineLevel="1">
      <c r="A357" s="337">
        <f t="shared" si="18"/>
        <v>43809</v>
      </c>
      <c r="B357" s="338">
        <f>'Degrémont Entrée'!B357</f>
        <v>776</v>
      </c>
      <c r="C357" s="339">
        <v>8.99</v>
      </c>
      <c r="D357" s="340">
        <v>88.9</v>
      </c>
      <c r="E357" s="341">
        <v>92.8</v>
      </c>
      <c r="F357" s="342">
        <v>150</v>
      </c>
      <c r="G357" s="329">
        <f t="shared" si="0"/>
        <v>25.999999999999943</v>
      </c>
      <c r="H357" s="338"/>
      <c r="I357" s="343">
        <v>243</v>
      </c>
      <c r="J357" s="344">
        <f t="shared" si="2"/>
        <v>188.56800000000001</v>
      </c>
      <c r="K357" s="343">
        <v>1</v>
      </c>
      <c r="L357" s="345">
        <v>1.93</v>
      </c>
      <c r="M357" s="346">
        <f t="shared" si="3"/>
        <v>1.93</v>
      </c>
      <c r="N357" s="338">
        <f t="shared" si="4"/>
        <v>1.4976800000000001</v>
      </c>
      <c r="O357" s="341">
        <v>4</v>
      </c>
      <c r="P357" s="347">
        <f t="shared" si="19"/>
        <v>3.1040000000000001</v>
      </c>
      <c r="Q357" s="666" t="s">
        <v>85</v>
      </c>
      <c r="R357" s="318">
        <v>0.02</v>
      </c>
      <c r="S357" s="349">
        <f t="shared" si="20"/>
        <v>7.7599999999999995E-3</v>
      </c>
      <c r="T357" s="666" t="s">
        <v>85</v>
      </c>
      <c r="U357" s="318">
        <v>0.22</v>
      </c>
      <c r="V357" s="349">
        <f t="shared" si="5"/>
        <v>8.5360000000000005E-2</v>
      </c>
      <c r="W357" s="348"/>
      <c r="X357" s="318">
        <f t="shared" si="6"/>
        <v>4.12</v>
      </c>
      <c r="Y357" s="370">
        <f t="shared" si="7"/>
        <v>3.19712</v>
      </c>
      <c r="Z357" s="343" t="s">
        <v>85</v>
      </c>
      <c r="AA357" s="345">
        <v>0.01</v>
      </c>
      <c r="AB357" s="352">
        <f t="shared" si="8"/>
        <v>3.8799999999999998E-3</v>
      </c>
      <c r="AC357" s="385" t="s">
        <v>85</v>
      </c>
      <c r="AD357" s="377">
        <v>5.0000000000000001E-3</v>
      </c>
      <c r="AE357" s="378">
        <f t="shared" si="21"/>
        <v>1.0262500000000001E-2</v>
      </c>
      <c r="AF357" s="329"/>
      <c r="AG357" s="355">
        <v>0.28899999999999998</v>
      </c>
      <c r="AH357" s="356">
        <f t="shared" si="22"/>
        <v>1.186345</v>
      </c>
      <c r="AI357" s="329"/>
      <c r="AJ357" s="345">
        <v>0.06</v>
      </c>
      <c r="AK357" s="356">
        <f t="shared" si="11"/>
        <v>4.6559999999999997E-2</v>
      </c>
      <c r="AL357" s="342" t="s">
        <v>85</v>
      </c>
      <c r="AM357" s="355">
        <v>5.0000000000000001E-3</v>
      </c>
      <c r="AN357" s="356">
        <f t="shared" si="12"/>
        <v>1.9399999999999999E-3</v>
      </c>
      <c r="AO357" s="329"/>
      <c r="AP357" s="355">
        <v>6.2E-2</v>
      </c>
      <c r="AQ357" s="359">
        <f t="shared" si="13"/>
        <v>4.8112000000000002E-2</v>
      </c>
      <c r="AR357" s="360"/>
      <c r="AS357" s="355">
        <v>5.1999999999999998E-2</v>
      </c>
      <c r="AT357" s="356">
        <f t="shared" si="14"/>
        <v>4.0351999999999999E-2</v>
      </c>
      <c r="AU357" s="345" t="s">
        <v>85</v>
      </c>
      <c r="AV357" s="355">
        <v>5.0000000000000001E-3</v>
      </c>
      <c r="AW357" s="359">
        <f t="shared" si="15"/>
        <v>1.9399999999999999E-3</v>
      </c>
      <c r="AX357" s="345" t="s">
        <v>85</v>
      </c>
      <c r="AY357" s="355">
        <v>2E-3</v>
      </c>
      <c r="AZ357" s="359">
        <f t="shared" si="16"/>
        <v>7.76E-4</v>
      </c>
      <c r="BA357" s="329">
        <f>IF('Degrémont Entrée'!K357="",,('Degrémont Entrée'!K357-I357)/'Degrémont Entrée'!K357*100)</f>
        <v>93.172239393087935</v>
      </c>
      <c r="BB357" s="329">
        <f>IF('Degrémont Entrée'!G357="",,('Degrémont Entrée'!G357-G357)/'Degrémont Entrée'!G357*100)</f>
        <v>99.247830279652845</v>
      </c>
      <c r="BC357" s="329">
        <f>IF('Degrémont Entrée'!S357="",,('Degrémont Entrée'!S357-M357)/'Degrémont Entrée'!S357*100)</f>
        <v>99.175213675213669</v>
      </c>
      <c r="BD357" s="361">
        <f ca="1">IFERROR(__xludf.DUMMYFUNCTION("""COMPUTED_VALUE"""),51.6666666666666)</f>
        <v>51.6666666666666</v>
      </c>
      <c r="BE357" s="362"/>
      <c r="BF357" s="363"/>
      <c r="BG357" s="363"/>
      <c r="BH357" s="338">
        <f t="shared" si="17"/>
        <v>0</v>
      </c>
      <c r="BI357" s="780" t="s">
        <v>257</v>
      </c>
      <c r="BJ357" s="365"/>
      <c r="BK357" s="366">
        <f>'Degrémont Entrée'!BH357</f>
        <v>0</v>
      </c>
      <c r="BL357" s="367">
        <f>'Degrémont Entrée'!BI357</f>
        <v>0</v>
      </c>
    </row>
    <row r="358" spans="1:64" ht="14.25" outlineLevel="1">
      <c r="A358" s="337">
        <f t="shared" si="18"/>
        <v>43810</v>
      </c>
      <c r="B358" s="338">
        <f>'Degrémont Entrée'!B358</f>
        <v>960</v>
      </c>
      <c r="C358" s="339">
        <v>9.25</v>
      </c>
      <c r="D358" s="340">
        <v>88</v>
      </c>
      <c r="E358" s="341">
        <v>88.9</v>
      </c>
      <c r="F358" s="342">
        <v>175</v>
      </c>
      <c r="G358" s="329">
        <f t="shared" si="0"/>
        <v>5.1428571428571752</v>
      </c>
      <c r="H358" s="338"/>
      <c r="I358" s="343">
        <v>154</v>
      </c>
      <c r="J358" s="344">
        <f t="shared" si="2"/>
        <v>147.84</v>
      </c>
      <c r="K358" s="343">
        <v>1</v>
      </c>
      <c r="L358" s="345">
        <v>0.73</v>
      </c>
      <c r="M358" s="346">
        <f t="shared" si="3"/>
        <v>0.73</v>
      </c>
      <c r="N358" s="338">
        <f t="shared" si="4"/>
        <v>0.70079999999999998</v>
      </c>
      <c r="O358" s="341">
        <v>3.4</v>
      </c>
      <c r="P358" s="347">
        <f t="shared" si="19"/>
        <v>3.2639999999999998</v>
      </c>
      <c r="Q358" s="666" t="s">
        <v>85</v>
      </c>
      <c r="R358" s="318">
        <v>0.02</v>
      </c>
      <c r="S358" s="349">
        <f t="shared" si="20"/>
        <v>9.5999999999999992E-3</v>
      </c>
      <c r="T358" s="666" t="s">
        <v>85</v>
      </c>
      <c r="U358" s="318">
        <v>0.22</v>
      </c>
      <c r="V358" s="349">
        <f t="shared" si="5"/>
        <v>0.1056</v>
      </c>
      <c r="W358" s="348"/>
      <c r="X358" s="318">
        <f t="shared" si="6"/>
        <v>3.52</v>
      </c>
      <c r="Y358" s="370">
        <f t="shared" si="7"/>
        <v>3.3792</v>
      </c>
      <c r="Z358" s="343" t="s">
        <v>85</v>
      </c>
      <c r="AA358" s="345">
        <v>0.01</v>
      </c>
      <c r="AB358" s="352">
        <f t="shared" si="8"/>
        <v>4.7999999999999996E-3</v>
      </c>
      <c r="AC358" s="353"/>
      <c r="AD358" s="354"/>
      <c r="AE358" s="378" t="str">
        <f t="shared" si="21"/>
        <v/>
      </c>
      <c r="AF358" s="329"/>
      <c r="AG358" s="358"/>
      <c r="AH358" s="356" t="str">
        <f t="shared" si="22"/>
        <v/>
      </c>
      <c r="AI358" s="329"/>
      <c r="AJ358" s="329"/>
      <c r="AK358" s="356">
        <f t="shared" si="11"/>
        <v>0</v>
      </c>
      <c r="AL358" s="357"/>
      <c r="AM358" s="358"/>
      <c r="AN358" s="356">
        <f t="shared" si="12"/>
        <v>0</v>
      </c>
      <c r="AO358" s="329"/>
      <c r="AP358" s="358"/>
      <c r="AQ358" s="359">
        <f t="shared" si="13"/>
        <v>0</v>
      </c>
      <c r="AR358" s="360"/>
      <c r="AS358" s="358"/>
      <c r="AT358" s="356">
        <f t="shared" si="14"/>
        <v>0</v>
      </c>
      <c r="AU358" s="329"/>
      <c r="AV358" s="358"/>
      <c r="AW358" s="359">
        <f t="shared" si="15"/>
        <v>0</v>
      </c>
      <c r="AX358" s="329"/>
      <c r="AY358" s="358"/>
      <c r="AZ358" s="359">
        <f t="shared" si="16"/>
        <v>0</v>
      </c>
      <c r="BA358" s="329">
        <f>IF('Degrémont Entrée'!K358="",,('Degrémont Entrée'!K358-I358)/'Degrémont Entrée'!K358*100)</f>
        <v>88.253241800152566</v>
      </c>
      <c r="BB358" s="329">
        <f>IF('Degrémont Entrée'!G358="",,('Degrémont Entrée'!G358-G358)/'Degrémont Entrée'!G358*100)</f>
        <v>99.572418343780939</v>
      </c>
      <c r="BC358" s="329">
        <f>IF('Degrémont Entrée'!S358="",,('Degrémont Entrée'!S358-M358)/'Degrémont Entrée'!S358*100)</f>
        <v>99.151162790697668</v>
      </c>
      <c r="BD358" s="361">
        <f ca="1">IFERROR(__xludf.DUMMYFUNCTION("""COMPUTED_VALUE"""),52.36)</f>
        <v>52.36</v>
      </c>
      <c r="BE358" s="362"/>
      <c r="BF358" s="363"/>
      <c r="BG358" s="363"/>
      <c r="BH358" s="338">
        <f t="shared" si="17"/>
        <v>0</v>
      </c>
      <c r="BI358" s="780" t="s">
        <v>259</v>
      </c>
      <c r="BJ358" s="365"/>
      <c r="BK358" s="371">
        <f>'Degrémont Entrée'!BH358</f>
        <v>0</v>
      </c>
      <c r="BL358" s="372">
        <f>'Degrémont Entrée'!BI358</f>
        <v>0</v>
      </c>
    </row>
    <row r="359" spans="1:64" ht="15.75" customHeight="1" outlineLevel="1">
      <c r="A359" s="337">
        <f t="shared" si="18"/>
        <v>43811</v>
      </c>
      <c r="B359" s="338">
        <f>'Degrémont Entrée'!B359</f>
        <v>849</v>
      </c>
      <c r="C359" s="339">
        <v>9.36</v>
      </c>
      <c r="D359" s="340">
        <v>88.7</v>
      </c>
      <c r="E359" s="341">
        <v>90.5</v>
      </c>
      <c r="F359" s="342">
        <v>175</v>
      </c>
      <c r="G359" s="329">
        <f t="shared" si="0"/>
        <v>10.28571428571427</v>
      </c>
      <c r="H359" s="338"/>
      <c r="I359" s="343">
        <v>167</v>
      </c>
      <c r="J359" s="344">
        <f t="shared" si="2"/>
        <v>141.78299999999999</v>
      </c>
      <c r="K359" s="343">
        <v>1</v>
      </c>
      <c r="L359" s="345">
        <v>1.76</v>
      </c>
      <c r="M359" s="346">
        <f t="shared" si="3"/>
        <v>1.76</v>
      </c>
      <c r="N359" s="338">
        <f t="shared" si="4"/>
        <v>1.49424</v>
      </c>
      <c r="O359" s="341">
        <v>2.8</v>
      </c>
      <c r="P359" s="347">
        <f t="shared" si="19"/>
        <v>2.3771999999999998</v>
      </c>
      <c r="Q359" s="666" t="s">
        <v>85</v>
      </c>
      <c r="R359" s="318">
        <v>0.02</v>
      </c>
      <c r="S359" s="349">
        <f t="shared" si="20"/>
        <v>8.490000000000001E-3</v>
      </c>
      <c r="T359" s="666" t="s">
        <v>85</v>
      </c>
      <c r="U359" s="318">
        <v>0.22</v>
      </c>
      <c r="V359" s="349">
        <f t="shared" si="5"/>
        <v>9.3390000000000001E-2</v>
      </c>
      <c r="W359" s="348"/>
      <c r="X359" s="318">
        <f t="shared" si="6"/>
        <v>2.92</v>
      </c>
      <c r="Y359" s="370">
        <f t="shared" si="7"/>
        <v>2.4790799999999997</v>
      </c>
      <c r="Z359" s="343" t="s">
        <v>85</v>
      </c>
      <c r="AA359" s="345">
        <v>0.01</v>
      </c>
      <c r="AB359" s="352">
        <f t="shared" si="8"/>
        <v>4.2450000000000005E-3</v>
      </c>
      <c r="AC359" s="353"/>
      <c r="AD359" s="354"/>
      <c r="AE359" s="378" t="str">
        <f t="shared" si="21"/>
        <v/>
      </c>
      <c r="AF359" s="329"/>
      <c r="AG359" s="358"/>
      <c r="AH359" s="356" t="str">
        <f t="shared" si="22"/>
        <v/>
      </c>
      <c r="AI359" s="329"/>
      <c r="AJ359" s="329"/>
      <c r="AK359" s="356">
        <f t="shared" si="11"/>
        <v>0</v>
      </c>
      <c r="AL359" s="357"/>
      <c r="AM359" s="358"/>
      <c r="AN359" s="356">
        <f t="shared" si="12"/>
        <v>0</v>
      </c>
      <c r="AO359" s="329"/>
      <c r="AP359" s="358"/>
      <c r="AQ359" s="359">
        <f t="shared" si="13"/>
        <v>0</v>
      </c>
      <c r="AR359" s="360"/>
      <c r="AS359" s="358"/>
      <c r="AT359" s="356">
        <f t="shared" si="14"/>
        <v>0</v>
      </c>
      <c r="AU359" s="329"/>
      <c r="AV359" s="358"/>
      <c r="AW359" s="359">
        <f t="shared" si="15"/>
        <v>0</v>
      </c>
      <c r="AX359" s="329"/>
      <c r="AY359" s="358"/>
      <c r="AZ359" s="359">
        <f t="shared" si="16"/>
        <v>0</v>
      </c>
      <c r="BA359" s="329">
        <f>IF('Degrémont Entrée'!K359="",,('Degrémont Entrée'!K359-I359)/'Degrémont Entrée'!K359*100)</f>
        <v>96.609825416159154</v>
      </c>
      <c r="BB359" s="329">
        <f>IF('Degrémont Entrée'!G359="",,('Degrémont Entrée'!G359-G359)/'Degrémont Entrée'!G359*100)</f>
        <v>99.776397515527933</v>
      </c>
      <c r="BC359" s="329">
        <f>IF('Degrémont Entrée'!S359="",,('Degrémont Entrée'!S359-M359)/'Degrémont Entrée'!S359*100)</f>
        <v>99.293172690763058</v>
      </c>
      <c r="BD359" s="361">
        <f ca="1">IFERROR(__xludf.DUMMYFUNCTION("""COMPUTED_VALUE"""),52.55)</f>
        <v>52.55</v>
      </c>
      <c r="BE359" s="362"/>
      <c r="BF359" s="363"/>
      <c r="BG359" s="363"/>
      <c r="BH359" s="338">
        <f t="shared" si="17"/>
        <v>0</v>
      </c>
      <c r="BI359" s="364"/>
      <c r="BJ359" s="365"/>
      <c r="BK359" s="366">
        <f>'Degrémont Entrée'!BH359</f>
        <v>0</v>
      </c>
      <c r="BL359" s="367">
        <f>'Degrémont Entrée'!BI359</f>
        <v>0</v>
      </c>
    </row>
    <row r="360" spans="1:64" ht="14.25" outlineLevel="1">
      <c r="A360" s="337">
        <f t="shared" si="18"/>
        <v>43812</v>
      </c>
      <c r="B360" s="338">
        <f>'Degrémont Entrée'!B360</f>
        <v>1666</v>
      </c>
      <c r="C360" s="339">
        <v>8.8800000000000008</v>
      </c>
      <c r="D360" s="340">
        <v>87.9</v>
      </c>
      <c r="E360" s="341">
        <v>90.8</v>
      </c>
      <c r="F360" s="342">
        <v>150</v>
      </c>
      <c r="G360" s="329">
        <f t="shared" si="0"/>
        <v>19.333333333333275</v>
      </c>
      <c r="H360" s="338"/>
      <c r="I360" s="343">
        <v>397</v>
      </c>
      <c r="J360" s="344">
        <f t="shared" si="2"/>
        <v>661.40200000000004</v>
      </c>
      <c r="K360" s="343">
        <v>1</v>
      </c>
      <c r="L360" s="345">
        <v>1.98</v>
      </c>
      <c r="M360" s="346">
        <f t="shared" si="3"/>
        <v>1.98</v>
      </c>
      <c r="N360" s="338">
        <f t="shared" si="4"/>
        <v>3.2986800000000001</v>
      </c>
      <c r="O360" s="341">
        <v>8</v>
      </c>
      <c r="P360" s="347">
        <f t="shared" si="19"/>
        <v>13.327999999999999</v>
      </c>
      <c r="Q360" s="666" t="s">
        <v>85</v>
      </c>
      <c r="R360" s="318">
        <v>0.02</v>
      </c>
      <c r="S360" s="349">
        <f t="shared" si="20"/>
        <v>1.6660000000000001E-2</v>
      </c>
      <c r="T360" s="666" t="s">
        <v>85</v>
      </c>
      <c r="U360" s="318">
        <v>0.22</v>
      </c>
      <c r="V360" s="349">
        <f t="shared" si="5"/>
        <v>0.18325999999999998</v>
      </c>
      <c r="W360" s="348"/>
      <c r="X360" s="318">
        <f t="shared" si="6"/>
        <v>8.1199999999999992</v>
      </c>
      <c r="Y360" s="370">
        <f t="shared" si="7"/>
        <v>13.527919999999998</v>
      </c>
      <c r="Z360" s="343" t="s">
        <v>85</v>
      </c>
      <c r="AA360" s="345">
        <v>0.01</v>
      </c>
      <c r="AB360" s="352">
        <f t="shared" si="8"/>
        <v>8.3300000000000006E-3</v>
      </c>
      <c r="AC360" s="353"/>
      <c r="AD360" s="354"/>
      <c r="AE360" s="378" t="str">
        <f t="shared" si="21"/>
        <v/>
      </c>
      <c r="AF360" s="329"/>
      <c r="AG360" s="358"/>
      <c r="AH360" s="356" t="str">
        <f t="shared" si="22"/>
        <v/>
      </c>
      <c r="AI360" s="329"/>
      <c r="AJ360" s="329"/>
      <c r="AK360" s="356">
        <f t="shared" si="11"/>
        <v>0</v>
      </c>
      <c r="AL360" s="357"/>
      <c r="AM360" s="358"/>
      <c r="AN360" s="356">
        <f t="shared" si="12"/>
        <v>0</v>
      </c>
      <c r="AO360" s="329"/>
      <c r="AP360" s="358"/>
      <c r="AQ360" s="359">
        <f t="shared" si="13"/>
        <v>0</v>
      </c>
      <c r="AR360" s="360"/>
      <c r="AS360" s="358"/>
      <c r="AT360" s="356">
        <f t="shared" si="14"/>
        <v>0</v>
      </c>
      <c r="AU360" s="329"/>
      <c r="AV360" s="358"/>
      <c r="AW360" s="359">
        <f t="shared" si="15"/>
        <v>0</v>
      </c>
      <c r="AX360" s="329"/>
      <c r="AY360" s="358"/>
      <c r="AZ360" s="359">
        <f t="shared" si="16"/>
        <v>0</v>
      </c>
      <c r="BA360" s="329">
        <f>IF('Degrémont Entrée'!K360="",,('Degrémont Entrée'!K360-I360)/'Degrémont Entrée'!K360*100)</f>
        <v>94.343117697349683</v>
      </c>
      <c r="BB360" s="329">
        <f>IF('Degrémont Entrée'!G360="",,('Degrémont Entrée'!G360-G360)/'Degrémont Entrée'!G360*100)</f>
        <v>99.789702683103684</v>
      </c>
      <c r="BC360" s="329">
        <f>IF('Degrémont Entrée'!S360="",,('Degrémont Entrée'!S360-M360)/'Degrémont Entrée'!S360*100)</f>
        <v>99.386996904024755</v>
      </c>
      <c r="BD360" s="361" t="str">
        <f ca="1">IFERROR(__xludf.DUMMYFUNCTION("""COMPUTED_VALUE"""),"#DIV/0!")</f>
        <v>#DIV/0!</v>
      </c>
      <c r="BE360" s="362"/>
      <c r="BF360" s="363"/>
      <c r="BG360" s="363"/>
      <c r="BH360" s="338">
        <f t="shared" si="17"/>
        <v>0</v>
      </c>
      <c r="BI360" s="364"/>
      <c r="BJ360" s="365"/>
      <c r="BK360" s="371">
        <f>'Degrémont Entrée'!BH360</f>
        <v>0</v>
      </c>
      <c r="BL360" s="372">
        <f>'Degrémont Entrée'!BI360</f>
        <v>0</v>
      </c>
    </row>
    <row r="361" spans="1:64" ht="15.75" customHeight="1" outlineLevel="1">
      <c r="A361" s="337">
        <f t="shared" si="18"/>
        <v>43813</v>
      </c>
      <c r="B361" s="338">
        <f>'Degrémont Entrée'!B361</f>
        <v>0</v>
      </c>
      <c r="C361" s="338"/>
      <c r="D361" s="388"/>
      <c r="E361" s="368"/>
      <c r="F361" s="357"/>
      <c r="G361" s="329">
        <f t="shared" si="0"/>
        <v>0</v>
      </c>
      <c r="H361" s="338"/>
      <c r="I361" s="346"/>
      <c r="J361" s="344">
        <f t="shared" si="2"/>
        <v>0</v>
      </c>
      <c r="K361" s="343">
        <v>1</v>
      </c>
      <c r="L361" s="329"/>
      <c r="M361" s="346" t="str">
        <f t="shared" si="3"/>
        <v/>
      </c>
      <c r="N361" s="338" t="e">
        <f t="shared" si="4"/>
        <v>#VALUE!</v>
      </c>
      <c r="O361" s="368"/>
      <c r="P361" s="347">
        <f t="shared" si="19"/>
        <v>0</v>
      </c>
      <c r="Q361" s="348"/>
      <c r="R361" s="369"/>
      <c r="S361" s="349">
        <f t="shared" si="20"/>
        <v>0</v>
      </c>
      <c r="T361" s="348"/>
      <c r="U361" s="369"/>
      <c r="V361" s="349">
        <f t="shared" si="5"/>
        <v>0</v>
      </c>
      <c r="W361" s="348"/>
      <c r="X361" s="318" t="str">
        <f t="shared" si="6"/>
        <v/>
      </c>
      <c r="Y361" s="370" t="e">
        <f t="shared" si="7"/>
        <v>#VALUE!</v>
      </c>
      <c r="Z361" s="346"/>
      <c r="AA361" s="329"/>
      <c r="AB361" s="352">
        <f t="shared" si="8"/>
        <v>0</v>
      </c>
      <c r="AC361" s="353"/>
      <c r="AD361" s="354"/>
      <c r="AE361" s="378" t="str">
        <f t="shared" si="21"/>
        <v/>
      </c>
      <c r="AF361" s="329"/>
      <c r="AG361" s="358"/>
      <c r="AH361" s="356" t="str">
        <f t="shared" si="22"/>
        <v/>
      </c>
      <c r="AI361" s="329"/>
      <c r="AJ361" s="329"/>
      <c r="AK361" s="356">
        <f t="shared" si="11"/>
        <v>0</v>
      </c>
      <c r="AL361" s="357"/>
      <c r="AM361" s="358"/>
      <c r="AN361" s="356">
        <f t="shared" si="12"/>
        <v>0</v>
      </c>
      <c r="AO361" s="329"/>
      <c r="AP361" s="358"/>
      <c r="AQ361" s="359">
        <f t="shared" si="13"/>
        <v>0</v>
      </c>
      <c r="AR361" s="360"/>
      <c r="AS361" s="358"/>
      <c r="AT361" s="356">
        <f t="shared" si="14"/>
        <v>0</v>
      </c>
      <c r="AU361" s="329"/>
      <c r="AV361" s="358"/>
      <c r="AW361" s="359">
        <f t="shared" si="15"/>
        <v>0</v>
      </c>
      <c r="AX361" s="329"/>
      <c r="AY361" s="358"/>
      <c r="AZ361" s="359">
        <f t="shared" si="16"/>
        <v>0</v>
      </c>
      <c r="BA361" s="329" t="e">
        <f>IF('Degrémont Entrée'!K361="",,('Degrémont Entrée'!K361-I361)/'Degrémont Entrée'!K361*100)</f>
        <v>#DIV/0!</v>
      </c>
      <c r="BB361" s="329" t="e">
        <f>IF('Degrémont Entrée'!G361="",,('Degrémont Entrée'!G361-G361)/'Degrémont Entrée'!G361*100)</f>
        <v>#DIV/0!</v>
      </c>
      <c r="BC361" s="329">
        <f>IF('Degrémont Entrée'!S361="",,('Degrémont Entrée'!S361-M361)/'Degrémont Entrée'!S361*100)</f>
        <v>0</v>
      </c>
      <c r="BD361" s="361" t="str">
        <f ca="1">IFERROR(__xludf.DUMMYFUNCTION("""COMPUTED_VALUE"""),"#DIV/0!")</f>
        <v>#DIV/0!</v>
      </c>
      <c r="BE361" s="362"/>
      <c r="BF361" s="363"/>
      <c r="BG361" s="363"/>
      <c r="BH361" s="338">
        <f t="shared" si="17"/>
        <v>0</v>
      </c>
      <c r="BI361" s="364"/>
      <c r="BJ361" s="365"/>
      <c r="BK361" s="366">
        <f>'Degrémont Entrée'!BH361</f>
        <v>0</v>
      </c>
      <c r="BL361" s="367">
        <f>'Degrémont Entrée'!BI361</f>
        <v>0</v>
      </c>
    </row>
    <row r="362" spans="1:64" ht="14.25" outlineLevel="1">
      <c r="A362" s="337">
        <f t="shared" si="18"/>
        <v>43814</v>
      </c>
      <c r="B362" s="338">
        <f>'Degrémont Entrée'!B362</f>
        <v>0</v>
      </c>
      <c r="C362" s="338"/>
      <c r="D362" s="388"/>
      <c r="E362" s="368"/>
      <c r="F362" s="357"/>
      <c r="G362" s="329">
        <f t="shared" si="0"/>
        <v>0</v>
      </c>
      <c r="H362" s="338"/>
      <c r="I362" s="346"/>
      <c r="J362" s="344">
        <f t="shared" si="2"/>
        <v>0</v>
      </c>
      <c r="K362" s="343">
        <v>1</v>
      </c>
      <c r="L362" s="329"/>
      <c r="M362" s="346" t="str">
        <f t="shared" si="3"/>
        <v/>
      </c>
      <c r="N362" s="338" t="e">
        <f t="shared" si="4"/>
        <v>#VALUE!</v>
      </c>
      <c r="O362" s="368"/>
      <c r="P362" s="347">
        <f t="shared" si="19"/>
        <v>0</v>
      </c>
      <c r="Q362" s="348"/>
      <c r="R362" s="369"/>
      <c r="S362" s="349">
        <f t="shared" si="20"/>
        <v>0</v>
      </c>
      <c r="T362" s="348"/>
      <c r="U362" s="369"/>
      <c r="V362" s="349">
        <f t="shared" si="5"/>
        <v>0</v>
      </c>
      <c r="W362" s="348"/>
      <c r="X362" s="318" t="str">
        <f t="shared" si="6"/>
        <v/>
      </c>
      <c r="Y362" s="370" t="e">
        <f t="shared" si="7"/>
        <v>#VALUE!</v>
      </c>
      <c r="Z362" s="346"/>
      <c r="AA362" s="329"/>
      <c r="AB362" s="352">
        <f t="shared" si="8"/>
        <v>0</v>
      </c>
      <c r="AC362" s="353"/>
      <c r="AD362" s="354"/>
      <c r="AE362" s="378" t="str">
        <f t="shared" si="21"/>
        <v/>
      </c>
      <c r="AF362" s="329"/>
      <c r="AG362" s="358"/>
      <c r="AH362" s="356" t="str">
        <f t="shared" si="22"/>
        <v/>
      </c>
      <c r="AI362" s="329"/>
      <c r="AJ362" s="329"/>
      <c r="AK362" s="356">
        <f t="shared" si="11"/>
        <v>0</v>
      </c>
      <c r="AL362" s="357"/>
      <c r="AM362" s="358"/>
      <c r="AN362" s="356">
        <f t="shared" si="12"/>
        <v>0</v>
      </c>
      <c r="AO362" s="329"/>
      <c r="AP362" s="358"/>
      <c r="AQ362" s="359">
        <f t="shared" si="13"/>
        <v>0</v>
      </c>
      <c r="AR362" s="360"/>
      <c r="AS362" s="358"/>
      <c r="AT362" s="356">
        <f t="shared" si="14"/>
        <v>0</v>
      </c>
      <c r="AU362" s="329"/>
      <c r="AV362" s="358"/>
      <c r="AW362" s="359">
        <f t="shared" si="15"/>
        <v>0</v>
      </c>
      <c r="AX362" s="329"/>
      <c r="AY362" s="358"/>
      <c r="AZ362" s="359">
        <f t="shared" si="16"/>
        <v>0</v>
      </c>
      <c r="BA362" s="329" t="e">
        <f>IF('Degrémont Entrée'!K362="",,('Degrémont Entrée'!K362-I362)/'Degrémont Entrée'!K362*100)</f>
        <v>#DIV/0!</v>
      </c>
      <c r="BB362" s="329" t="e">
        <f>IF('Degrémont Entrée'!G362="",,('Degrémont Entrée'!G362-G362)/'Degrémont Entrée'!G362*100)</f>
        <v>#DIV/0!</v>
      </c>
      <c r="BC362" s="329">
        <f>IF('Degrémont Entrée'!S362="",,('Degrémont Entrée'!S362-M362)/'Degrémont Entrée'!S362*100)</f>
        <v>0</v>
      </c>
      <c r="BD362" s="361" t="str">
        <f ca="1">IFERROR(__xludf.DUMMYFUNCTION("""COMPUTED_VALUE"""),"#DIV/0!")</f>
        <v>#DIV/0!</v>
      </c>
      <c r="BE362" s="362"/>
      <c r="BF362" s="363"/>
      <c r="BG362" s="363"/>
      <c r="BH362" s="338">
        <f t="shared" si="17"/>
        <v>0</v>
      </c>
      <c r="BI362" s="364"/>
      <c r="BJ362" s="365"/>
      <c r="BK362" s="371">
        <f>'Degrémont Entrée'!BH362</f>
        <v>0</v>
      </c>
      <c r="BL362" s="372">
        <f>'Degrémont Entrée'!BI362</f>
        <v>0</v>
      </c>
    </row>
    <row r="363" spans="1:64" ht="15.75" customHeight="1" outlineLevel="1">
      <c r="A363" s="337">
        <f t="shared" si="18"/>
        <v>43815</v>
      </c>
      <c r="B363" s="338">
        <f>'Degrémont Entrée'!B363</f>
        <v>113</v>
      </c>
      <c r="C363" s="338"/>
      <c r="D363" s="388"/>
      <c r="E363" s="368"/>
      <c r="F363" s="357"/>
      <c r="G363" s="329">
        <f t="shared" si="0"/>
        <v>0</v>
      </c>
      <c r="H363" s="338"/>
      <c r="I363" s="346"/>
      <c r="J363" s="344">
        <f t="shared" si="2"/>
        <v>0</v>
      </c>
      <c r="K363" s="343">
        <v>1</v>
      </c>
      <c r="L363" s="329"/>
      <c r="M363" s="346" t="str">
        <f t="shared" si="3"/>
        <v/>
      </c>
      <c r="N363" s="338" t="e">
        <f t="shared" si="4"/>
        <v>#VALUE!</v>
      </c>
      <c r="O363" s="368"/>
      <c r="P363" s="347">
        <f t="shared" si="19"/>
        <v>0</v>
      </c>
      <c r="Q363" s="348"/>
      <c r="R363" s="369"/>
      <c r="S363" s="349">
        <f t="shared" si="20"/>
        <v>0</v>
      </c>
      <c r="T363" s="348"/>
      <c r="U363" s="369"/>
      <c r="V363" s="349">
        <f t="shared" si="5"/>
        <v>0</v>
      </c>
      <c r="W363" s="348"/>
      <c r="X363" s="318" t="str">
        <f t="shared" si="6"/>
        <v/>
      </c>
      <c r="Y363" s="370" t="e">
        <f t="shared" si="7"/>
        <v>#VALUE!</v>
      </c>
      <c r="Z363" s="346"/>
      <c r="AA363" s="329"/>
      <c r="AB363" s="352">
        <f t="shared" si="8"/>
        <v>0</v>
      </c>
      <c r="AC363" s="353"/>
      <c r="AD363" s="354"/>
      <c r="AE363" s="378" t="str">
        <f t="shared" si="21"/>
        <v/>
      </c>
      <c r="AF363" s="329"/>
      <c r="AG363" s="358"/>
      <c r="AH363" s="356" t="str">
        <f t="shared" si="22"/>
        <v/>
      </c>
      <c r="AI363" s="329"/>
      <c r="AJ363" s="329"/>
      <c r="AK363" s="356">
        <f t="shared" si="11"/>
        <v>0</v>
      </c>
      <c r="AL363" s="357"/>
      <c r="AM363" s="358"/>
      <c r="AN363" s="356">
        <f t="shared" si="12"/>
        <v>0</v>
      </c>
      <c r="AO363" s="329"/>
      <c r="AP363" s="358"/>
      <c r="AQ363" s="359">
        <f t="shared" si="13"/>
        <v>0</v>
      </c>
      <c r="AR363" s="360"/>
      <c r="AS363" s="358"/>
      <c r="AT363" s="356">
        <f t="shared" si="14"/>
        <v>0</v>
      </c>
      <c r="AU363" s="329"/>
      <c r="AV363" s="358"/>
      <c r="AW363" s="359">
        <f t="shared" si="15"/>
        <v>0</v>
      </c>
      <c r="AX363" s="329"/>
      <c r="AY363" s="358"/>
      <c r="AZ363" s="359">
        <f t="shared" si="16"/>
        <v>0</v>
      </c>
      <c r="BA363" s="329" t="e">
        <f>IF('Degrémont Entrée'!K363="",,('Degrémont Entrée'!K363-I363)/'Degrémont Entrée'!K363*100)</f>
        <v>#DIV/0!</v>
      </c>
      <c r="BB363" s="329" t="e">
        <f>IF('Degrémont Entrée'!G363="",,('Degrémont Entrée'!G363-G363)/'Degrémont Entrée'!G363*100)</f>
        <v>#DIV/0!</v>
      </c>
      <c r="BC363" s="329">
        <f>IF('Degrémont Entrée'!S363="",,('Degrémont Entrée'!S363-M363)/'Degrémont Entrée'!S363*100)</f>
        <v>0</v>
      </c>
      <c r="BD363" s="361" t="str">
        <f ca="1">IFERROR(__xludf.DUMMYFUNCTION("""COMPUTED_VALUE"""),"#DIV/0!")</f>
        <v>#DIV/0!</v>
      </c>
      <c r="BE363" s="362"/>
      <c r="BF363" s="363"/>
      <c r="BG363" s="363"/>
      <c r="BH363" s="338">
        <f t="shared" si="17"/>
        <v>0</v>
      </c>
      <c r="BI363" s="364"/>
      <c r="BJ363" s="365"/>
      <c r="BK363" s="366">
        <f>'Degrémont Entrée'!BH363</f>
        <v>0</v>
      </c>
      <c r="BL363" s="367">
        <f>'Degrémont Entrée'!BI363</f>
        <v>0</v>
      </c>
    </row>
    <row r="364" spans="1:64" ht="24" outlineLevel="1">
      <c r="A364" s="337">
        <f t="shared" si="18"/>
        <v>43816</v>
      </c>
      <c r="B364" s="338">
        <f>'Degrémont Entrée'!B364</f>
        <v>148</v>
      </c>
      <c r="C364" s="339">
        <v>7.52</v>
      </c>
      <c r="D364" s="340">
        <v>94</v>
      </c>
      <c r="E364" s="341">
        <v>106.6</v>
      </c>
      <c r="F364" s="342">
        <v>150</v>
      </c>
      <c r="G364" s="329">
        <f t="shared" si="0"/>
        <v>83.999999999999957</v>
      </c>
      <c r="H364" s="338"/>
      <c r="I364" s="343">
        <v>1033</v>
      </c>
      <c r="J364" s="344">
        <f t="shared" si="2"/>
        <v>152.88399999999999</v>
      </c>
      <c r="K364" s="343">
        <v>1</v>
      </c>
      <c r="L364" s="345">
        <v>34.1</v>
      </c>
      <c r="M364" s="346">
        <f t="shared" si="3"/>
        <v>34.1</v>
      </c>
      <c r="N364" s="338">
        <f t="shared" si="4"/>
        <v>5.0468000000000002</v>
      </c>
      <c r="O364" s="345">
        <v>18.2</v>
      </c>
      <c r="P364" s="347">
        <f t="shared" si="19"/>
        <v>2.6936</v>
      </c>
      <c r="Q364" s="666" t="s">
        <v>85</v>
      </c>
      <c r="R364" s="318">
        <v>0.02</v>
      </c>
      <c r="S364" s="349">
        <f t="shared" si="20"/>
        <v>1.48E-3</v>
      </c>
      <c r="T364" s="798"/>
      <c r="U364" s="318">
        <v>12.7</v>
      </c>
      <c r="V364" s="349">
        <f t="shared" si="5"/>
        <v>1.8795999999999999</v>
      </c>
      <c r="W364" s="348"/>
      <c r="X364" s="318">
        <f t="shared" si="6"/>
        <v>30.909999999999997</v>
      </c>
      <c r="Y364" s="370">
        <f t="shared" si="7"/>
        <v>4.574679999999999</v>
      </c>
      <c r="Z364" s="343" t="s">
        <v>85</v>
      </c>
      <c r="AA364" s="345">
        <v>0.01</v>
      </c>
      <c r="AB364" s="352">
        <f t="shared" si="8"/>
        <v>7.3999999999999999E-4</v>
      </c>
      <c r="AC364" s="385" t="s">
        <v>85</v>
      </c>
      <c r="AD364" s="377">
        <v>5.0000000000000001E-3</v>
      </c>
      <c r="AE364" s="378">
        <f t="shared" si="21"/>
        <v>9.3400000000000011E-3</v>
      </c>
      <c r="AF364" s="329"/>
      <c r="AG364" s="355">
        <v>0.18099999999999999</v>
      </c>
      <c r="AH364" s="356">
        <f t="shared" si="22"/>
        <v>0.67621600000000004</v>
      </c>
      <c r="AI364" s="329"/>
      <c r="AJ364" s="345">
        <v>0.12</v>
      </c>
      <c r="AK364" s="356">
        <f t="shared" si="11"/>
        <v>1.7759999999999998E-2</v>
      </c>
      <c r="AL364" s="342" t="s">
        <v>85</v>
      </c>
      <c r="AM364" s="355">
        <v>5.0000000000000001E-3</v>
      </c>
      <c r="AN364" s="356">
        <f t="shared" si="12"/>
        <v>3.6999999999999999E-4</v>
      </c>
      <c r="AO364" s="329"/>
      <c r="AP364" s="355">
        <v>8.5999999999999993E-2</v>
      </c>
      <c r="AQ364" s="359">
        <f t="shared" si="13"/>
        <v>1.2728E-2</v>
      </c>
      <c r="AR364" s="360"/>
      <c r="AS364" s="355">
        <v>7.9000000000000001E-2</v>
      </c>
      <c r="AT364" s="356">
        <f t="shared" si="14"/>
        <v>1.1692000000000001E-2</v>
      </c>
      <c r="AU364" s="329"/>
      <c r="AV364" s="355">
        <v>6.0000000000000001E-3</v>
      </c>
      <c r="AW364" s="359">
        <f t="shared" si="15"/>
        <v>8.8800000000000001E-4</v>
      </c>
      <c r="AX364" s="345" t="s">
        <v>85</v>
      </c>
      <c r="AY364" s="355">
        <v>2E-3</v>
      </c>
      <c r="AZ364" s="359">
        <f t="shared" si="16"/>
        <v>1.4799999999999999E-4</v>
      </c>
      <c r="BA364" s="329">
        <f>IF('Degrémont Entrée'!K364="",,('Degrémont Entrée'!K364-I364)/'Degrémont Entrée'!K364*100)</f>
        <v>94.063218390804593</v>
      </c>
      <c r="BB364" s="329">
        <f>IF('Degrémont Entrée'!G364="",,('Degrémont Entrée'!G364-G364)/'Degrémont Entrée'!G364*100)</f>
        <v>99.337190952130456</v>
      </c>
      <c r="BC364" s="329">
        <f>IF('Degrémont Entrée'!S364="",,('Degrémont Entrée'!S364-M364)/'Degrémont Entrée'!S364*100)</f>
        <v>89.759759759759746</v>
      </c>
      <c r="BD364" s="361" t="str">
        <f ca="1">IFERROR(__xludf.DUMMYFUNCTION("""COMPUTED_VALUE"""),"#DIV/0!")</f>
        <v>#DIV/0!</v>
      </c>
      <c r="BE364" s="386">
        <v>21.853000000000002</v>
      </c>
      <c r="BF364" s="387">
        <v>33.206000000000003</v>
      </c>
      <c r="BG364" s="387">
        <v>27.907</v>
      </c>
      <c r="BH364" s="338">
        <f t="shared" si="17"/>
        <v>53.325112305117571</v>
      </c>
      <c r="BI364" s="780" t="s">
        <v>264</v>
      </c>
      <c r="BJ364" s="365"/>
      <c r="BK364" s="371" t="str">
        <f>'Degrémont Entrée'!BH364</f>
        <v>CA MES : 14030 mg/l, DCO : 18200 mg/l</v>
      </c>
      <c r="BL364" s="372">
        <f>'Degrémont Entrée'!BI364</f>
        <v>0</v>
      </c>
    </row>
    <row r="365" spans="1:64" ht="15.75" customHeight="1" outlineLevel="1">
      <c r="A365" s="337">
        <f t="shared" si="18"/>
        <v>43817</v>
      </c>
      <c r="B365" s="338">
        <f>'Degrémont Entrée'!B365</f>
        <v>63</v>
      </c>
      <c r="C365" s="338"/>
      <c r="D365" s="388"/>
      <c r="E365" s="368"/>
      <c r="F365" s="357"/>
      <c r="G365" s="329">
        <f t="shared" si="0"/>
        <v>0</v>
      </c>
      <c r="H365" s="338"/>
      <c r="I365" s="346"/>
      <c r="J365" s="344">
        <f t="shared" si="2"/>
        <v>0</v>
      </c>
      <c r="K365" s="343">
        <v>1</v>
      </c>
      <c r="L365" s="329"/>
      <c r="M365" s="346" t="str">
        <f t="shared" si="3"/>
        <v/>
      </c>
      <c r="N365" s="338" t="e">
        <f t="shared" si="4"/>
        <v>#VALUE!</v>
      </c>
      <c r="O365" s="368"/>
      <c r="P365" s="347">
        <f t="shared" si="19"/>
        <v>0</v>
      </c>
      <c r="Q365" s="348"/>
      <c r="R365" s="369"/>
      <c r="S365" s="349">
        <f t="shared" si="20"/>
        <v>0</v>
      </c>
      <c r="T365" s="348"/>
      <c r="U365" s="369"/>
      <c r="V365" s="349">
        <f t="shared" si="5"/>
        <v>0</v>
      </c>
      <c r="W365" s="348"/>
      <c r="X365" s="318" t="str">
        <f t="shared" si="6"/>
        <v/>
      </c>
      <c r="Y365" s="370" t="e">
        <f t="shared" si="7"/>
        <v>#VALUE!</v>
      </c>
      <c r="Z365" s="346"/>
      <c r="AA365" s="329"/>
      <c r="AB365" s="352">
        <f t="shared" si="8"/>
        <v>0</v>
      </c>
      <c r="AC365" s="353"/>
      <c r="AD365" s="354"/>
      <c r="AE365" s="378" t="str">
        <f t="shared" si="21"/>
        <v/>
      </c>
      <c r="AF365" s="329"/>
      <c r="AG365" s="358"/>
      <c r="AH365" s="356" t="str">
        <f t="shared" si="22"/>
        <v/>
      </c>
      <c r="AI365" s="329"/>
      <c r="AJ365" s="329"/>
      <c r="AK365" s="356">
        <f t="shared" si="11"/>
        <v>0</v>
      </c>
      <c r="AL365" s="357"/>
      <c r="AM365" s="358"/>
      <c r="AN365" s="356">
        <f t="shared" si="12"/>
        <v>0</v>
      </c>
      <c r="AO365" s="329"/>
      <c r="AP365" s="358"/>
      <c r="AQ365" s="359">
        <f t="shared" si="13"/>
        <v>0</v>
      </c>
      <c r="AR365" s="360"/>
      <c r="AS365" s="358"/>
      <c r="AT365" s="356">
        <f t="shared" si="14"/>
        <v>0</v>
      </c>
      <c r="AU365" s="329"/>
      <c r="AV365" s="358"/>
      <c r="AW365" s="359">
        <f t="shared" si="15"/>
        <v>0</v>
      </c>
      <c r="AX365" s="329"/>
      <c r="AY365" s="358"/>
      <c r="AZ365" s="359">
        <f t="shared" si="16"/>
        <v>0</v>
      </c>
      <c r="BA365" s="329" t="e">
        <f>IF('Degrémont Entrée'!K365="",,('Degrémont Entrée'!K365-I365)/'Degrémont Entrée'!K365*100)</f>
        <v>#DIV/0!</v>
      </c>
      <c r="BB365" s="329" t="e">
        <f>IF('Degrémont Entrée'!G365="",,('Degrémont Entrée'!G365-G365)/'Degrémont Entrée'!G365*100)</f>
        <v>#DIV/0!</v>
      </c>
      <c r="BC365" s="329">
        <f>IF('Degrémont Entrée'!S365="",,('Degrémont Entrée'!S365-M365)/'Degrémont Entrée'!S365*100)</f>
        <v>0</v>
      </c>
      <c r="BD365" s="361" t="str">
        <f ca="1">IFERROR(__xludf.DUMMYFUNCTION("""COMPUTED_VALUE"""),"#DIV/0!")</f>
        <v>#DIV/0!</v>
      </c>
      <c r="BE365" s="362"/>
      <c r="BF365" s="363"/>
      <c r="BG365" s="363"/>
      <c r="BH365" s="338">
        <f t="shared" si="17"/>
        <v>0</v>
      </c>
      <c r="BI365" s="364"/>
      <c r="BJ365" s="365"/>
      <c r="BK365" s="366">
        <f>'Degrémont Entrée'!BH365</f>
        <v>0</v>
      </c>
      <c r="BL365" s="367">
        <f>'Degrémont Entrée'!BI365</f>
        <v>0</v>
      </c>
    </row>
    <row r="366" spans="1:64" ht="14.25" outlineLevel="1">
      <c r="A366" s="337">
        <f t="shared" si="18"/>
        <v>43818</v>
      </c>
      <c r="B366" s="338">
        <f>'Degrémont Entrée'!B366</f>
        <v>224</v>
      </c>
      <c r="C366" s="339">
        <v>8.59</v>
      </c>
      <c r="D366" s="340">
        <v>87.2</v>
      </c>
      <c r="E366" s="341">
        <v>94</v>
      </c>
      <c r="F366" s="342">
        <v>150</v>
      </c>
      <c r="G366" s="329">
        <f t="shared" si="0"/>
        <v>45.333333333333314</v>
      </c>
      <c r="H366" s="338"/>
      <c r="I366" s="343">
        <v>2343</v>
      </c>
      <c r="J366" s="344">
        <f t="shared" si="2"/>
        <v>524.83199999999999</v>
      </c>
      <c r="K366" s="343">
        <v>1</v>
      </c>
      <c r="L366" s="345">
        <v>13.4</v>
      </c>
      <c r="M366" s="346">
        <f t="shared" si="3"/>
        <v>13.4</v>
      </c>
      <c r="N366" s="338">
        <f t="shared" si="4"/>
        <v>3.0015999999999998</v>
      </c>
      <c r="O366" s="341">
        <v>37.6</v>
      </c>
      <c r="P366" s="347">
        <f t="shared" si="19"/>
        <v>8.4223999999999997</v>
      </c>
      <c r="Q366" s="666" t="s">
        <v>85</v>
      </c>
      <c r="R366" s="318">
        <v>0.02</v>
      </c>
      <c r="S366" s="349">
        <f t="shared" si="20"/>
        <v>2.2400000000000002E-3</v>
      </c>
      <c r="T366" s="666" t="s">
        <v>85</v>
      </c>
      <c r="U366" s="318">
        <v>0.22</v>
      </c>
      <c r="V366" s="349">
        <f t="shared" si="5"/>
        <v>2.4640000000000002E-2</v>
      </c>
      <c r="W366" s="348"/>
      <c r="X366" s="318">
        <f t="shared" si="6"/>
        <v>37.72</v>
      </c>
      <c r="Y366" s="370">
        <f t="shared" si="7"/>
        <v>8.4492799999999981</v>
      </c>
      <c r="Z366" s="343" t="s">
        <v>85</v>
      </c>
      <c r="AA366" s="345">
        <v>0.01</v>
      </c>
      <c r="AB366" s="352">
        <f t="shared" si="8"/>
        <v>1.1200000000000001E-3</v>
      </c>
      <c r="AC366" s="353"/>
      <c r="AD366" s="354"/>
      <c r="AE366" s="378" t="str">
        <f t="shared" si="21"/>
        <v/>
      </c>
      <c r="AF366" s="329"/>
      <c r="AG366" s="358"/>
      <c r="AH366" s="356" t="str">
        <f t="shared" si="22"/>
        <v/>
      </c>
      <c r="AI366" s="329"/>
      <c r="AJ366" s="329"/>
      <c r="AK366" s="356">
        <f t="shared" si="11"/>
        <v>0</v>
      </c>
      <c r="AL366" s="357"/>
      <c r="AM366" s="358"/>
      <c r="AN366" s="356">
        <f t="shared" si="12"/>
        <v>0</v>
      </c>
      <c r="AO366" s="329"/>
      <c r="AP366" s="358"/>
      <c r="AQ366" s="359">
        <f t="shared" si="13"/>
        <v>0</v>
      </c>
      <c r="AR366" s="360"/>
      <c r="AS366" s="358"/>
      <c r="AT366" s="356">
        <f t="shared" si="14"/>
        <v>0</v>
      </c>
      <c r="AU366" s="329"/>
      <c r="AV366" s="358"/>
      <c r="AW366" s="359">
        <f t="shared" si="15"/>
        <v>0</v>
      </c>
      <c r="AX366" s="329"/>
      <c r="AY366" s="358"/>
      <c r="AZ366" s="359">
        <f t="shared" si="16"/>
        <v>0</v>
      </c>
      <c r="BA366" s="329">
        <f>IF('Degrémont Entrée'!K366="",,('Degrémont Entrée'!K366-I366)/'Degrémont Entrée'!K366*100)</f>
        <v>85.537037037037038</v>
      </c>
      <c r="BB366" s="329">
        <f>IF('Degrémont Entrée'!G366="",,('Degrémont Entrée'!G366-G366)/'Degrémont Entrée'!G366*100)</f>
        <v>99.683749217422417</v>
      </c>
      <c r="BC366" s="329">
        <f>IF('Degrémont Entrée'!S366="",,('Degrémont Entrée'!S366-M366)/'Degrémont Entrée'!S366*100)</f>
        <v>97.330677290836647</v>
      </c>
      <c r="BD366" s="361" t="str">
        <f ca="1">IFERROR(__xludf.DUMMYFUNCTION("""COMPUTED_VALUE"""),"#DIV/0!")</f>
        <v>#DIV/0!</v>
      </c>
      <c r="BE366" s="362"/>
      <c r="BF366" s="363"/>
      <c r="BG366" s="363"/>
      <c r="BH366" s="338">
        <f t="shared" si="17"/>
        <v>0</v>
      </c>
      <c r="BI366" s="780" t="s">
        <v>268</v>
      </c>
      <c r="BJ366" s="365"/>
      <c r="BK366" s="371">
        <f>'Degrémont Entrée'!BH366</f>
        <v>0</v>
      </c>
      <c r="BL366" s="372">
        <f>'Degrémont Entrée'!BI366</f>
        <v>0</v>
      </c>
    </row>
    <row r="367" spans="1:64" ht="15.75" customHeight="1" outlineLevel="1">
      <c r="A367" s="337">
        <f t="shared" si="18"/>
        <v>43819</v>
      </c>
      <c r="B367" s="338">
        <f>'Degrémont Entrée'!B367</f>
        <v>153</v>
      </c>
      <c r="C367" s="339">
        <v>8.14</v>
      </c>
      <c r="D367" s="340">
        <v>88.2</v>
      </c>
      <c r="E367" s="341">
        <v>94.1</v>
      </c>
      <c r="F367" s="342">
        <v>150</v>
      </c>
      <c r="G367" s="329">
        <f t="shared" si="0"/>
        <v>39.333333333333279</v>
      </c>
      <c r="H367" s="338"/>
      <c r="I367" s="343">
        <v>1166</v>
      </c>
      <c r="J367" s="344">
        <f t="shared" si="2"/>
        <v>178.398</v>
      </c>
      <c r="K367" s="343">
        <v>1</v>
      </c>
      <c r="L367" s="345">
        <v>2.62</v>
      </c>
      <c r="M367" s="346">
        <f t="shared" si="3"/>
        <v>2.62</v>
      </c>
      <c r="N367" s="338">
        <f t="shared" si="4"/>
        <v>0.40085999999999999</v>
      </c>
      <c r="O367" s="341">
        <v>28.8</v>
      </c>
      <c r="P367" s="347">
        <f t="shared" si="19"/>
        <v>4.4064000000000005</v>
      </c>
      <c r="Q367" s="666" t="s">
        <v>85</v>
      </c>
      <c r="R367" s="318">
        <v>0.02</v>
      </c>
      <c r="S367" s="349">
        <f t="shared" si="20"/>
        <v>1.5300000000000001E-3</v>
      </c>
      <c r="T367" s="666" t="s">
        <v>85</v>
      </c>
      <c r="U367" s="318">
        <v>0.22</v>
      </c>
      <c r="V367" s="349">
        <f t="shared" si="5"/>
        <v>1.6830000000000001E-2</v>
      </c>
      <c r="W367" s="348"/>
      <c r="X367" s="318">
        <f t="shared" si="6"/>
        <v>28.92</v>
      </c>
      <c r="Y367" s="370">
        <f t="shared" si="7"/>
        <v>4.42476</v>
      </c>
      <c r="Z367" s="343" t="s">
        <v>85</v>
      </c>
      <c r="AA367" s="345">
        <v>0.01</v>
      </c>
      <c r="AB367" s="352">
        <f t="shared" si="8"/>
        <v>7.6500000000000005E-4</v>
      </c>
      <c r="AC367" s="353"/>
      <c r="AD367" s="354"/>
      <c r="AE367" s="378" t="str">
        <f t="shared" si="21"/>
        <v/>
      </c>
      <c r="AF367" s="329"/>
      <c r="AG367" s="358"/>
      <c r="AH367" s="356" t="str">
        <f t="shared" si="22"/>
        <v/>
      </c>
      <c r="AI367" s="329"/>
      <c r="AJ367" s="329"/>
      <c r="AK367" s="356">
        <f t="shared" si="11"/>
        <v>0</v>
      </c>
      <c r="AL367" s="357"/>
      <c r="AM367" s="358"/>
      <c r="AN367" s="356">
        <f t="shared" si="12"/>
        <v>0</v>
      </c>
      <c r="AO367" s="329"/>
      <c r="AP367" s="358"/>
      <c r="AQ367" s="359">
        <f t="shared" si="13"/>
        <v>0</v>
      </c>
      <c r="AR367" s="360"/>
      <c r="AS367" s="358"/>
      <c r="AT367" s="356">
        <f t="shared" si="14"/>
        <v>0</v>
      </c>
      <c r="AU367" s="329"/>
      <c r="AV367" s="358"/>
      <c r="AW367" s="359">
        <f t="shared" si="15"/>
        <v>0</v>
      </c>
      <c r="AX367" s="329"/>
      <c r="AY367" s="358"/>
      <c r="AZ367" s="359">
        <f t="shared" si="16"/>
        <v>0</v>
      </c>
      <c r="BA367" s="329">
        <f>IF('Degrémont Entrée'!K367="",,('Degrémont Entrée'!K367-I367)/'Degrémont Entrée'!K367*100)</f>
        <v>93.017964071856284</v>
      </c>
      <c r="BB367" s="329">
        <f>IF('Degrémont Entrée'!G367="",,('Degrémont Entrée'!G367-G367)/'Degrémont Entrée'!G367*100)</f>
        <v>99.76193678547412</v>
      </c>
      <c r="BC367" s="329">
        <f>IF('Degrémont Entrée'!S367="",,('Degrémont Entrée'!S367-M367)/'Degrémont Entrée'!S367*100)</f>
        <v>99.393518518518519</v>
      </c>
      <c r="BD367" s="361" t="str">
        <f ca="1">IFERROR(__xludf.DUMMYFUNCTION("""COMPUTED_VALUE"""),"#DIV/0!")</f>
        <v>#DIV/0!</v>
      </c>
      <c r="BE367" s="362"/>
      <c r="BF367" s="363"/>
      <c r="BG367" s="363"/>
      <c r="BH367" s="338">
        <f t="shared" si="17"/>
        <v>0</v>
      </c>
      <c r="BI367" s="780"/>
      <c r="BJ367" s="365"/>
      <c r="BK367" s="366" t="str">
        <f>'Degrémont Entrée'!BH367</f>
        <v>CA MES : 18190 mg/l; DCO : 16600 mg/l</v>
      </c>
      <c r="BL367" s="367">
        <f>'Degrémont Entrée'!BI367</f>
        <v>0</v>
      </c>
    </row>
    <row r="368" spans="1:64" ht="14.25" outlineLevel="1">
      <c r="A368" s="337">
        <f t="shared" si="18"/>
        <v>43820</v>
      </c>
      <c r="B368" s="338">
        <f>'Degrémont Entrée'!B368</f>
        <v>0</v>
      </c>
      <c r="C368" s="338"/>
      <c r="D368" s="388"/>
      <c r="E368" s="368"/>
      <c r="F368" s="357"/>
      <c r="G368" s="329">
        <f t="shared" si="0"/>
        <v>0</v>
      </c>
      <c r="H368" s="338"/>
      <c r="I368" s="346"/>
      <c r="J368" s="344">
        <f t="shared" si="2"/>
        <v>0</v>
      </c>
      <c r="K368" s="343">
        <v>1</v>
      </c>
      <c r="L368" s="329"/>
      <c r="M368" s="346" t="str">
        <f t="shared" si="3"/>
        <v/>
      </c>
      <c r="N368" s="338" t="e">
        <f t="shared" si="4"/>
        <v>#VALUE!</v>
      </c>
      <c r="O368" s="368"/>
      <c r="P368" s="347">
        <f t="shared" si="19"/>
        <v>0</v>
      </c>
      <c r="Q368" s="348"/>
      <c r="R368" s="369"/>
      <c r="S368" s="349">
        <f t="shared" si="20"/>
        <v>0</v>
      </c>
      <c r="T368" s="348"/>
      <c r="U368" s="369"/>
      <c r="V368" s="349">
        <f t="shared" si="5"/>
        <v>0</v>
      </c>
      <c r="W368" s="348"/>
      <c r="X368" s="318" t="str">
        <f t="shared" si="6"/>
        <v/>
      </c>
      <c r="Y368" s="370" t="e">
        <f t="shared" si="7"/>
        <v>#VALUE!</v>
      </c>
      <c r="Z368" s="346"/>
      <c r="AA368" s="329"/>
      <c r="AB368" s="352">
        <f t="shared" si="8"/>
        <v>0</v>
      </c>
      <c r="AC368" s="353"/>
      <c r="AD368" s="354"/>
      <c r="AE368" s="378" t="str">
        <f t="shared" si="21"/>
        <v/>
      </c>
      <c r="AF368" s="329"/>
      <c r="AG368" s="358"/>
      <c r="AH368" s="356" t="str">
        <f t="shared" si="22"/>
        <v/>
      </c>
      <c r="AI368" s="329"/>
      <c r="AJ368" s="329"/>
      <c r="AK368" s="356">
        <f t="shared" si="11"/>
        <v>0</v>
      </c>
      <c r="AL368" s="357"/>
      <c r="AM368" s="358"/>
      <c r="AN368" s="356">
        <f t="shared" si="12"/>
        <v>0</v>
      </c>
      <c r="AO368" s="329"/>
      <c r="AP368" s="358"/>
      <c r="AQ368" s="359">
        <f t="shared" si="13"/>
        <v>0</v>
      </c>
      <c r="AR368" s="360"/>
      <c r="AS368" s="358"/>
      <c r="AT368" s="356">
        <f t="shared" si="14"/>
        <v>0</v>
      </c>
      <c r="AU368" s="329"/>
      <c r="AV368" s="358"/>
      <c r="AW368" s="359">
        <f t="shared" si="15"/>
        <v>0</v>
      </c>
      <c r="AX368" s="329"/>
      <c r="AY368" s="358"/>
      <c r="AZ368" s="359">
        <f t="shared" si="16"/>
        <v>0</v>
      </c>
      <c r="BA368" s="329" t="e">
        <f>IF('Degrémont Entrée'!K368="",,('Degrémont Entrée'!K368-I368)/'Degrémont Entrée'!K368*100)</f>
        <v>#DIV/0!</v>
      </c>
      <c r="BB368" s="329" t="e">
        <f>IF('Degrémont Entrée'!G368="",,('Degrémont Entrée'!G368-G368)/'Degrémont Entrée'!G368*100)</f>
        <v>#DIV/0!</v>
      </c>
      <c r="BC368" s="329">
        <f>IF('Degrémont Entrée'!S368="",,('Degrémont Entrée'!S368-M368)/'Degrémont Entrée'!S368*100)</f>
        <v>0</v>
      </c>
      <c r="BD368" s="361" t="str">
        <f ca="1">IFERROR(__xludf.DUMMYFUNCTION("""COMPUTED_VALUE"""),"#DIV/0!")</f>
        <v>#DIV/0!</v>
      </c>
      <c r="BE368" s="362"/>
      <c r="BF368" s="363"/>
      <c r="BG368" s="363"/>
      <c r="BH368" s="338">
        <f t="shared" si="17"/>
        <v>0</v>
      </c>
      <c r="BI368" s="364"/>
      <c r="BJ368" s="365"/>
      <c r="BK368" s="371">
        <f>'Degrémont Entrée'!BH368</f>
        <v>0</v>
      </c>
      <c r="BL368" s="372">
        <f>'Degrémont Entrée'!BI368</f>
        <v>0</v>
      </c>
    </row>
    <row r="369" spans="1:64" ht="15.75" customHeight="1" outlineLevel="1">
      <c r="A369" s="337">
        <f t="shared" si="18"/>
        <v>43821</v>
      </c>
      <c r="B369" s="338">
        <f>'Degrémont Entrée'!B369</f>
        <v>0</v>
      </c>
      <c r="C369" s="338"/>
      <c r="D369" s="340"/>
      <c r="E369" s="341"/>
      <c r="F369" s="342"/>
      <c r="G369" s="329">
        <f t="shared" si="0"/>
        <v>0</v>
      </c>
      <c r="H369" s="338"/>
      <c r="I369" s="346"/>
      <c r="J369" s="344">
        <f t="shared" si="2"/>
        <v>0</v>
      </c>
      <c r="K369" s="343">
        <v>1</v>
      </c>
      <c r="L369" s="329"/>
      <c r="M369" s="346" t="str">
        <f t="shared" si="3"/>
        <v/>
      </c>
      <c r="N369" s="338" t="e">
        <f t="shared" si="4"/>
        <v>#VALUE!</v>
      </c>
      <c r="O369" s="368"/>
      <c r="P369" s="347">
        <f t="shared" si="19"/>
        <v>0</v>
      </c>
      <c r="Q369" s="348"/>
      <c r="R369" s="369"/>
      <c r="S369" s="349">
        <f t="shared" si="20"/>
        <v>0</v>
      </c>
      <c r="T369" s="348"/>
      <c r="U369" s="369"/>
      <c r="V369" s="349">
        <f t="shared" si="5"/>
        <v>0</v>
      </c>
      <c r="W369" s="348"/>
      <c r="X369" s="318" t="str">
        <f t="shared" si="6"/>
        <v/>
      </c>
      <c r="Y369" s="370" t="e">
        <f t="shared" si="7"/>
        <v>#VALUE!</v>
      </c>
      <c r="Z369" s="346"/>
      <c r="AA369" s="329"/>
      <c r="AB369" s="352">
        <f t="shared" si="8"/>
        <v>0</v>
      </c>
      <c r="AC369" s="353"/>
      <c r="AD369" s="354"/>
      <c r="AE369" s="378" t="str">
        <f t="shared" si="21"/>
        <v/>
      </c>
      <c r="AF369" s="329"/>
      <c r="AG369" s="358"/>
      <c r="AH369" s="356" t="str">
        <f t="shared" si="22"/>
        <v/>
      </c>
      <c r="AI369" s="329"/>
      <c r="AJ369" s="329"/>
      <c r="AK369" s="356">
        <f t="shared" si="11"/>
        <v>0</v>
      </c>
      <c r="AL369" s="357"/>
      <c r="AM369" s="358"/>
      <c r="AN369" s="356">
        <f t="shared" si="12"/>
        <v>0</v>
      </c>
      <c r="AO369" s="329"/>
      <c r="AP369" s="358"/>
      <c r="AQ369" s="359">
        <f t="shared" si="13"/>
        <v>0</v>
      </c>
      <c r="AR369" s="360"/>
      <c r="AS369" s="358"/>
      <c r="AT369" s="356">
        <f t="shared" si="14"/>
        <v>0</v>
      </c>
      <c r="AU369" s="329"/>
      <c r="AV369" s="358"/>
      <c r="AW369" s="359">
        <f t="shared" si="15"/>
        <v>0</v>
      </c>
      <c r="AX369" s="329"/>
      <c r="AY369" s="358"/>
      <c r="AZ369" s="359">
        <f t="shared" si="16"/>
        <v>0</v>
      </c>
      <c r="BA369" s="329" t="e">
        <f>IF('Degrémont Entrée'!K369="",,('Degrémont Entrée'!K369-I369)/'Degrémont Entrée'!K369*100)</f>
        <v>#DIV/0!</v>
      </c>
      <c r="BB369" s="329" t="e">
        <f>IF('Degrémont Entrée'!G369="",,('Degrémont Entrée'!G369-G369)/'Degrémont Entrée'!G369*100)</f>
        <v>#DIV/0!</v>
      </c>
      <c r="BC369" s="329">
        <f>IF('Degrémont Entrée'!S369="",,('Degrémont Entrée'!S369-M369)/'Degrémont Entrée'!S369*100)</f>
        <v>0</v>
      </c>
      <c r="BD369" s="361" t="str">
        <f ca="1">IFERROR(__xludf.DUMMYFUNCTION("""COMPUTED_VALUE"""),"#DIV/0!")</f>
        <v>#DIV/0!</v>
      </c>
      <c r="BE369" s="362"/>
      <c r="BF369" s="363"/>
      <c r="BG369" s="363"/>
      <c r="BH369" s="338">
        <f t="shared" si="17"/>
        <v>0</v>
      </c>
      <c r="BI369" s="364"/>
      <c r="BJ369" s="365"/>
      <c r="BK369" s="366">
        <f>'Degrémont Entrée'!BH369</f>
        <v>0</v>
      </c>
      <c r="BL369" s="367">
        <f>'Degrémont Entrée'!BI369</f>
        <v>0</v>
      </c>
    </row>
    <row r="370" spans="1:64" ht="14.25" outlineLevel="1">
      <c r="A370" s="337">
        <f t="shared" si="18"/>
        <v>43822</v>
      </c>
      <c r="B370" s="338">
        <f>'Degrémont Entrée'!B370</f>
        <v>168</v>
      </c>
      <c r="C370" s="339">
        <v>8.6</v>
      </c>
      <c r="D370" s="340">
        <v>87.5</v>
      </c>
      <c r="E370" s="341">
        <v>96.3</v>
      </c>
      <c r="F370" s="342">
        <v>200</v>
      </c>
      <c r="G370" s="329">
        <f t="shared" si="0"/>
        <v>43.999999999999979</v>
      </c>
      <c r="H370" s="338"/>
      <c r="I370" s="343">
        <v>664</v>
      </c>
      <c r="J370" s="344">
        <f t="shared" si="2"/>
        <v>111.55200000000001</v>
      </c>
      <c r="K370" s="343">
        <v>1</v>
      </c>
      <c r="L370" s="345">
        <v>3.44</v>
      </c>
      <c r="M370" s="346">
        <f t="shared" si="3"/>
        <v>3.44</v>
      </c>
      <c r="N370" s="338">
        <f t="shared" si="4"/>
        <v>0.57791999999999999</v>
      </c>
      <c r="O370" s="341">
        <v>21.2</v>
      </c>
      <c r="P370" s="347">
        <f t="shared" si="19"/>
        <v>3.5615999999999999</v>
      </c>
      <c r="Q370" s="666" t="s">
        <v>85</v>
      </c>
      <c r="R370" s="318">
        <v>0.02</v>
      </c>
      <c r="S370" s="349">
        <f t="shared" si="20"/>
        <v>1.6799999999999999E-3</v>
      </c>
      <c r="T370" s="666" t="s">
        <v>85</v>
      </c>
      <c r="U370" s="318">
        <v>0.22</v>
      </c>
      <c r="V370" s="349">
        <f t="shared" si="5"/>
        <v>1.848E-2</v>
      </c>
      <c r="W370" s="348"/>
      <c r="X370" s="318">
        <f t="shared" si="6"/>
        <v>21.32</v>
      </c>
      <c r="Y370" s="370">
        <f t="shared" si="7"/>
        <v>3.5817600000000001</v>
      </c>
      <c r="Z370" s="346"/>
      <c r="AA370" s="329"/>
      <c r="AB370" s="352">
        <f t="shared" si="8"/>
        <v>0</v>
      </c>
      <c r="AC370" s="353"/>
      <c r="AD370" s="354"/>
      <c r="AE370" s="378" t="str">
        <f t="shared" si="21"/>
        <v/>
      </c>
      <c r="AF370" s="329"/>
      <c r="AG370" s="358"/>
      <c r="AH370" s="356" t="str">
        <f t="shared" si="22"/>
        <v/>
      </c>
      <c r="AI370" s="329"/>
      <c r="AJ370" s="329"/>
      <c r="AK370" s="356">
        <f t="shared" si="11"/>
        <v>0</v>
      </c>
      <c r="AL370" s="357"/>
      <c r="AM370" s="358"/>
      <c r="AN370" s="356">
        <f t="shared" si="12"/>
        <v>0</v>
      </c>
      <c r="AO370" s="329"/>
      <c r="AP370" s="358"/>
      <c r="AQ370" s="359">
        <f t="shared" si="13"/>
        <v>0</v>
      </c>
      <c r="AR370" s="360"/>
      <c r="AS370" s="358"/>
      <c r="AT370" s="356">
        <f t="shared" si="14"/>
        <v>0</v>
      </c>
      <c r="AU370" s="329"/>
      <c r="AV370" s="358"/>
      <c r="AW370" s="359">
        <f t="shared" si="15"/>
        <v>0</v>
      </c>
      <c r="AX370" s="329"/>
      <c r="AY370" s="358"/>
      <c r="AZ370" s="359">
        <f t="shared" si="16"/>
        <v>0</v>
      </c>
      <c r="BA370" s="329">
        <f>IF('Degrémont Entrée'!K370="",,('Degrémont Entrée'!K370-I370)/'Degrémont Entrée'!K370*100)</f>
        <v>95.951219512195124</v>
      </c>
      <c r="BB370" s="329">
        <f>IF('Degrémont Entrée'!G370="",,('Degrémont Entrée'!G370-G370)/'Degrémont Entrée'!G370*100)</f>
        <v>99.71794871794873</v>
      </c>
      <c r="BC370" s="329">
        <f>IF('Degrémont Entrée'!S370="",,('Degrémont Entrée'!S370-M370)/'Degrémont Entrée'!S370*100)</f>
        <v>99.014326647564459</v>
      </c>
      <c r="BD370" s="361" t="str">
        <f ca="1">IFERROR(__xludf.DUMMYFUNCTION("""COMPUTED_VALUE"""),"#DIV/0!")</f>
        <v>#DIV/0!</v>
      </c>
      <c r="BE370" s="386">
        <v>21.852599999999999</v>
      </c>
      <c r="BF370" s="387">
        <v>36.372100000000003</v>
      </c>
      <c r="BG370" s="387">
        <v>28.900200000000002</v>
      </c>
      <c r="BH370" s="338">
        <f t="shared" si="17"/>
        <v>48.538861531044461</v>
      </c>
      <c r="BI370" s="364"/>
      <c r="BJ370" s="365"/>
      <c r="BK370" s="371">
        <f>'Degrémont Entrée'!BH370</f>
        <v>0</v>
      </c>
      <c r="BL370" s="372">
        <f>'Degrémont Entrée'!BI370</f>
        <v>0</v>
      </c>
    </row>
    <row r="371" spans="1:64" ht="15.75" customHeight="1" outlineLevel="1">
      <c r="A371" s="337">
        <f t="shared" si="18"/>
        <v>43823</v>
      </c>
      <c r="B371" s="338">
        <f>'Degrémont Entrée'!B371</f>
        <v>0</v>
      </c>
      <c r="C371" s="338"/>
      <c r="D371" s="388"/>
      <c r="E371" s="368"/>
      <c r="F371" s="357"/>
      <c r="G371" s="329">
        <f t="shared" si="0"/>
        <v>0</v>
      </c>
      <c r="H371" s="338"/>
      <c r="I371" s="346"/>
      <c r="J371" s="344">
        <f t="shared" si="2"/>
        <v>0</v>
      </c>
      <c r="K371" s="343">
        <v>1</v>
      </c>
      <c r="L371" s="329"/>
      <c r="M371" s="346" t="str">
        <f t="shared" si="3"/>
        <v/>
      </c>
      <c r="N371" s="338" t="e">
        <f t="shared" si="4"/>
        <v>#VALUE!</v>
      </c>
      <c r="O371" s="341">
        <v>24</v>
      </c>
      <c r="P371" s="347">
        <f t="shared" si="19"/>
        <v>0</v>
      </c>
      <c r="Q371" s="348"/>
      <c r="R371" s="369"/>
      <c r="S371" s="349">
        <f t="shared" si="20"/>
        <v>0</v>
      </c>
      <c r="T371" s="348"/>
      <c r="U371" s="369"/>
      <c r="V371" s="349">
        <f t="shared" si="5"/>
        <v>0</v>
      </c>
      <c r="W371" s="348"/>
      <c r="X371" s="318">
        <f t="shared" si="6"/>
        <v>24</v>
      </c>
      <c r="Y371" s="370">
        <f t="shared" si="7"/>
        <v>0</v>
      </c>
      <c r="Z371" s="346"/>
      <c r="AA371" s="329"/>
      <c r="AB371" s="352">
        <f t="shared" si="8"/>
        <v>0</v>
      </c>
      <c r="AC371" s="385" t="s">
        <v>85</v>
      </c>
      <c r="AD371" s="377">
        <v>5.0000000000000001E-3</v>
      </c>
      <c r="AE371" s="378">
        <f t="shared" si="21"/>
        <v>1.5200000000000001E-3</v>
      </c>
      <c r="AF371" s="329"/>
      <c r="AG371" s="355">
        <v>0.27300000000000002</v>
      </c>
      <c r="AH371" s="356">
        <f t="shared" si="22"/>
        <v>0.16598400000000002</v>
      </c>
      <c r="AI371" s="329"/>
      <c r="AJ371" s="345">
        <v>0.23899999999999999</v>
      </c>
      <c r="AK371" s="356">
        <f t="shared" si="11"/>
        <v>0</v>
      </c>
      <c r="AL371" s="357"/>
      <c r="AM371" s="355">
        <v>6.0000000000000001E-3</v>
      </c>
      <c r="AN371" s="356">
        <f t="shared" si="12"/>
        <v>0</v>
      </c>
      <c r="AO371" s="329"/>
      <c r="AP371" s="355">
        <v>0.10299999999999999</v>
      </c>
      <c r="AQ371" s="359">
        <f t="shared" si="13"/>
        <v>0</v>
      </c>
      <c r="AR371" s="360"/>
      <c r="AS371" s="355">
        <v>0.25700000000000001</v>
      </c>
      <c r="AT371" s="356">
        <f t="shared" si="14"/>
        <v>0</v>
      </c>
      <c r="AU371" s="329"/>
      <c r="AV371" s="355">
        <v>1.0999999999999999E-2</v>
      </c>
      <c r="AW371" s="359">
        <f t="shared" si="15"/>
        <v>0</v>
      </c>
      <c r="AX371" s="345" t="s">
        <v>85</v>
      </c>
      <c r="AY371" s="355">
        <v>2E-3</v>
      </c>
      <c r="AZ371" s="359">
        <f t="shared" si="16"/>
        <v>0</v>
      </c>
      <c r="BA371" s="329" t="e">
        <f>IF('Degrémont Entrée'!K371="",,('Degrémont Entrée'!K371-I371)/'Degrémont Entrée'!K371*100)</f>
        <v>#DIV/0!</v>
      </c>
      <c r="BB371" s="329" t="e">
        <f>IF('Degrémont Entrée'!G371="",,('Degrémont Entrée'!G371-G371)/'Degrémont Entrée'!G371*100)</f>
        <v>#DIV/0!</v>
      </c>
      <c r="BC371" s="329">
        <f>IF('Degrémont Entrée'!S371="",,('Degrémont Entrée'!S371-M371)/'Degrémont Entrée'!S371*100)</f>
        <v>0</v>
      </c>
      <c r="BD371" s="361" t="str">
        <f ca="1">IFERROR(__xludf.DUMMYFUNCTION("""COMPUTED_VALUE"""),"#DIV/0!")</f>
        <v>#DIV/0!</v>
      </c>
      <c r="BE371" s="362"/>
      <c r="BF371" s="363"/>
      <c r="BG371" s="363"/>
      <c r="BH371" s="338">
        <f t="shared" si="17"/>
        <v>0</v>
      </c>
      <c r="BI371" s="364"/>
      <c r="BJ371" s="365"/>
      <c r="BK371" s="366">
        <f>'Degrémont Entrée'!BH371</f>
        <v>0</v>
      </c>
      <c r="BL371" s="367">
        <f>'Degrémont Entrée'!BI371</f>
        <v>0</v>
      </c>
    </row>
    <row r="372" spans="1:64" ht="14.25" outlineLevel="1">
      <c r="A372" s="337">
        <f t="shared" si="18"/>
        <v>43824</v>
      </c>
      <c r="B372" s="338">
        <f>'Degrémont Entrée'!B372</f>
        <v>0</v>
      </c>
      <c r="C372" s="338"/>
      <c r="D372" s="388"/>
      <c r="E372" s="368"/>
      <c r="F372" s="357"/>
      <c r="G372" s="329">
        <f t="shared" si="0"/>
        <v>0</v>
      </c>
      <c r="H372" s="338"/>
      <c r="I372" s="346"/>
      <c r="J372" s="344">
        <f t="shared" si="2"/>
        <v>0</v>
      </c>
      <c r="K372" s="343">
        <v>1</v>
      </c>
      <c r="L372" s="329"/>
      <c r="M372" s="346" t="str">
        <f t="shared" si="3"/>
        <v/>
      </c>
      <c r="N372" s="338" t="e">
        <f t="shared" si="4"/>
        <v>#VALUE!</v>
      </c>
      <c r="O372" s="368"/>
      <c r="P372" s="347">
        <f t="shared" si="19"/>
        <v>0</v>
      </c>
      <c r="Q372" s="348"/>
      <c r="R372" s="369"/>
      <c r="S372" s="349">
        <f t="shared" si="20"/>
        <v>0</v>
      </c>
      <c r="T372" s="348"/>
      <c r="U372" s="369"/>
      <c r="V372" s="349">
        <f t="shared" si="5"/>
        <v>0</v>
      </c>
      <c r="W372" s="348"/>
      <c r="X372" s="318" t="str">
        <f t="shared" si="6"/>
        <v/>
      </c>
      <c r="Y372" s="370" t="e">
        <f t="shared" si="7"/>
        <v>#VALUE!</v>
      </c>
      <c r="Z372" s="346"/>
      <c r="AA372" s="329"/>
      <c r="AB372" s="352">
        <f t="shared" si="8"/>
        <v>0</v>
      </c>
      <c r="AC372" s="353"/>
      <c r="AD372" s="354"/>
      <c r="AE372" s="378" t="str">
        <f t="shared" si="21"/>
        <v/>
      </c>
      <c r="AF372" s="329"/>
      <c r="AG372" s="358"/>
      <c r="AH372" s="356" t="str">
        <f t="shared" si="22"/>
        <v/>
      </c>
      <c r="AI372" s="329"/>
      <c r="AJ372" s="329"/>
      <c r="AK372" s="356">
        <f t="shared" si="11"/>
        <v>0</v>
      </c>
      <c r="AL372" s="357"/>
      <c r="AM372" s="358"/>
      <c r="AN372" s="356">
        <f t="shared" si="12"/>
        <v>0</v>
      </c>
      <c r="AO372" s="329"/>
      <c r="AP372" s="358"/>
      <c r="AQ372" s="359">
        <f t="shared" si="13"/>
        <v>0</v>
      </c>
      <c r="AR372" s="360"/>
      <c r="AS372" s="358"/>
      <c r="AT372" s="356">
        <f t="shared" si="14"/>
        <v>0</v>
      </c>
      <c r="AU372" s="329"/>
      <c r="AV372" s="358"/>
      <c r="AW372" s="359">
        <f t="shared" si="15"/>
        <v>0</v>
      </c>
      <c r="AX372" s="329"/>
      <c r="AY372" s="358"/>
      <c r="AZ372" s="359">
        <f t="shared" si="16"/>
        <v>0</v>
      </c>
      <c r="BA372" s="329" t="e">
        <f>IF('Degrémont Entrée'!K372="",,('Degrémont Entrée'!K372-I372)/'Degrémont Entrée'!K372*100)</f>
        <v>#DIV/0!</v>
      </c>
      <c r="BB372" s="329" t="e">
        <f>IF('Degrémont Entrée'!G372="",,('Degrémont Entrée'!G372-G372)/'Degrémont Entrée'!G372*100)</f>
        <v>#DIV/0!</v>
      </c>
      <c r="BC372" s="329">
        <f>IF('Degrémont Entrée'!S372="",,('Degrémont Entrée'!S372-M372)/'Degrémont Entrée'!S372*100)</f>
        <v>0</v>
      </c>
      <c r="BD372" s="361" t="str">
        <f ca="1">IFERROR(__xludf.DUMMYFUNCTION("""COMPUTED_VALUE"""),"#DIV/0!")</f>
        <v>#DIV/0!</v>
      </c>
      <c r="BE372" s="362"/>
      <c r="BF372" s="363"/>
      <c r="BG372" s="363"/>
      <c r="BH372" s="338">
        <f t="shared" si="17"/>
        <v>0</v>
      </c>
      <c r="BI372" s="364"/>
      <c r="BJ372" s="365"/>
      <c r="BK372" s="371">
        <f>'Degrémont Entrée'!BH372</f>
        <v>0</v>
      </c>
      <c r="BL372" s="372">
        <f>'Degrémont Entrée'!BI372</f>
        <v>0</v>
      </c>
    </row>
    <row r="373" spans="1:64" ht="15.75" customHeight="1" outlineLevel="1">
      <c r="A373" s="337">
        <f t="shared" si="18"/>
        <v>43825</v>
      </c>
      <c r="B373" s="338">
        <f>'Degrémont Entrée'!B373</f>
        <v>0</v>
      </c>
      <c r="C373" s="338"/>
      <c r="D373" s="388"/>
      <c r="E373" s="368"/>
      <c r="F373" s="357"/>
      <c r="G373" s="329">
        <f t="shared" si="0"/>
        <v>0</v>
      </c>
      <c r="H373" s="338"/>
      <c r="I373" s="346"/>
      <c r="J373" s="344">
        <f t="shared" si="2"/>
        <v>0</v>
      </c>
      <c r="K373" s="343">
        <v>1</v>
      </c>
      <c r="L373" s="329"/>
      <c r="M373" s="346" t="str">
        <f t="shared" si="3"/>
        <v/>
      </c>
      <c r="N373" s="338" t="e">
        <f t="shared" si="4"/>
        <v>#VALUE!</v>
      </c>
      <c r="O373" s="368"/>
      <c r="P373" s="347">
        <f t="shared" si="19"/>
        <v>0</v>
      </c>
      <c r="Q373" s="348"/>
      <c r="R373" s="369"/>
      <c r="S373" s="349">
        <f t="shared" si="20"/>
        <v>0</v>
      </c>
      <c r="T373" s="348"/>
      <c r="U373" s="369"/>
      <c r="V373" s="349">
        <f t="shared" si="5"/>
        <v>0</v>
      </c>
      <c r="W373" s="348"/>
      <c r="X373" s="318" t="str">
        <f t="shared" si="6"/>
        <v/>
      </c>
      <c r="Y373" s="370" t="e">
        <f t="shared" si="7"/>
        <v>#VALUE!</v>
      </c>
      <c r="Z373" s="346"/>
      <c r="AA373" s="329"/>
      <c r="AB373" s="352">
        <f t="shared" si="8"/>
        <v>0</v>
      </c>
      <c r="AC373" s="353"/>
      <c r="AD373" s="354"/>
      <c r="AE373" s="378" t="str">
        <f t="shared" si="21"/>
        <v/>
      </c>
      <c r="AF373" s="329"/>
      <c r="AG373" s="358"/>
      <c r="AH373" s="356" t="str">
        <f t="shared" si="22"/>
        <v/>
      </c>
      <c r="AI373" s="329"/>
      <c r="AJ373" s="329"/>
      <c r="AK373" s="356">
        <f t="shared" si="11"/>
        <v>0</v>
      </c>
      <c r="AL373" s="357"/>
      <c r="AM373" s="358"/>
      <c r="AN373" s="356">
        <f t="shared" si="12"/>
        <v>0</v>
      </c>
      <c r="AO373" s="329"/>
      <c r="AP373" s="358"/>
      <c r="AQ373" s="359">
        <f t="shared" si="13"/>
        <v>0</v>
      </c>
      <c r="AR373" s="360"/>
      <c r="AS373" s="358"/>
      <c r="AT373" s="356">
        <f t="shared" si="14"/>
        <v>0</v>
      </c>
      <c r="AU373" s="329"/>
      <c r="AV373" s="358"/>
      <c r="AW373" s="359">
        <f t="shared" si="15"/>
        <v>0</v>
      </c>
      <c r="AX373" s="329"/>
      <c r="AY373" s="358"/>
      <c r="AZ373" s="359">
        <f t="shared" si="16"/>
        <v>0</v>
      </c>
      <c r="BA373" s="329" t="e">
        <f>IF('Degrémont Entrée'!K373="",,('Degrémont Entrée'!K373-I373)/'Degrémont Entrée'!K373*100)</f>
        <v>#DIV/0!</v>
      </c>
      <c r="BB373" s="329" t="e">
        <f>IF('Degrémont Entrée'!G373="",,('Degrémont Entrée'!G373-G373)/'Degrémont Entrée'!G373*100)</f>
        <v>#DIV/0!</v>
      </c>
      <c r="BC373" s="329">
        <f>IF('Degrémont Entrée'!S373="",,('Degrémont Entrée'!S373-M373)/'Degrémont Entrée'!S373*100)</f>
        <v>0</v>
      </c>
      <c r="BD373" s="361" t="str">
        <f ca="1">IFERROR(__xludf.DUMMYFUNCTION("""COMPUTED_VALUE"""),"#DIV/0!")</f>
        <v>#DIV/0!</v>
      </c>
      <c r="BE373" s="362"/>
      <c r="BF373" s="363"/>
      <c r="BG373" s="363"/>
      <c r="BH373" s="338">
        <f t="shared" si="17"/>
        <v>0</v>
      </c>
      <c r="BI373" s="364"/>
      <c r="BJ373" s="365"/>
      <c r="BK373" s="366">
        <f>'Degrémont Entrée'!BH373</f>
        <v>0</v>
      </c>
      <c r="BL373" s="367">
        <f>'Degrémont Entrée'!BI373</f>
        <v>0</v>
      </c>
    </row>
    <row r="374" spans="1:64" ht="14.25" outlineLevel="1">
      <c r="A374" s="337">
        <f t="shared" si="18"/>
        <v>43826</v>
      </c>
      <c r="B374" s="338">
        <f>'Degrémont Entrée'!B374</f>
        <v>0</v>
      </c>
      <c r="C374" s="338"/>
      <c r="D374" s="388"/>
      <c r="E374" s="368"/>
      <c r="F374" s="357"/>
      <c r="G374" s="329">
        <f t="shared" si="0"/>
        <v>0</v>
      </c>
      <c r="H374" s="338"/>
      <c r="I374" s="346"/>
      <c r="J374" s="344">
        <f t="shared" si="2"/>
        <v>0</v>
      </c>
      <c r="K374" s="343">
        <v>1</v>
      </c>
      <c r="L374" s="329"/>
      <c r="M374" s="346" t="str">
        <f t="shared" si="3"/>
        <v/>
      </c>
      <c r="N374" s="338" t="e">
        <f t="shared" si="4"/>
        <v>#VALUE!</v>
      </c>
      <c r="O374" s="368"/>
      <c r="P374" s="347">
        <f t="shared" si="19"/>
        <v>0</v>
      </c>
      <c r="Q374" s="348"/>
      <c r="R374" s="369"/>
      <c r="S374" s="349">
        <f t="shared" si="20"/>
        <v>0</v>
      </c>
      <c r="T374" s="348"/>
      <c r="U374" s="369"/>
      <c r="V374" s="349">
        <f t="shared" si="5"/>
        <v>0</v>
      </c>
      <c r="W374" s="348"/>
      <c r="X374" s="318" t="str">
        <f t="shared" si="6"/>
        <v/>
      </c>
      <c r="Y374" s="370" t="e">
        <f t="shared" si="7"/>
        <v>#VALUE!</v>
      </c>
      <c r="Z374" s="346"/>
      <c r="AA374" s="329"/>
      <c r="AB374" s="352">
        <f t="shared" si="8"/>
        <v>0</v>
      </c>
      <c r="AC374" s="353"/>
      <c r="AD374" s="354"/>
      <c r="AE374" s="378" t="str">
        <f t="shared" si="21"/>
        <v/>
      </c>
      <c r="AF374" s="329"/>
      <c r="AG374" s="358"/>
      <c r="AH374" s="356" t="str">
        <f t="shared" si="22"/>
        <v/>
      </c>
      <c r="AI374" s="329"/>
      <c r="AJ374" s="329"/>
      <c r="AK374" s="356">
        <f t="shared" si="11"/>
        <v>0</v>
      </c>
      <c r="AL374" s="357"/>
      <c r="AM374" s="358"/>
      <c r="AN374" s="356">
        <f t="shared" si="12"/>
        <v>0</v>
      </c>
      <c r="AO374" s="329"/>
      <c r="AP374" s="358"/>
      <c r="AQ374" s="359">
        <f t="shared" si="13"/>
        <v>0</v>
      </c>
      <c r="AR374" s="360"/>
      <c r="AS374" s="358"/>
      <c r="AT374" s="356">
        <f t="shared" si="14"/>
        <v>0</v>
      </c>
      <c r="AU374" s="329"/>
      <c r="AV374" s="358"/>
      <c r="AW374" s="359">
        <f t="shared" si="15"/>
        <v>0</v>
      </c>
      <c r="AX374" s="329"/>
      <c r="AY374" s="358"/>
      <c r="AZ374" s="359">
        <f t="shared" si="16"/>
        <v>0</v>
      </c>
      <c r="BA374" s="329" t="e">
        <f>IF('Degrémont Entrée'!K374="",,('Degrémont Entrée'!K374-I374)/'Degrémont Entrée'!K374*100)</f>
        <v>#DIV/0!</v>
      </c>
      <c r="BB374" s="329" t="e">
        <f>IF('Degrémont Entrée'!G374="",,('Degrémont Entrée'!G374-G374)/'Degrémont Entrée'!G374*100)</f>
        <v>#DIV/0!</v>
      </c>
      <c r="BC374" s="329">
        <f>IF('Degrémont Entrée'!S374="",,('Degrémont Entrée'!S374-M374)/'Degrémont Entrée'!S374*100)</f>
        <v>0</v>
      </c>
      <c r="BD374" s="361" t="str">
        <f ca="1">IFERROR(__xludf.DUMMYFUNCTION("""COMPUTED_VALUE"""),"#DIV/0!")</f>
        <v>#DIV/0!</v>
      </c>
      <c r="BE374" s="362"/>
      <c r="BF374" s="363"/>
      <c r="BG374" s="363"/>
      <c r="BH374" s="338">
        <f t="shared" si="17"/>
        <v>0</v>
      </c>
      <c r="BI374" s="364"/>
      <c r="BJ374" s="365"/>
      <c r="BK374" s="371">
        <f>'Degrémont Entrée'!BH374</f>
        <v>0</v>
      </c>
      <c r="BL374" s="372">
        <f>'Degrémont Entrée'!BI374</f>
        <v>0</v>
      </c>
    </row>
    <row r="375" spans="1:64" ht="15.75" customHeight="1" outlineLevel="1">
      <c r="A375" s="337">
        <f t="shared" si="18"/>
        <v>43827</v>
      </c>
      <c r="B375" s="338">
        <f>'Degrémont Entrée'!B375</f>
        <v>0</v>
      </c>
      <c r="C375" s="338"/>
      <c r="D375" s="388"/>
      <c r="E375" s="368"/>
      <c r="F375" s="357"/>
      <c r="G375" s="329">
        <f t="shared" si="0"/>
        <v>0</v>
      </c>
      <c r="H375" s="338"/>
      <c r="I375" s="346"/>
      <c r="J375" s="344">
        <f t="shared" si="2"/>
        <v>0</v>
      </c>
      <c r="K375" s="343">
        <v>1</v>
      </c>
      <c r="L375" s="329"/>
      <c r="M375" s="346" t="str">
        <f t="shared" si="3"/>
        <v/>
      </c>
      <c r="N375" s="338" t="e">
        <f t="shared" si="4"/>
        <v>#VALUE!</v>
      </c>
      <c r="O375" s="368"/>
      <c r="P375" s="347">
        <f t="shared" si="19"/>
        <v>0</v>
      </c>
      <c r="Q375" s="348"/>
      <c r="R375" s="369"/>
      <c r="S375" s="349">
        <f t="shared" si="20"/>
        <v>0</v>
      </c>
      <c r="T375" s="348"/>
      <c r="U375" s="369"/>
      <c r="V375" s="349">
        <f t="shared" si="5"/>
        <v>0</v>
      </c>
      <c r="W375" s="348"/>
      <c r="X375" s="318" t="str">
        <f t="shared" si="6"/>
        <v/>
      </c>
      <c r="Y375" s="370" t="e">
        <f t="shared" si="7"/>
        <v>#VALUE!</v>
      </c>
      <c r="Z375" s="346"/>
      <c r="AA375" s="329"/>
      <c r="AB375" s="352">
        <f t="shared" si="8"/>
        <v>0</v>
      </c>
      <c r="AC375" s="353"/>
      <c r="AD375" s="354"/>
      <c r="AE375" s="378" t="str">
        <f t="shared" si="21"/>
        <v/>
      </c>
      <c r="AF375" s="329"/>
      <c r="AG375" s="358"/>
      <c r="AH375" s="356" t="str">
        <f t="shared" si="22"/>
        <v/>
      </c>
      <c r="AI375" s="329"/>
      <c r="AJ375" s="329"/>
      <c r="AK375" s="356">
        <f t="shared" si="11"/>
        <v>0</v>
      </c>
      <c r="AL375" s="357"/>
      <c r="AM375" s="358"/>
      <c r="AN375" s="356">
        <f t="shared" si="12"/>
        <v>0</v>
      </c>
      <c r="AO375" s="329"/>
      <c r="AP375" s="358"/>
      <c r="AQ375" s="359">
        <f t="shared" si="13"/>
        <v>0</v>
      </c>
      <c r="AR375" s="360"/>
      <c r="AS375" s="358"/>
      <c r="AT375" s="356">
        <f t="shared" si="14"/>
        <v>0</v>
      </c>
      <c r="AU375" s="329"/>
      <c r="AV375" s="358"/>
      <c r="AW375" s="359">
        <f t="shared" si="15"/>
        <v>0</v>
      </c>
      <c r="AX375" s="329"/>
      <c r="AY375" s="358"/>
      <c r="AZ375" s="359">
        <f t="shared" si="16"/>
        <v>0</v>
      </c>
      <c r="BA375" s="329" t="e">
        <f>IF('Degrémont Entrée'!K375="",,('Degrémont Entrée'!K375-I375)/'Degrémont Entrée'!K375*100)</f>
        <v>#DIV/0!</v>
      </c>
      <c r="BB375" s="329" t="e">
        <f>IF('Degrémont Entrée'!G375="",,('Degrémont Entrée'!G375-G375)/'Degrémont Entrée'!G375*100)</f>
        <v>#DIV/0!</v>
      </c>
      <c r="BC375" s="329">
        <f>IF('Degrémont Entrée'!S375="",,('Degrémont Entrée'!S375-M375)/'Degrémont Entrée'!S375*100)</f>
        <v>0</v>
      </c>
      <c r="BD375" s="361" t="str">
        <f ca="1">IFERROR(__xludf.DUMMYFUNCTION("""COMPUTED_VALUE"""),"#DIV/0!")</f>
        <v>#DIV/0!</v>
      </c>
      <c r="BE375" s="362"/>
      <c r="BF375" s="363"/>
      <c r="BG375" s="363"/>
      <c r="BH375" s="338">
        <f t="shared" si="17"/>
        <v>0</v>
      </c>
      <c r="BI375" s="364"/>
      <c r="BJ375" s="365"/>
      <c r="BK375" s="366">
        <f>'Degrémont Entrée'!BH375</f>
        <v>0</v>
      </c>
      <c r="BL375" s="367">
        <f>'Degrémont Entrée'!BI375</f>
        <v>0</v>
      </c>
    </row>
    <row r="376" spans="1:64" ht="14.25" outlineLevel="1">
      <c r="A376" s="337">
        <f t="shared" si="18"/>
        <v>43828</v>
      </c>
      <c r="B376" s="338">
        <f>'Degrémont Entrée'!B376</f>
        <v>0</v>
      </c>
      <c r="C376" s="338"/>
      <c r="D376" s="388"/>
      <c r="E376" s="368"/>
      <c r="F376" s="357"/>
      <c r="G376" s="329">
        <f t="shared" si="0"/>
        <v>0</v>
      </c>
      <c r="H376" s="338"/>
      <c r="I376" s="346"/>
      <c r="J376" s="344">
        <f t="shared" si="2"/>
        <v>0</v>
      </c>
      <c r="K376" s="343">
        <v>1</v>
      </c>
      <c r="L376" s="329"/>
      <c r="M376" s="346" t="str">
        <f t="shared" si="3"/>
        <v/>
      </c>
      <c r="N376" s="338" t="e">
        <f t="shared" si="4"/>
        <v>#VALUE!</v>
      </c>
      <c r="O376" s="368"/>
      <c r="P376" s="347">
        <f t="shared" si="19"/>
        <v>0</v>
      </c>
      <c r="Q376" s="348"/>
      <c r="R376" s="369"/>
      <c r="S376" s="349">
        <f t="shared" si="20"/>
        <v>0</v>
      </c>
      <c r="T376" s="348"/>
      <c r="U376" s="369"/>
      <c r="V376" s="349">
        <f t="shared" si="5"/>
        <v>0</v>
      </c>
      <c r="W376" s="348"/>
      <c r="X376" s="318" t="str">
        <f t="shared" si="6"/>
        <v/>
      </c>
      <c r="Y376" s="370" t="e">
        <f t="shared" si="7"/>
        <v>#VALUE!</v>
      </c>
      <c r="Z376" s="346"/>
      <c r="AA376" s="329"/>
      <c r="AB376" s="352">
        <f t="shared" si="8"/>
        <v>0</v>
      </c>
      <c r="AC376" s="353"/>
      <c r="AD376" s="354"/>
      <c r="AE376" s="378" t="str">
        <f t="shared" si="21"/>
        <v/>
      </c>
      <c r="AF376" s="329"/>
      <c r="AG376" s="358"/>
      <c r="AH376" s="356" t="str">
        <f t="shared" si="22"/>
        <v/>
      </c>
      <c r="AI376" s="329"/>
      <c r="AJ376" s="329"/>
      <c r="AK376" s="356">
        <f t="shared" si="11"/>
        <v>0</v>
      </c>
      <c r="AL376" s="357"/>
      <c r="AM376" s="358"/>
      <c r="AN376" s="356">
        <f t="shared" si="12"/>
        <v>0</v>
      </c>
      <c r="AO376" s="329"/>
      <c r="AP376" s="358"/>
      <c r="AQ376" s="359">
        <f t="shared" si="13"/>
        <v>0</v>
      </c>
      <c r="AR376" s="360"/>
      <c r="AS376" s="358"/>
      <c r="AT376" s="356">
        <f t="shared" si="14"/>
        <v>0</v>
      </c>
      <c r="AU376" s="329"/>
      <c r="AV376" s="358"/>
      <c r="AW376" s="359">
        <f t="shared" si="15"/>
        <v>0</v>
      </c>
      <c r="AX376" s="329"/>
      <c r="AY376" s="358"/>
      <c r="AZ376" s="359">
        <f t="shared" si="16"/>
        <v>0</v>
      </c>
      <c r="BA376" s="329" t="e">
        <f>IF('Degrémont Entrée'!K376="",,('Degrémont Entrée'!K376-I376)/'Degrémont Entrée'!K376*100)</f>
        <v>#DIV/0!</v>
      </c>
      <c r="BB376" s="329" t="e">
        <f>IF('Degrémont Entrée'!G376="",,('Degrémont Entrée'!G376-G376)/'Degrémont Entrée'!G376*100)</f>
        <v>#DIV/0!</v>
      </c>
      <c r="BC376" s="329">
        <f>IF('Degrémont Entrée'!S376="",,('Degrémont Entrée'!S376-M376)/'Degrémont Entrée'!S376*100)</f>
        <v>0</v>
      </c>
      <c r="BD376" s="361" t="str">
        <f ca="1">IFERROR(__xludf.DUMMYFUNCTION("""COMPUTED_VALUE"""),"#DIV/0!")</f>
        <v>#DIV/0!</v>
      </c>
      <c r="BE376" s="362"/>
      <c r="BF376" s="363"/>
      <c r="BG376" s="363"/>
      <c r="BH376" s="338">
        <f t="shared" si="17"/>
        <v>0</v>
      </c>
      <c r="BI376" s="364"/>
      <c r="BJ376" s="365"/>
      <c r="BK376" s="371">
        <f>'Degrémont Entrée'!BH376</f>
        <v>0</v>
      </c>
      <c r="BL376" s="372">
        <f>'Degrémont Entrée'!BI376</f>
        <v>0</v>
      </c>
    </row>
    <row r="377" spans="1:64" ht="15.75" customHeight="1" outlineLevel="1">
      <c r="A377" s="337">
        <f t="shared" si="18"/>
        <v>43829</v>
      </c>
      <c r="B377" s="339">
        <v>76</v>
      </c>
      <c r="C377" s="339">
        <v>8.3800000000000008</v>
      </c>
      <c r="D377" s="340">
        <v>89</v>
      </c>
      <c r="E377" s="341">
        <v>99.6</v>
      </c>
      <c r="F377" s="342">
        <v>200</v>
      </c>
      <c r="G377" s="329">
        <f t="shared" si="0"/>
        <v>52.999999999999972</v>
      </c>
      <c r="H377" s="338"/>
      <c r="I377" s="343">
        <v>499</v>
      </c>
      <c r="J377" s="344">
        <f t="shared" si="2"/>
        <v>37.923999999999999</v>
      </c>
      <c r="K377" s="343">
        <v>1</v>
      </c>
      <c r="L377" s="345">
        <v>2.42</v>
      </c>
      <c r="M377" s="346">
        <f t="shared" si="3"/>
        <v>2.42</v>
      </c>
      <c r="N377" s="338">
        <f t="shared" si="4"/>
        <v>0.18392</v>
      </c>
      <c r="O377" s="341">
        <v>18.399999999999999</v>
      </c>
      <c r="P377" s="347">
        <f t="shared" si="19"/>
        <v>1.3983999999999999</v>
      </c>
      <c r="Q377" s="666"/>
      <c r="R377" s="318">
        <v>10.1</v>
      </c>
      <c r="S377" s="349">
        <f t="shared" si="20"/>
        <v>0.76760000000000006</v>
      </c>
      <c r="T377" s="348"/>
      <c r="U377" s="318">
        <v>10.7</v>
      </c>
      <c r="V377" s="349">
        <f t="shared" si="5"/>
        <v>0.81319999999999992</v>
      </c>
      <c r="W377" s="348"/>
      <c r="X377" s="318">
        <f t="shared" si="6"/>
        <v>39.199999999999996</v>
      </c>
      <c r="Y377" s="370">
        <f t="shared" si="7"/>
        <v>2.9791999999999996</v>
      </c>
      <c r="Z377" s="346"/>
      <c r="AA377" s="345">
        <v>0.05</v>
      </c>
      <c r="AB377" s="352">
        <f t="shared" si="8"/>
        <v>3.8000000000000004E-3</v>
      </c>
      <c r="AC377" s="353"/>
      <c r="AD377" s="354"/>
      <c r="AE377" s="378" t="str">
        <f t="shared" si="21"/>
        <v/>
      </c>
      <c r="AF377" s="329"/>
      <c r="AG377" s="358"/>
      <c r="AH377" s="356" t="str">
        <f t="shared" si="22"/>
        <v/>
      </c>
      <c r="AI377" s="329"/>
      <c r="AJ377" s="329"/>
      <c r="AK377" s="356">
        <f t="shared" si="11"/>
        <v>0</v>
      </c>
      <c r="AL377" s="357"/>
      <c r="AM377" s="358"/>
      <c r="AN377" s="356">
        <f t="shared" si="12"/>
        <v>0</v>
      </c>
      <c r="AO377" s="329"/>
      <c r="AP377" s="358"/>
      <c r="AQ377" s="359">
        <f t="shared" si="13"/>
        <v>0</v>
      </c>
      <c r="AR377" s="360"/>
      <c r="AS377" s="358"/>
      <c r="AT377" s="356">
        <f t="shared" si="14"/>
        <v>0</v>
      </c>
      <c r="AU377" s="329"/>
      <c r="AV377" s="358"/>
      <c r="AW377" s="359">
        <f t="shared" si="15"/>
        <v>0</v>
      </c>
      <c r="AX377" s="329"/>
      <c r="AY377" s="358"/>
      <c r="AZ377" s="359">
        <f t="shared" si="16"/>
        <v>0</v>
      </c>
      <c r="BA377" s="329">
        <f>IF('Degrémont Entrée'!K377="",,('Degrémont Entrée'!K377-I377)/'Degrémont Entrée'!K377*100)</f>
        <v>94.556561579578926</v>
      </c>
      <c r="BB377" s="329">
        <f>IF('Degrémont Entrée'!G377="",,('Degrémont Entrée'!G377-G377)/'Degrémont Entrée'!G377*100)</f>
        <v>99.547910150696623</v>
      </c>
      <c r="BC377" s="329">
        <f>IF('Degrémont Entrée'!S377="",,('Degrémont Entrée'!S377-M377)/'Degrémont Entrée'!S377*100)</f>
        <v>99.246105919003114</v>
      </c>
      <c r="BD377" s="361" t="str">
        <f ca="1">IFERROR(__xludf.DUMMYFUNCTION("""COMPUTED_VALUE"""),"#DIV/0!")</f>
        <v>#DIV/0!</v>
      </c>
      <c r="BE377" s="362"/>
      <c r="BF377" s="363"/>
      <c r="BG377" s="363"/>
      <c r="BH377" s="338">
        <f t="shared" si="17"/>
        <v>0</v>
      </c>
      <c r="BI377" s="364"/>
      <c r="BJ377" s="365"/>
      <c r="BK377" s="366">
        <f>'Degrémont Entrée'!BH377</f>
        <v>0</v>
      </c>
      <c r="BL377" s="367">
        <f>'Degrémont Entrée'!BI377</f>
        <v>0</v>
      </c>
    </row>
    <row r="378" spans="1:64" ht="14.25" outlineLevel="1">
      <c r="A378" s="337">
        <f t="shared" si="18"/>
        <v>43830</v>
      </c>
      <c r="B378" s="338">
        <f>'Degrémont Entrée'!B378</f>
        <v>0</v>
      </c>
      <c r="C378" s="338"/>
      <c r="D378" s="388"/>
      <c r="E378" s="368"/>
      <c r="F378" s="357"/>
      <c r="G378" s="329">
        <f t="shared" si="0"/>
        <v>0</v>
      </c>
      <c r="H378" s="338"/>
      <c r="I378" s="346"/>
      <c r="J378" s="344">
        <f t="shared" si="2"/>
        <v>0</v>
      </c>
      <c r="K378" s="343">
        <v>1</v>
      </c>
      <c r="L378" s="329"/>
      <c r="M378" s="346" t="str">
        <f t="shared" si="3"/>
        <v/>
      </c>
      <c r="N378" s="338" t="e">
        <f t="shared" si="4"/>
        <v>#VALUE!</v>
      </c>
      <c r="O378" s="368"/>
      <c r="P378" s="347">
        <f t="shared" si="19"/>
        <v>0</v>
      </c>
      <c r="Q378" s="666"/>
      <c r="R378" s="318"/>
      <c r="S378" s="349">
        <f t="shared" si="20"/>
        <v>0</v>
      </c>
      <c r="T378" s="348"/>
      <c r="U378" s="369"/>
      <c r="V378" s="349">
        <f t="shared" si="5"/>
        <v>0</v>
      </c>
      <c r="W378" s="348"/>
      <c r="X378" s="318" t="str">
        <f t="shared" si="6"/>
        <v/>
      </c>
      <c r="Y378" s="370" t="e">
        <f t="shared" si="7"/>
        <v>#VALUE!</v>
      </c>
      <c r="Z378" s="346"/>
      <c r="AA378" s="329"/>
      <c r="AB378" s="352">
        <f t="shared" si="8"/>
        <v>0</v>
      </c>
      <c r="AC378" s="353"/>
      <c r="AD378" s="354"/>
      <c r="AE378" s="378" t="str">
        <f t="shared" si="21"/>
        <v/>
      </c>
      <c r="AF378" s="329"/>
      <c r="AG378" s="358"/>
      <c r="AH378" s="356" t="str">
        <f t="shared" si="22"/>
        <v/>
      </c>
      <c r="AI378" s="329"/>
      <c r="AJ378" s="329"/>
      <c r="AK378" s="356">
        <f t="shared" si="11"/>
        <v>0</v>
      </c>
      <c r="AL378" s="357"/>
      <c r="AM378" s="358"/>
      <c r="AN378" s="356">
        <f t="shared" si="12"/>
        <v>0</v>
      </c>
      <c r="AO378" s="329"/>
      <c r="AP378" s="358"/>
      <c r="AQ378" s="359">
        <f t="shared" si="13"/>
        <v>0</v>
      </c>
      <c r="AR378" s="360"/>
      <c r="AS378" s="358"/>
      <c r="AT378" s="356">
        <f t="shared" si="14"/>
        <v>0</v>
      </c>
      <c r="AU378" s="329"/>
      <c r="AV378" s="358"/>
      <c r="AW378" s="359">
        <f t="shared" si="15"/>
        <v>0</v>
      </c>
      <c r="AX378" s="329"/>
      <c r="AY378" s="358"/>
      <c r="AZ378" s="359">
        <f t="shared" si="16"/>
        <v>0</v>
      </c>
      <c r="BA378" s="329" t="e">
        <f>IF('Degrémont Entrée'!K378="",,('Degrémont Entrée'!K378-I378)/'Degrémont Entrée'!K378*100)</f>
        <v>#DIV/0!</v>
      </c>
      <c r="BB378" s="329" t="e">
        <f>IF('Degrémont Entrée'!G378="",,('Degrémont Entrée'!G378-G378)/'Degrémont Entrée'!G378*100)</f>
        <v>#DIV/0!</v>
      </c>
      <c r="BC378" s="329">
        <f>IF('Degrémont Entrée'!S378="",,('Degrémont Entrée'!S378-M378)/'Degrémont Entrée'!S378*100)</f>
        <v>0</v>
      </c>
      <c r="BD378" s="361" t="str">
        <f ca="1">IFERROR(__xludf.DUMMYFUNCTION("""COMPUTED_VALUE"""),"#DIV/0!")</f>
        <v>#DIV/0!</v>
      </c>
      <c r="BE378" s="362"/>
      <c r="BF378" s="363"/>
      <c r="BG378" s="363"/>
      <c r="BH378" s="338">
        <f t="shared" si="17"/>
        <v>0</v>
      </c>
      <c r="BI378" s="860"/>
      <c r="BJ378" s="861"/>
      <c r="BK378" s="862">
        <f>'Degrémont Entrée'!BH378</f>
        <v>0</v>
      </c>
      <c r="BL378" s="863">
        <f>'Degrémont Entrée'!BI378</f>
        <v>0</v>
      </c>
    </row>
    <row r="379" spans="1:64" ht="15.75" customHeight="1" outlineLevel="1">
      <c r="A379" s="337">
        <f t="shared" si="18"/>
        <v>43831</v>
      </c>
      <c r="B379" s="338">
        <f>'Degrémont Entrée'!B379</f>
        <v>0</v>
      </c>
      <c r="C379" s="338"/>
      <c r="D379" s="388"/>
      <c r="E379" s="368"/>
      <c r="F379" s="357"/>
      <c r="G379" s="329">
        <f t="shared" si="0"/>
        <v>0</v>
      </c>
      <c r="H379" s="338"/>
      <c r="I379" s="346"/>
      <c r="J379" s="344">
        <f t="shared" si="2"/>
        <v>0</v>
      </c>
      <c r="K379" s="346"/>
      <c r="L379" s="329"/>
      <c r="M379" s="346" t="str">
        <f t="shared" si="3"/>
        <v/>
      </c>
      <c r="N379" s="338" t="e">
        <f t="shared" si="4"/>
        <v>#VALUE!</v>
      </c>
      <c r="O379" s="368"/>
      <c r="P379" s="347">
        <f t="shared" si="19"/>
        <v>0</v>
      </c>
      <c r="Q379" s="864"/>
      <c r="R379" s="865"/>
      <c r="S379" s="349">
        <f t="shared" si="20"/>
        <v>0</v>
      </c>
      <c r="T379" s="864"/>
      <c r="U379" s="865"/>
      <c r="V379" s="349">
        <f t="shared" si="5"/>
        <v>0</v>
      </c>
      <c r="W379" s="864"/>
      <c r="X379" s="318" t="str">
        <f t="shared" si="6"/>
        <v/>
      </c>
      <c r="Y379" s="370" t="e">
        <f t="shared" si="7"/>
        <v>#VALUE!</v>
      </c>
      <c r="Z379" s="866"/>
      <c r="AA379" s="329"/>
      <c r="AB379" s="352">
        <f t="shared" si="8"/>
        <v>0</v>
      </c>
      <c r="AC379" s="867"/>
      <c r="AD379" s="868"/>
      <c r="AE379" s="378" t="str">
        <f t="shared" si="21"/>
        <v/>
      </c>
      <c r="AF379" s="869">
        <v>0</v>
      </c>
      <c r="AG379" s="358"/>
      <c r="AH379" s="356" t="str">
        <f t="shared" si="22"/>
        <v/>
      </c>
      <c r="AI379" s="329"/>
      <c r="AJ379" s="345">
        <v>1</v>
      </c>
      <c r="AK379" s="356">
        <f t="shared" si="11"/>
        <v>0</v>
      </c>
      <c r="AL379" s="357"/>
      <c r="AM379" s="358"/>
      <c r="AN379" s="356">
        <f t="shared" si="12"/>
        <v>0</v>
      </c>
      <c r="AO379" s="329"/>
      <c r="AP379" s="358"/>
      <c r="AQ379" s="359">
        <f t="shared" si="13"/>
        <v>0</v>
      </c>
      <c r="AR379" s="360"/>
      <c r="AS379" s="358"/>
      <c r="AT379" s="356">
        <f t="shared" si="14"/>
        <v>0</v>
      </c>
      <c r="AU379" s="329"/>
      <c r="AV379" s="358"/>
      <c r="AW379" s="359">
        <f t="shared" si="15"/>
        <v>0</v>
      </c>
      <c r="AX379" s="329"/>
      <c r="AY379" s="358"/>
      <c r="AZ379" s="359">
        <f t="shared" si="16"/>
        <v>0</v>
      </c>
      <c r="BA379" s="329"/>
      <c r="BB379" s="870"/>
      <c r="BC379" s="338"/>
      <c r="BD379" s="570"/>
      <c r="BE379" s="362"/>
      <c r="BF379" s="329"/>
      <c r="BG379" s="329"/>
      <c r="BH379" s="338"/>
      <c r="BI379" s="871">
        <f>IF(B379=0,0,IF(O379&gt;0,SUM((O379-AQ379)/O379*100),0))</f>
        <v>0</v>
      </c>
      <c r="BJ379" s="871">
        <f>IF(B379=0,0,IF(AB379&gt;0,SUM((AB379-AU379)/AB379*100),0))</f>
        <v>0</v>
      </c>
      <c r="BK379" s="367"/>
      <c r="BL379" s="872"/>
    </row>
    <row r="380" spans="1:64" ht="15.75" hidden="1" customHeight="1">
      <c r="A380" s="454" t="s">
        <v>95</v>
      </c>
      <c r="B380" s="873">
        <f>SUMIF(B$14:B$379,"&lt;&gt;0")</f>
        <v>234483</v>
      </c>
      <c r="C380" s="874"/>
      <c r="D380" s="875"/>
      <c r="E380" s="876"/>
      <c r="F380" s="877"/>
      <c r="G380" s="878"/>
      <c r="H380" s="879">
        <f>SUMIF(H$14:H$379,"&lt;&gt;0")</f>
        <v>544.9361005826355</v>
      </c>
      <c r="I380" s="880"/>
      <c r="J380" s="881">
        <f t="shared" ref="J380:P380" si="23">SUMIF(J$14:J$379,"&lt;&gt;0")</f>
        <v>149662.19899999999</v>
      </c>
      <c r="K380" s="882">
        <f t="shared" si="23"/>
        <v>403</v>
      </c>
      <c r="L380" s="884">
        <f t="shared" si="23"/>
        <v>418.99999999999989</v>
      </c>
      <c r="M380" s="884">
        <f t="shared" si="23"/>
        <v>498.86999999999995</v>
      </c>
      <c r="N380" s="881" t="e">
        <f t="shared" si="23"/>
        <v>#VALUE!</v>
      </c>
      <c r="O380" s="885">
        <f t="shared" si="23"/>
        <v>1305.4000000000001</v>
      </c>
      <c r="P380" s="879">
        <f t="shared" si="23"/>
        <v>628.50249999999994</v>
      </c>
      <c r="Q380" s="886"/>
      <c r="R380" s="884">
        <f t="shared" ref="R380:S380" si="24">SUMIF(R$14:R$379,"&lt;&gt;0")</f>
        <v>10.299999999999999</v>
      </c>
      <c r="S380" s="879">
        <f t="shared" si="24"/>
        <v>0.83535000000000004</v>
      </c>
      <c r="T380" s="887"/>
      <c r="U380" s="884">
        <f t="shared" ref="U380:V380" si="25">SUMIF(U$14:U$379,"&lt;&gt;0")</f>
        <v>25.380000000000003</v>
      </c>
      <c r="V380" s="879">
        <f t="shared" si="25"/>
        <v>3.4217699999999995</v>
      </c>
      <c r="W380" s="887"/>
      <c r="X380" s="884">
        <f t="shared" ref="X380:Y380" si="26">SUMIF(X$14:X$379,"&lt;&gt;0")</f>
        <v>1339.99</v>
      </c>
      <c r="Y380" s="879" t="e">
        <f t="shared" si="26"/>
        <v>#VALUE!</v>
      </c>
      <c r="Z380" s="888"/>
      <c r="AA380" s="884">
        <f t="shared" ref="AA380:AB380" si="27">SUMIF(AA$14:AA$379,"&lt;&gt;0")</f>
        <v>3.0799999999999801</v>
      </c>
      <c r="AB380" s="889">
        <f t="shared" si="27"/>
        <v>1.2309950000000005</v>
      </c>
      <c r="AC380" s="504"/>
      <c r="AD380" s="890">
        <f t="shared" ref="AD380:AE380" si="28">SUMIF(AD$14:AD$379,"&lt;&gt;0")</f>
        <v>7.0000000000000007E-2</v>
      </c>
      <c r="AE380" s="889">
        <f t="shared" si="28"/>
        <v>0.14363250000000002</v>
      </c>
      <c r="AF380" s="891"/>
      <c r="AG380" s="892">
        <f t="shared" ref="AG380:AH380" si="29">SUMIF(AG$14:AG$379,"&lt;&gt;0")</f>
        <v>32.497999999999998</v>
      </c>
      <c r="AH380" s="881">
        <f t="shared" si="29"/>
        <v>137.77293</v>
      </c>
      <c r="AI380" s="894"/>
      <c r="AJ380" s="895">
        <f t="shared" ref="AJ380:AK380" si="30">SUMIF(AJ$14:AJ$379,"&lt;&gt;0")</f>
        <v>50.509</v>
      </c>
      <c r="AK380" s="881">
        <f t="shared" si="30"/>
        <v>35.057549999999999</v>
      </c>
      <c r="AL380" s="891"/>
      <c r="AM380" s="896">
        <f t="shared" ref="AM380:AN380" si="31">SUMIF(AM$14:AM$379,"&lt;&gt;0")</f>
        <v>3.0559999999999983</v>
      </c>
      <c r="AN380" s="881">
        <f t="shared" si="31"/>
        <v>2.1545549999999998</v>
      </c>
      <c r="AO380" s="887"/>
      <c r="AP380" s="884">
        <f t="shared" ref="AP380:AQ380" si="32">SUMIF(AP$14:AP$379,"&lt;&gt;0")</f>
        <v>9.9109999999999996</v>
      </c>
      <c r="AQ380" s="881">
        <f t="shared" si="32"/>
        <v>8.023559999999998</v>
      </c>
      <c r="AR380" s="891"/>
      <c r="AS380" s="892">
        <f t="shared" ref="AS380:AT380" si="33">SUMIF(AS$14:AS$379,"&lt;&gt;0")</f>
        <v>54.368000000000002</v>
      </c>
      <c r="AT380" s="881">
        <f t="shared" si="33"/>
        <v>36.813269000000005</v>
      </c>
      <c r="AU380" s="891"/>
      <c r="AV380" s="896">
        <f t="shared" ref="AV380:AW380" si="34">SUMIF(AV$14:AV$379,"&lt;&gt;0")</f>
        <v>7.4220000000000041</v>
      </c>
      <c r="AW380" s="881">
        <f t="shared" si="34"/>
        <v>3.1070579999999994</v>
      </c>
      <c r="AX380" s="898"/>
      <c r="AY380" s="899">
        <f t="shared" ref="AY380:AZ380" si="35">SUMIF(AY$14:AY$379,"&lt;&gt;0")</f>
        <v>5.2739999999999947</v>
      </c>
      <c r="AZ380" s="881">
        <f t="shared" si="35"/>
        <v>2.2975780000000006</v>
      </c>
      <c r="BA380" s="900"/>
      <c r="BB380" s="901"/>
      <c r="BC380" s="902"/>
      <c r="BD380" s="903"/>
      <c r="BE380" s="217"/>
      <c r="BF380" s="904"/>
      <c r="BG380" s="884">
        <f t="shared" ref="BG380:BH380" si="36">SUMIF(BG$19:BG$379,"&lt;&gt;0")</f>
        <v>1086.4618999999998</v>
      </c>
      <c r="BH380" s="884">
        <f t="shared" si="36"/>
        <v>2099.99867722421</v>
      </c>
      <c r="BI380" s="884"/>
      <c r="BJ380" s="906"/>
      <c r="BK380" s="907"/>
      <c r="BL380" s="908"/>
    </row>
    <row r="381" spans="1:64" ht="15.75" hidden="1" customHeight="1">
      <c r="A381" s="479" t="s">
        <v>97</v>
      </c>
      <c r="B381" s="483">
        <f t="shared" ref="B381:C381" si="37">AVERAGEIF(B$14:B$379,"&lt;&gt;0")</f>
        <v>868.45555555555552</v>
      </c>
      <c r="C381" s="483">
        <f t="shared" si="37"/>
        <v>8.6912500000000055</v>
      </c>
      <c r="D381" s="433"/>
      <c r="E381" s="909"/>
      <c r="F381" s="909"/>
      <c r="G381" s="483">
        <f t="shared" ref="G381:P381" si="38">AVERAGEIF(G$14:G$379,"&lt;&gt;0")</f>
        <v>26.838000619705124</v>
      </c>
      <c r="H381" s="206">
        <f t="shared" si="38"/>
        <v>22.705670857609814</v>
      </c>
      <c r="I381" s="910">
        <f t="shared" si="38"/>
        <v>793.59375</v>
      </c>
      <c r="J381" s="206">
        <f t="shared" si="38"/>
        <v>569.0577908745247</v>
      </c>
      <c r="K381" s="910">
        <f t="shared" si="38"/>
        <v>1.1071428571428572</v>
      </c>
      <c r="L381" s="483">
        <f t="shared" si="38"/>
        <v>1.4650349650349646</v>
      </c>
      <c r="M381" s="483">
        <f t="shared" si="38"/>
        <v>1.7443006993006991</v>
      </c>
      <c r="N381" s="206" t="e">
        <f t="shared" si="38"/>
        <v>#VALUE!</v>
      </c>
      <c r="O381" s="486">
        <f t="shared" si="38"/>
        <v>21.054838709677419</v>
      </c>
      <c r="P381" s="206">
        <f t="shared" si="38"/>
        <v>11.223258928571427</v>
      </c>
      <c r="Q381" s="492"/>
      <c r="R381" s="483">
        <f t="shared" ref="R381:S381" si="39">AVERAGEIF(R$14:R$379,"&lt;&gt;0")</f>
        <v>0.93636363636363629</v>
      </c>
      <c r="S381" s="206">
        <f t="shared" si="39"/>
        <v>7.5940909090909101E-2</v>
      </c>
      <c r="T381" s="913"/>
      <c r="U381" s="483">
        <f t="shared" ref="U381:V381" si="40">AVERAGEIF(U$14:U$379,"&lt;&gt;0")</f>
        <v>2.3072727272727276</v>
      </c>
      <c r="V381" s="206">
        <f t="shared" si="40"/>
        <v>0.31106999999999996</v>
      </c>
      <c r="W381" s="913"/>
      <c r="X381" s="483">
        <f t="shared" ref="X381:Y381" si="41">AVERAGEIF(X$14:X$379,"&lt;&gt;0")</f>
        <v>21.612741935483871</v>
      </c>
      <c r="Y381" s="206" t="e">
        <f t="shared" si="41"/>
        <v>#VALUE!</v>
      </c>
      <c r="Z381" s="915"/>
      <c r="AA381" s="483">
        <f t="shared" ref="AA381:AB381" si="42">AVERAGEIF(AA$14:AA$379,"&lt;&gt;0")</f>
        <v>1.088339222614834E-2</v>
      </c>
      <c r="AB381" s="204">
        <f t="shared" si="42"/>
        <v>4.8274313725490212E-3</v>
      </c>
      <c r="AC381" s="916"/>
      <c r="AD381" s="431">
        <f t="shared" ref="AD381:AE381" si="43">AVERAGEIF(AD$14:AD$379,"&lt;&gt;0")</f>
        <v>6.3636363636363638E-3</v>
      </c>
      <c r="AE381" s="204">
        <f t="shared" si="43"/>
        <v>1.3057500000000001E-2</v>
      </c>
      <c r="AF381" s="913"/>
      <c r="AG381" s="483">
        <f t="shared" ref="AG381:AH381" si="44">AVERAGEIF(AG$14:AG$379,"&lt;&gt;0")</f>
        <v>0.63721568627450975</v>
      </c>
      <c r="AH381" s="206">
        <f t="shared" si="44"/>
        <v>2.811692448979592</v>
      </c>
      <c r="AI381" s="913"/>
      <c r="AJ381" s="483">
        <f t="shared" ref="AJ381:AK381" si="45">AVERAGEIF(AJ$14:AJ$379,"&lt;&gt;0")</f>
        <v>0.93535185185185188</v>
      </c>
      <c r="AK381" s="206">
        <f t="shared" si="45"/>
        <v>0.7459053191489361</v>
      </c>
      <c r="AL381" s="913"/>
      <c r="AM381" s="483">
        <f t="shared" ref="AM381:AN381" si="46">AVERAGEIF(AM$14:AM$379,"&lt;&gt;0")</f>
        <v>5.9921568627450947E-2</v>
      </c>
      <c r="AN381" s="206">
        <f t="shared" si="46"/>
        <v>4.7878999999999998E-2</v>
      </c>
      <c r="AO381" s="913"/>
      <c r="AP381" s="483">
        <f t="shared" ref="AP381:AQ381" si="47">AVERAGEIF(AP$14:AP$379,"&lt;&gt;0")</f>
        <v>0.19433333333333333</v>
      </c>
      <c r="AQ381" s="206">
        <f t="shared" si="47"/>
        <v>0.17830133333333328</v>
      </c>
      <c r="AR381" s="913"/>
      <c r="AS381" s="483">
        <f t="shared" ref="AS381:AT381" si="48">AVERAGEIF(AS$14:AS$379,"&lt;&gt;0")</f>
        <v>0.93737931034482758</v>
      </c>
      <c r="AT381" s="206">
        <f t="shared" si="48"/>
        <v>0.70794748076923086</v>
      </c>
      <c r="AU381" s="913"/>
      <c r="AV381" s="483">
        <f t="shared" ref="AV381:AW381" si="49">AVERAGEIF(AV$14:AV$379,"&lt;&gt;0")</f>
        <v>0.14552941176470596</v>
      </c>
      <c r="AW381" s="206">
        <f t="shared" si="49"/>
        <v>6.9045733333333317E-2</v>
      </c>
      <c r="AX381" s="913"/>
      <c r="AY381" s="483">
        <f t="shared" ref="AY381:AZ381" si="50">AVERAGEIF(AY$14:AY$379,"&lt;&gt;0")</f>
        <v>0.10341176470588224</v>
      </c>
      <c r="AZ381" s="206">
        <f t="shared" si="50"/>
        <v>5.1057288888888899E-2</v>
      </c>
      <c r="BA381" s="917"/>
      <c r="BB381" s="918"/>
      <c r="BC381" s="919"/>
      <c r="BD381" s="920"/>
      <c r="BE381" s="217"/>
      <c r="BF381" s="921"/>
      <c r="BG381" s="427">
        <f t="shared" ref="BG381:BH381" si="51">AVERAGEIF(BG$19:BG$379,"&lt;&gt;0")</f>
        <v>27.857997435897431</v>
      </c>
      <c r="BH381" s="427">
        <f t="shared" si="51"/>
        <v>53.8461199288259</v>
      </c>
      <c r="BI381" s="483"/>
      <c r="BJ381" s="922"/>
      <c r="BK381" s="923"/>
      <c r="BL381" s="924"/>
    </row>
    <row r="382" spans="1:64" ht="15.75" hidden="1" customHeight="1">
      <c r="A382" s="479" t="s">
        <v>98</v>
      </c>
      <c r="B382" s="431">
        <f t="shared" ref="B382:C382" si="52">SMALL(B14:B379,COUNTIF(B14:B379,0)+1)</f>
        <v>21</v>
      </c>
      <c r="C382" s="483">
        <f t="shared" si="52"/>
        <v>6.7</v>
      </c>
      <c r="D382" s="433"/>
      <c r="E382" s="909"/>
      <c r="F382" s="925"/>
      <c r="G382" s="431">
        <f t="shared" ref="G382:H382" si="53">SMALL(G14:G379,COUNTIF(G14:G379,0)+1)</f>
        <v>0.66666666666662877</v>
      </c>
      <c r="H382" s="204">
        <f t="shared" si="53"/>
        <v>6.5039999999999774</v>
      </c>
      <c r="I382" s="910">
        <f>SMALL(I14:I379,COUNTIF(I14:I379,0)+1)</f>
        <v>117</v>
      </c>
      <c r="J382" s="204">
        <f t="shared" ref="J382:P382" si="54">SMALL(J14:J379,COUNTIF(J14:J379,0)+1)</f>
        <v>28.013999999999999</v>
      </c>
      <c r="K382" s="910">
        <f t="shared" si="54"/>
        <v>1</v>
      </c>
      <c r="L382" s="430">
        <f t="shared" si="54"/>
        <v>0.23</v>
      </c>
      <c r="M382" s="430">
        <f t="shared" si="54"/>
        <v>0.23</v>
      </c>
      <c r="N382" s="926" t="e">
        <f t="shared" si="54"/>
        <v>#VALUE!</v>
      </c>
      <c r="O382" s="212">
        <f t="shared" si="54"/>
        <v>2.8</v>
      </c>
      <c r="P382" s="204">
        <f t="shared" si="54"/>
        <v>1.3983999999999999</v>
      </c>
      <c r="Q382" s="507"/>
      <c r="R382" s="431">
        <f t="shared" ref="R382:S382" si="55">SMALL(R14:R379,COUNTIF(R14:R379,0)+1)</f>
        <v>0.02</v>
      </c>
      <c r="S382" s="204">
        <f t="shared" si="55"/>
        <v>1.48E-3</v>
      </c>
      <c r="T382" s="916"/>
      <c r="U382" s="431">
        <f t="shared" ref="U382:V382" si="56">SMALL(U14:U379,COUNTIF(U14:U379,0)+1)</f>
        <v>0.22</v>
      </c>
      <c r="V382" s="204">
        <f t="shared" si="56"/>
        <v>1.6830000000000001E-2</v>
      </c>
      <c r="W382" s="916"/>
      <c r="X382" s="431">
        <f t="shared" ref="X382:Y382" si="57">SMALL(X14:X379,COUNTIF(X14:X379,0)+1)</f>
        <v>2.92</v>
      </c>
      <c r="Y382" s="204" t="e">
        <f t="shared" si="57"/>
        <v>#VALUE!</v>
      </c>
      <c r="Z382" s="915"/>
      <c r="AA382" s="483">
        <f t="shared" ref="AA382:AB382" si="58">SMALL(AA14:AA379,COUNTIF(AA14:AA379,0)+1)</f>
        <v>0.01</v>
      </c>
      <c r="AB382" s="204">
        <f t="shared" si="58"/>
        <v>2.9E-4</v>
      </c>
      <c r="AC382" s="916"/>
      <c r="AD382" s="431">
        <f t="shared" ref="AD382:AE382" si="59">SMALL(AD14:AD379,COUNTIF(AD14:AD379,0)+1)</f>
        <v>5.0000000000000001E-3</v>
      </c>
      <c r="AE382" s="204">
        <f t="shared" si="59"/>
        <v>1.5200000000000001E-3</v>
      </c>
      <c r="AF382" s="916"/>
      <c r="AG382" s="431">
        <f t="shared" ref="AG382:AH382" si="60">SMALL(AG14:AG379,COUNTIF(AG14:AG379,0)+1)</f>
        <v>0.18099999999999999</v>
      </c>
      <c r="AH382" s="204">
        <f t="shared" si="60"/>
        <v>0.16598400000000002</v>
      </c>
      <c r="AI382" s="913"/>
      <c r="AJ382" s="431">
        <f t="shared" ref="AJ382:AK382" si="61">SMALL(AJ14:AJ379,COUNTIF(AJ14:AJ379,0)+1)</f>
        <v>0.06</v>
      </c>
      <c r="AK382" s="204">
        <f t="shared" si="61"/>
        <v>1.7759999999999998E-2</v>
      </c>
      <c r="AL382" s="913"/>
      <c r="AM382" s="431">
        <f t="shared" ref="AM382:AN382" si="62">SMALL(AM14:AM379,COUNTIF(AM14:AM379,0)+1)</f>
        <v>5.0000000000000001E-3</v>
      </c>
      <c r="AN382" s="204">
        <f t="shared" si="62"/>
        <v>3.6999999999999999E-4</v>
      </c>
      <c r="AO382" s="916"/>
      <c r="AP382" s="431">
        <f t="shared" ref="AP382:AQ382" si="63">SMALL(AP14:AP379,COUNTIF(AP14:AP379,0)+1)</f>
        <v>0.06</v>
      </c>
      <c r="AQ382" s="204">
        <f t="shared" si="63"/>
        <v>2.5200000000000001E-3</v>
      </c>
      <c r="AR382" s="913"/>
      <c r="AS382" s="431">
        <f t="shared" ref="AS382:AT382" si="64">SMALL(AS14:AS379,COUNTIF(AS14:AS379,0)+1)</f>
        <v>0.01</v>
      </c>
      <c r="AT382" s="204">
        <f t="shared" si="64"/>
        <v>7.2500000000000004E-3</v>
      </c>
      <c r="AU382" s="913"/>
      <c r="AV382" s="431">
        <f t="shared" ref="AV382:AW382" si="65">SMALL(AV14:AV379,COUNTIF(AV14:AV379,0)+1)</f>
        <v>5.0000000000000001E-3</v>
      </c>
      <c r="AW382" s="204">
        <f t="shared" si="65"/>
        <v>8.8800000000000001E-4</v>
      </c>
      <c r="AX382" s="913"/>
      <c r="AY382" s="431">
        <f t="shared" ref="AY382:AZ382" si="66">SMALL(AY14:AY379,COUNTIF(AY14:AY379,0)+1)</f>
        <v>2E-3</v>
      </c>
      <c r="AZ382" s="204">
        <f t="shared" si="66"/>
        <v>1.4799999999999999E-4</v>
      </c>
      <c r="BA382" s="917"/>
      <c r="BB382" s="918"/>
      <c r="BC382" s="919"/>
      <c r="BD382" s="920"/>
      <c r="BE382" s="217"/>
      <c r="BF382" s="921"/>
      <c r="BG382" s="202">
        <f t="shared" ref="BG382:BH382" si="67">SMALL(BG12:BG378,COUNTIF(BG12:BG378,0)+1)</f>
        <v>14.3399</v>
      </c>
      <c r="BH382" s="202">
        <f t="shared" si="67"/>
        <v>38.272741080921719</v>
      </c>
      <c r="BI382" s="209"/>
      <c r="BJ382" s="428"/>
      <c r="BK382" s="936"/>
      <c r="BL382" s="924"/>
    </row>
    <row r="383" spans="1:64" ht="15.75" hidden="1" customHeight="1">
      <c r="A383" s="479" t="s">
        <v>101</v>
      </c>
      <c r="B383" s="431">
        <f t="shared" ref="B383:C383" si="68">MAX(B14:B379)</f>
        <v>2272</v>
      </c>
      <c r="C383" s="483">
        <f t="shared" si="68"/>
        <v>9.6</v>
      </c>
      <c r="D383" s="433"/>
      <c r="E383" s="909"/>
      <c r="F383" s="925"/>
      <c r="G383" s="431">
        <f t="shared" ref="G383:P383" si="69">MAX(G14:G379)</f>
        <v>228.57142857142841</v>
      </c>
      <c r="H383" s="204">
        <f t="shared" si="69"/>
        <v>94.812745098039258</v>
      </c>
      <c r="I383" s="212">
        <f t="shared" si="69"/>
        <v>8410</v>
      </c>
      <c r="J383" s="204">
        <f t="shared" si="69"/>
        <v>2747.2660000000001</v>
      </c>
      <c r="K383" s="910">
        <f t="shared" si="69"/>
        <v>20</v>
      </c>
      <c r="L383" s="430">
        <f t="shared" si="69"/>
        <v>34.1</v>
      </c>
      <c r="M383" s="430">
        <f t="shared" si="69"/>
        <v>70.599999999999994</v>
      </c>
      <c r="N383" s="926" t="e">
        <f t="shared" si="69"/>
        <v>#VALUE!</v>
      </c>
      <c r="O383" s="212">
        <f t="shared" si="69"/>
        <v>345</v>
      </c>
      <c r="P383" s="204">
        <f t="shared" si="69"/>
        <v>60.375</v>
      </c>
      <c r="Q383" s="507"/>
      <c r="R383" s="431">
        <f t="shared" ref="R383:S383" si="70">MAX(R14:R379)</f>
        <v>10.1</v>
      </c>
      <c r="S383" s="204">
        <f t="shared" si="70"/>
        <v>0.76760000000000006</v>
      </c>
      <c r="T383" s="916"/>
      <c r="U383" s="431">
        <f t="shared" ref="U383:V383" si="71">MAX(U14:U379)</f>
        <v>12.7</v>
      </c>
      <c r="V383" s="204">
        <f t="shared" si="71"/>
        <v>1.8795999999999999</v>
      </c>
      <c r="W383" s="916"/>
      <c r="X383" s="431">
        <f t="shared" ref="X383:Y383" si="72">MAX(X14:X379)</f>
        <v>345</v>
      </c>
      <c r="Y383" s="204" t="e">
        <f t="shared" si="72"/>
        <v>#VALUE!</v>
      </c>
      <c r="Z383" s="915"/>
      <c r="AA383" s="483">
        <f t="shared" ref="AA383:AB383" si="73">MAX(AA14:AA379)</f>
        <v>0.1</v>
      </c>
      <c r="AB383" s="204">
        <f t="shared" si="73"/>
        <v>5.185E-2</v>
      </c>
      <c r="AC383" s="916"/>
      <c r="AD383" s="431">
        <f t="shared" ref="AD383:AE383" si="74">MAX(AD14:AD379)</f>
        <v>0.01</v>
      </c>
      <c r="AE383" s="204">
        <f t="shared" si="74"/>
        <v>2.2765000000000001E-2</v>
      </c>
      <c r="AF383" s="916"/>
      <c r="AG383" s="431">
        <f t="shared" ref="AG383:AH383" si="75">MAX(AG14:AG379)</f>
        <v>4.3</v>
      </c>
      <c r="AH383" s="204">
        <f t="shared" si="75"/>
        <v>11.835600000000001</v>
      </c>
      <c r="AI383" s="913"/>
      <c r="AJ383" s="431">
        <f t="shared" ref="AJ383:AK383" si="76">MAX(AJ14:AJ379)</f>
        <v>13</v>
      </c>
      <c r="AK383" s="204">
        <f t="shared" si="76"/>
        <v>8.06</v>
      </c>
      <c r="AL383" s="913"/>
      <c r="AM383" s="431">
        <f t="shared" ref="AM383:AN383" si="77">MAX(AM14:AM379)</f>
        <v>0.2</v>
      </c>
      <c r="AN383" s="204">
        <f t="shared" si="77"/>
        <v>0.17176</v>
      </c>
      <c r="AO383" s="916"/>
      <c r="AP383" s="431">
        <f t="shared" ref="AP383:AQ383" si="78">MAX(AP14:AP379)</f>
        <v>0.61</v>
      </c>
      <c r="AQ383" s="204">
        <f t="shared" si="78"/>
        <v>0.50690999999999997</v>
      </c>
      <c r="AR383" s="913"/>
      <c r="AS383" s="431">
        <f t="shared" ref="AS383:AT383" si="79">MAX(AS14:AS379)</f>
        <v>21</v>
      </c>
      <c r="AT383" s="204">
        <f t="shared" si="79"/>
        <v>13.02</v>
      </c>
      <c r="AU383" s="913"/>
      <c r="AV383" s="431">
        <f t="shared" ref="AV383:AW383" si="80">MAX(AV14:AV379)</f>
        <v>0.7</v>
      </c>
      <c r="AW383" s="204">
        <f t="shared" si="80"/>
        <v>0.20754</v>
      </c>
      <c r="AX383" s="913"/>
      <c r="AY383" s="431">
        <f t="shared" ref="AY383:AZ383" si="81">MAX(AY14:AY379)</f>
        <v>0.15</v>
      </c>
      <c r="AZ383" s="204">
        <f t="shared" si="81"/>
        <v>0.12324</v>
      </c>
      <c r="BA383" s="917"/>
      <c r="BB383" s="918"/>
      <c r="BC383" s="919"/>
      <c r="BD383" s="920"/>
      <c r="BE383" s="217"/>
      <c r="BF383" s="921"/>
      <c r="BG383" s="202">
        <f t="shared" ref="BG383:BH383" si="82">MAX(BG19:BG379)</f>
        <v>33.598799999999997</v>
      </c>
      <c r="BH383" s="202">
        <f t="shared" si="82"/>
        <v>64.01471590134895</v>
      </c>
      <c r="BI383" s="209"/>
      <c r="BJ383" s="428"/>
      <c r="BK383" s="936"/>
      <c r="BL383" s="924"/>
    </row>
    <row r="384" spans="1:64" ht="15.75" hidden="1" customHeight="1">
      <c r="A384" s="479" t="s">
        <v>102</v>
      </c>
      <c r="B384" s="431">
        <f t="shared" ref="B384:C384" si="83">COUNTIF(B14:B379,"&gt;0")</f>
        <v>270</v>
      </c>
      <c r="C384" s="483">
        <f t="shared" si="83"/>
        <v>288</v>
      </c>
      <c r="D384" s="433"/>
      <c r="E384" s="909"/>
      <c r="F384" s="925"/>
      <c r="G384" s="431">
        <f>COUNTIF(G14:G379,"&gt;55")</f>
        <v>16</v>
      </c>
      <c r="H384" s="204">
        <f t="shared" ref="H384:P384" si="84">COUNTIF(H14:H379,"&gt;0")</f>
        <v>24</v>
      </c>
      <c r="I384" s="212">
        <f t="shared" si="84"/>
        <v>288</v>
      </c>
      <c r="J384" s="204">
        <f t="shared" si="84"/>
        <v>263</v>
      </c>
      <c r="K384" s="910">
        <f t="shared" si="84"/>
        <v>364</v>
      </c>
      <c r="L384" s="430">
        <f t="shared" si="84"/>
        <v>286</v>
      </c>
      <c r="M384" s="430">
        <f t="shared" si="84"/>
        <v>286</v>
      </c>
      <c r="N384" s="926">
        <f t="shared" si="84"/>
        <v>261</v>
      </c>
      <c r="O384" s="212">
        <f t="shared" si="84"/>
        <v>62</v>
      </c>
      <c r="P384" s="204">
        <f t="shared" si="84"/>
        <v>56</v>
      </c>
      <c r="Q384" s="507"/>
      <c r="R384" s="431">
        <f t="shared" ref="R384:S384" si="85">COUNTIF(R14:R379,"&gt;0")</f>
        <v>11</v>
      </c>
      <c r="S384" s="204">
        <f t="shared" si="85"/>
        <v>11</v>
      </c>
      <c r="T384" s="916"/>
      <c r="U384" s="431">
        <f t="shared" ref="U384:V384" si="86">COUNTIF(U14:U379,"&gt;0")</f>
        <v>11</v>
      </c>
      <c r="V384" s="204">
        <f t="shared" si="86"/>
        <v>11</v>
      </c>
      <c r="W384" s="916"/>
      <c r="X384" s="431">
        <f t="shared" ref="X384:Y384" si="87">COUNTIF(X14:X379,"&gt;0")</f>
        <v>62</v>
      </c>
      <c r="Y384" s="204">
        <f t="shared" si="87"/>
        <v>56</v>
      </c>
      <c r="Z384" s="915"/>
      <c r="AA384" s="431">
        <f t="shared" ref="AA384:AB384" si="88">COUNTIF(AA14:AA379,"&gt;0")</f>
        <v>283</v>
      </c>
      <c r="AB384" s="938">
        <f t="shared" si="88"/>
        <v>255</v>
      </c>
      <c r="AC384" s="916"/>
      <c r="AD384" s="431">
        <f t="shared" ref="AD384:AE384" si="89">COUNTIF(AD14:AD379,"&gt;0")</f>
        <v>11</v>
      </c>
      <c r="AE384" s="204">
        <f t="shared" si="89"/>
        <v>11</v>
      </c>
      <c r="AF384" s="916"/>
      <c r="AG384" s="431">
        <f t="shared" ref="AG384:AH384" si="90">COUNTIF(AG14:AG379,"&gt;0")</f>
        <v>51</v>
      </c>
      <c r="AH384" s="204">
        <f t="shared" si="90"/>
        <v>49</v>
      </c>
      <c r="AI384" s="913"/>
      <c r="AJ384" s="431">
        <f t="shared" ref="AJ384:AK384" si="91">COUNTIF(AJ14:AJ379,"&gt;0")</f>
        <v>54</v>
      </c>
      <c r="AK384" s="204">
        <f t="shared" si="91"/>
        <v>47</v>
      </c>
      <c r="AL384" s="913"/>
      <c r="AM384" s="431">
        <f t="shared" ref="AM384:AN384" si="92">COUNTIF(AM14:AM379,"&gt;0")</f>
        <v>51</v>
      </c>
      <c r="AN384" s="204">
        <f t="shared" si="92"/>
        <v>45</v>
      </c>
      <c r="AO384" s="916"/>
      <c r="AP384" s="431">
        <f t="shared" ref="AP384:AQ384" si="93">COUNTIF(AP14:AP379,"&gt;0")</f>
        <v>51</v>
      </c>
      <c r="AQ384" s="204">
        <f t="shared" si="93"/>
        <v>45</v>
      </c>
      <c r="AR384" s="913"/>
      <c r="AS384" s="431">
        <f t="shared" ref="AS384:AT384" si="94">COUNTIF(AS14:AS379,"&gt;0")</f>
        <v>58</v>
      </c>
      <c r="AT384" s="204">
        <f t="shared" si="94"/>
        <v>52</v>
      </c>
      <c r="AU384" s="913"/>
      <c r="AV384" s="431">
        <f t="shared" ref="AV384:AW384" si="95">COUNTIF(AV14:AV379,"&gt;0")</f>
        <v>51</v>
      </c>
      <c r="AW384" s="204">
        <f t="shared" si="95"/>
        <v>45</v>
      </c>
      <c r="AX384" s="913"/>
      <c r="AY384" s="431">
        <f t="shared" ref="AY384:AZ384" si="96">COUNTIF(AY14:AY379,"&gt;0")</f>
        <v>51</v>
      </c>
      <c r="AZ384" s="204">
        <f t="shared" si="96"/>
        <v>45</v>
      </c>
      <c r="BA384" s="917"/>
      <c r="BB384" s="918"/>
      <c r="BC384" s="919"/>
      <c r="BD384" s="920"/>
      <c r="BE384" s="217"/>
      <c r="BF384" s="921"/>
      <c r="BG384" s="431">
        <f t="shared" ref="BG384:BH384" si="97">COUNTIF(BG19:BG379,"&gt;0")</f>
        <v>39</v>
      </c>
      <c r="BH384" s="431">
        <f t="shared" si="97"/>
        <v>39</v>
      </c>
      <c r="BI384" s="524"/>
      <c r="BJ384" s="939"/>
      <c r="BK384" s="936"/>
      <c r="BL384" s="924"/>
    </row>
    <row r="385" spans="1:64" ht="15.75" hidden="1" customHeight="1">
      <c r="A385" s="518" t="s">
        <v>212</v>
      </c>
      <c r="B385" s="431">
        <f>COUNTIF(B14:B379,"&gt;="&amp;B8)</f>
        <v>81</v>
      </c>
      <c r="C385" s="940"/>
      <c r="D385" s="433"/>
      <c r="E385" s="909"/>
      <c r="F385" s="925"/>
      <c r="G385" s="431">
        <f>COUNTIF(G14:G379,"&gt;="&amp;G8)</f>
        <v>16</v>
      </c>
      <c r="H385" s="941"/>
      <c r="I385" s="212">
        <f>COUNTIF(I14:I379,"&gt;="&amp;I8)</f>
        <v>10</v>
      </c>
      <c r="J385" s="204">
        <f t="shared" ref="J385:L385" si="98">COUNTIF(J14:J379,"&gt;=2000")</f>
        <v>3</v>
      </c>
      <c r="K385" s="212">
        <f t="shared" si="98"/>
        <v>0</v>
      </c>
      <c r="L385" s="431">
        <f t="shared" si="98"/>
        <v>0</v>
      </c>
      <c r="M385" s="431">
        <f>COUNTIF(M14:M379,"&gt;="&amp;M8)</f>
        <v>2</v>
      </c>
      <c r="N385" s="941"/>
      <c r="O385" s="212">
        <f>COUNTIF(O14:O379,"&gt;=4000")</f>
        <v>0</v>
      </c>
      <c r="P385" s="942"/>
      <c r="Q385" s="943"/>
      <c r="R385" s="944"/>
      <c r="S385" s="945"/>
      <c r="T385" s="915"/>
      <c r="U385" s="430">
        <f>COUNTIF(U14:U379,"&gt;="&amp;T8)</f>
        <v>0</v>
      </c>
      <c r="V385" s="945"/>
      <c r="W385" s="915"/>
      <c r="X385" s="430">
        <f>COUNTIF(X14:X379,"&gt;="&amp;W8)</f>
        <v>2</v>
      </c>
      <c r="Y385" s="945"/>
      <c r="Z385" s="915"/>
      <c r="AA385" s="483">
        <f>COUNTIF(AA14:AA379,"&gt;="&amp;Z8)</f>
        <v>1</v>
      </c>
      <c r="AB385" s="942"/>
      <c r="AC385" s="916"/>
      <c r="AD385" s="431">
        <f>COUNTIF(AD14:AD379,"&gt;="&amp;AC8)</f>
        <v>0</v>
      </c>
      <c r="AE385" s="942"/>
      <c r="AF385" s="916"/>
      <c r="AG385" s="431">
        <f>COUNTIF(AG14:AG379,"&gt;="&amp;AF8)</f>
        <v>1</v>
      </c>
      <c r="AH385" s="942"/>
      <c r="AI385" s="916"/>
      <c r="AJ385" s="431">
        <f>COUNTIF(AJ14:AJ379,"&gt;="&amp;AI8)</f>
        <v>4</v>
      </c>
      <c r="AK385" s="942"/>
      <c r="AL385" s="916"/>
      <c r="AM385" s="431">
        <f>COUNTIF(AM14:AM379,"&gt;="&amp;AL8)</f>
        <v>8</v>
      </c>
      <c r="AN385" s="942"/>
      <c r="AO385" s="916"/>
      <c r="AP385" s="431">
        <f>COUNTIF(AP14:AP379,"&gt;="&amp;AO8)</f>
        <v>0</v>
      </c>
      <c r="AQ385" s="942"/>
      <c r="AR385" s="916"/>
      <c r="AS385" s="431">
        <f>COUNTIF(AS14:AS379,"&gt;="&amp;AR8)</f>
        <v>14</v>
      </c>
      <c r="AT385" s="942"/>
      <c r="AU385" s="916"/>
      <c r="AV385" s="431">
        <f>COUNTIF(AV14:AV379,"&gt;="&amp;AU8)</f>
        <v>3</v>
      </c>
      <c r="AW385" s="942"/>
      <c r="AX385" s="916"/>
      <c r="AY385" s="431">
        <f>COUNTIF(AY14:AY379,"&gt;="&amp;AX8)</f>
        <v>40</v>
      </c>
      <c r="AZ385" s="942"/>
      <c r="BA385" s="917"/>
      <c r="BB385" s="918"/>
      <c r="BC385" s="919"/>
      <c r="BD385" s="920"/>
      <c r="BE385" s="217"/>
      <c r="BF385" s="921"/>
      <c r="BG385" s="431">
        <f>COUNTIF(BG19:BG379,"&gt;=50")</f>
        <v>0</v>
      </c>
      <c r="BH385" s="946"/>
      <c r="BI385" s="524"/>
      <c r="BJ385" s="939"/>
      <c r="BK385" s="936"/>
      <c r="BL385" s="924"/>
    </row>
    <row r="386" spans="1:64" ht="15.75" hidden="1" customHeight="1">
      <c r="A386" s="529" t="s">
        <v>213</v>
      </c>
      <c r="B386" s="940"/>
      <c r="C386" s="433"/>
      <c r="D386" s="433"/>
      <c r="E386" s="909"/>
      <c r="F386" s="925"/>
      <c r="G386" s="925"/>
      <c r="H386" s="941"/>
      <c r="I386" s="910"/>
      <c r="J386" s="941"/>
      <c r="K386" s="915"/>
      <c r="L386" s="909"/>
      <c r="M386" s="909"/>
      <c r="N386" s="941"/>
      <c r="O386" s="916"/>
      <c r="P386" s="942"/>
      <c r="Q386" s="951"/>
      <c r="R386" s="531"/>
      <c r="S386" s="945"/>
      <c r="T386" s="915"/>
      <c r="U386" s="944"/>
      <c r="V386" s="945"/>
      <c r="W386" s="915"/>
      <c r="X386" s="944"/>
      <c r="Y386" s="945"/>
      <c r="Z386" s="915"/>
      <c r="AA386" s="909"/>
      <c r="AB386" s="942"/>
      <c r="AC386" s="916"/>
      <c r="AD386" s="925"/>
      <c r="AE386" s="942"/>
      <c r="AF386" s="916"/>
      <c r="AG386" s="925"/>
      <c r="AH386" s="942"/>
      <c r="AI386" s="916"/>
      <c r="AJ386" s="909"/>
      <c r="AK386" s="941"/>
      <c r="AL386" s="916"/>
      <c r="AM386" s="925"/>
      <c r="AN386" s="941"/>
      <c r="AO386" s="913"/>
      <c r="AP386" s="909"/>
      <c r="AQ386" s="942"/>
      <c r="AR386" s="916"/>
      <c r="AS386" s="909"/>
      <c r="AT386" s="941"/>
      <c r="AU386" s="916"/>
      <c r="AV386" s="925"/>
      <c r="AW386" s="942"/>
      <c r="AX386" s="916"/>
      <c r="AY386" s="925"/>
      <c r="AZ386" s="952"/>
      <c r="BA386" s="954"/>
      <c r="BB386" s="956"/>
      <c r="BC386" s="958"/>
      <c r="BD386" s="960"/>
      <c r="BE386" s="217"/>
      <c r="BF386" s="961"/>
      <c r="BG386" s="962"/>
      <c r="BH386" s="962"/>
      <c r="BI386" s="963"/>
      <c r="BJ386" s="964">
        <f>COUNTIF(BJ20:BJ380,"&gt;=1000")</f>
        <v>0</v>
      </c>
      <c r="BK386" s="965"/>
      <c r="BL386" s="970"/>
    </row>
    <row r="387" spans="1:64" ht="15.75" hidden="1" customHeight="1">
      <c r="A387" s="539" t="s">
        <v>216</v>
      </c>
      <c r="B387" s="634">
        <f t="shared" ref="B387:C387" si="99">B385/B384</f>
        <v>0.3</v>
      </c>
      <c r="C387" s="634">
        <f t="shared" si="99"/>
        <v>0</v>
      </c>
      <c r="D387" s="971"/>
      <c r="E387" s="971"/>
      <c r="F387" s="971"/>
      <c r="G387" s="634">
        <f>G385/G384</f>
        <v>1</v>
      </c>
      <c r="H387" s="973"/>
      <c r="I387" s="975">
        <f>I385/I384</f>
        <v>3.4722222222222224E-2</v>
      </c>
      <c r="J387" s="973"/>
      <c r="K387" s="976"/>
      <c r="L387" s="978"/>
      <c r="M387" s="634">
        <f>M385/M384</f>
        <v>6.993006993006993E-3</v>
      </c>
      <c r="N387" s="973"/>
      <c r="O387" s="975">
        <f>O385/O384</f>
        <v>0</v>
      </c>
      <c r="P387" s="973"/>
      <c r="Q387" s="976"/>
      <c r="R387" s="634">
        <f>R385/R384</f>
        <v>0</v>
      </c>
      <c r="S387" s="973"/>
      <c r="T387" s="976"/>
      <c r="U387" s="634">
        <f>U385/U384</f>
        <v>0</v>
      </c>
      <c r="V387" s="973"/>
      <c r="W387" s="976"/>
      <c r="X387" s="634">
        <f>X385/X384</f>
        <v>3.2258064516129031E-2</v>
      </c>
      <c r="Y387" s="973"/>
      <c r="Z387" s="976"/>
      <c r="AA387" s="634">
        <f>AA385/AA384</f>
        <v>3.5335689045936395E-3</v>
      </c>
      <c r="AB387" s="973"/>
      <c r="AC387" s="976"/>
      <c r="AD387" s="634">
        <f>AD385/AD384</f>
        <v>0</v>
      </c>
      <c r="AE387" s="973"/>
      <c r="AF387" s="976"/>
      <c r="AG387" s="634">
        <f>AG385/AG384</f>
        <v>1.9607843137254902E-2</v>
      </c>
      <c r="AH387" s="973"/>
      <c r="AI387" s="976"/>
      <c r="AJ387" s="634">
        <f>AJ385/AJ384</f>
        <v>7.407407407407407E-2</v>
      </c>
      <c r="AK387" s="973"/>
      <c r="AL387" s="976"/>
      <c r="AM387" s="634">
        <f>AM385/AM384</f>
        <v>0.15686274509803921</v>
      </c>
      <c r="AN387" s="973"/>
      <c r="AO387" s="976"/>
      <c r="AP387" s="634">
        <f>AP385/AP384</f>
        <v>0</v>
      </c>
      <c r="AQ387" s="973"/>
      <c r="AR387" s="976"/>
      <c r="AS387" s="634">
        <f>AS385/AS384</f>
        <v>0.2413793103448276</v>
      </c>
      <c r="AT387" s="973"/>
      <c r="AU387" s="976"/>
      <c r="AV387" s="634">
        <f>AV385/AV384</f>
        <v>5.8823529411764705E-2</v>
      </c>
      <c r="AW387" s="973"/>
      <c r="AX387" s="976"/>
      <c r="AY387" s="634">
        <f>AY385/AY384</f>
        <v>0.78431372549019607</v>
      </c>
      <c r="AZ387" s="973"/>
      <c r="BA387" s="982"/>
      <c r="BB387" s="983"/>
      <c r="BC387" s="983"/>
      <c r="BD387" s="983"/>
      <c r="BE387" s="983"/>
      <c r="BF387" s="983"/>
      <c r="BG387" s="983"/>
      <c r="BH387" s="983"/>
      <c r="BI387" s="983"/>
      <c r="BJ387" s="983"/>
      <c r="BK387" s="983"/>
      <c r="BL387" s="983"/>
    </row>
    <row r="388" spans="1:64" ht="15.75" hidden="1" customHeight="1">
      <c r="A388" s="539" t="s">
        <v>104</v>
      </c>
      <c r="B388" s="984"/>
      <c r="C388" s="984"/>
      <c r="D388" s="971"/>
      <c r="E388" s="971"/>
      <c r="F388" s="971"/>
      <c r="G388" s="562">
        <f t="shared" ref="G388:J388" si="100">G380</f>
        <v>0</v>
      </c>
      <c r="H388" s="569">
        <f t="shared" si="100"/>
        <v>544.9361005826355</v>
      </c>
      <c r="I388" s="565">
        <f t="shared" si="100"/>
        <v>0</v>
      </c>
      <c r="J388" s="569">
        <f t="shared" si="100"/>
        <v>149662.19899999999</v>
      </c>
      <c r="K388" s="985"/>
      <c r="L388" s="971"/>
      <c r="M388" s="562">
        <f t="shared" ref="M388:P388" si="101">M380</f>
        <v>498.86999999999995</v>
      </c>
      <c r="N388" s="569" t="e">
        <f t="shared" si="101"/>
        <v>#VALUE!</v>
      </c>
      <c r="O388" s="565">
        <f t="shared" si="101"/>
        <v>1305.4000000000001</v>
      </c>
      <c r="P388" s="569">
        <f t="shared" si="101"/>
        <v>628.50249999999994</v>
      </c>
      <c r="Q388" s="985"/>
      <c r="R388" s="562">
        <f t="shared" ref="R388:S388" si="102">R380</f>
        <v>10.299999999999999</v>
      </c>
      <c r="S388" s="569">
        <f t="shared" si="102"/>
        <v>0.83535000000000004</v>
      </c>
      <c r="T388" s="985"/>
      <c r="U388" s="562">
        <f t="shared" ref="U388:V388" si="103">U380</f>
        <v>25.380000000000003</v>
      </c>
      <c r="V388" s="569">
        <f t="shared" si="103"/>
        <v>3.4217699999999995</v>
      </c>
      <c r="W388" s="985"/>
      <c r="X388" s="562">
        <f t="shared" ref="X388:Y388" si="104">X380</f>
        <v>1339.99</v>
      </c>
      <c r="Y388" s="569" t="e">
        <f t="shared" si="104"/>
        <v>#VALUE!</v>
      </c>
      <c r="Z388" s="985"/>
      <c r="AA388" s="562">
        <f t="shared" ref="AA388:AB388" si="105">AA380</f>
        <v>3.0799999999999801</v>
      </c>
      <c r="AB388" s="569">
        <f t="shared" si="105"/>
        <v>1.2309950000000005</v>
      </c>
      <c r="AC388" s="985"/>
      <c r="AD388" s="562">
        <f t="shared" ref="AD388:AE388" si="106">AD380</f>
        <v>7.0000000000000007E-2</v>
      </c>
      <c r="AE388" s="569">
        <f t="shared" si="106"/>
        <v>0.14363250000000002</v>
      </c>
      <c r="AF388" s="985"/>
      <c r="AG388" s="562">
        <f t="shared" ref="AG388:AH388" si="107">AG380</f>
        <v>32.497999999999998</v>
      </c>
      <c r="AH388" s="569">
        <f t="shared" si="107"/>
        <v>137.77293</v>
      </c>
      <c r="AI388" s="985"/>
      <c r="AJ388" s="562">
        <f t="shared" ref="AJ388:AK388" si="108">AJ380</f>
        <v>50.509</v>
      </c>
      <c r="AK388" s="569">
        <f t="shared" si="108"/>
        <v>35.057549999999999</v>
      </c>
      <c r="AL388" s="985"/>
      <c r="AM388" s="562">
        <f t="shared" ref="AM388:AN388" si="109">AM380</f>
        <v>3.0559999999999983</v>
      </c>
      <c r="AN388" s="569">
        <f t="shared" si="109"/>
        <v>2.1545549999999998</v>
      </c>
      <c r="AO388" s="985"/>
      <c r="AP388" s="562">
        <f t="shared" ref="AP388:AQ388" si="110">AP380</f>
        <v>9.9109999999999996</v>
      </c>
      <c r="AQ388" s="569">
        <f t="shared" si="110"/>
        <v>8.023559999999998</v>
      </c>
      <c r="AR388" s="985"/>
      <c r="AS388" s="562">
        <f t="shared" ref="AS388:AT388" si="111">AS380</f>
        <v>54.368000000000002</v>
      </c>
      <c r="AT388" s="569">
        <f t="shared" si="111"/>
        <v>36.813269000000005</v>
      </c>
      <c r="AU388" s="985"/>
      <c r="AV388" s="562">
        <f t="shared" ref="AV388:AW388" si="112">AV380</f>
        <v>7.4220000000000041</v>
      </c>
      <c r="AW388" s="569">
        <f t="shared" si="112"/>
        <v>3.1070579999999994</v>
      </c>
      <c r="AX388" s="985"/>
      <c r="AY388" s="562">
        <f t="shared" ref="AY388:AZ388" si="113">AY380</f>
        <v>5.2739999999999947</v>
      </c>
      <c r="AZ388" s="569">
        <f t="shared" si="113"/>
        <v>2.2975780000000006</v>
      </c>
      <c r="BE388" s="217"/>
      <c r="BG388" s="14"/>
      <c r="BH388" s="12"/>
    </row>
    <row r="389" spans="1:64" ht="15.75" hidden="1" customHeight="1">
      <c r="A389" s="988" t="s">
        <v>106</v>
      </c>
      <c r="B389" s="989"/>
      <c r="C389" s="989"/>
      <c r="D389" s="990"/>
      <c r="E389" s="990"/>
      <c r="F389" s="990"/>
      <c r="G389" s="992">
        <f t="shared" ref="G389:J389" si="114">G388*1000</f>
        <v>0</v>
      </c>
      <c r="H389" s="993">
        <f t="shared" si="114"/>
        <v>544936.1005826355</v>
      </c>
      <c r="I389" s="995">
        <f t="shared" si="114"/>
        <v>0</v>
      </c>
      <c r="J389" s="993">
        <f t="shared" si="114"/>
        <v>149662199</v>
      </c>
      <c r="K389" s="996"/>
      <c r="L389" s="990"/>
      <c r="M389" s="992">
        <f t="shared" ref="M389:P389" si="115">M388*1000</f>
        <v>498869.99999999994</v>
      </c>
      <c r="N389" s="993" t="e">
        <f t="shared" si="115"/>
        <v>#VALUE!</v>
      </c>
      <c r="O389" s="995">
        <f t="shared" si="115"/>
        <v>1305400</v>
      </c>
      <c r="P389" s="993">
        <f t="shared" si="115"/>
        <v>628502.49999999988</v>
      </c>
      <c r="Q389" s="996"/>
      <c r="R389" s="992">
        <f t="shared" ref="R389:S389" si="116">R388*1000</f>
        <v>10299.999999999998</v>
      </c>
      <c r="S389" s="993">
        <f t="shared" si="116"/>
        <v>835.35</v>
      </c>
      <c r="T389" s="996"/>
      <c r="U389" s="992">
        <f t="shared" ref="U389:V389" si="117">U388*1000</f>
        <v>25380.000000000004</v>
      </c>
      <c r="V389" s="993">
        <f t="shared" si="117"/>
        <v>3421.7699999999995</v>
      </c>
      <c r="W389" s="996"/>
      <c r="X389" s="992">
        <f t="shared" ref="X389:Y389" si="118">X388*1000</f>
        <v>1339990</v>
      </c>
      <c r="Y389" s="993" t="e">
        <f t="shared" si="118"/>
        <v>#VALUE!</v>
      </c>
      <c r="Z389" s="996"/>
      <c r="AA389" s="992">
        <f t="shared" ref="AA389:AB389" si="119">AA388*1000</f>
        <v>3079.99999999998</v>
      </c>
      <c r="AB389" s="993">
        <f t="shared" si="119"/>
        <v>1230.9950000000006</v>
      </c>
      <c r="AC389" s="996"/>
      <c r="AD389" s="992">
        <f t="shared" ref="AD389:AE389" si="120">AD388*1000</f>
        <v>70</v>
      </c>
      <c r="AE389" s="993">
        <f t="shared" si="120"/>
        <v>143.63250000000002</v>
      </c>
      <c r="AF389" s="996"/>
      <c r="AG389" s="992">
        <f t="shared" ref="AG389:AH389" si="121">AG388*1000</f>
        <v>32497.999999999996</v>
      </c>
      <c r="AH389" s="993">
        <f t="shared" si="121"/>
        <v>137772.93</v>
      </c>
      <c r="AI389" s="996"/>
      <c r="AJ389" s="992">
        <f t="shared" ref="AJ389:AK389" si="122">AJ388*1000</f>
        <v>50509</v>
      </c>
      <c r="AK389" s="993">
        <f t="shared" si="122"/>
        <v>35057.549999999996</v>
      </c>
      <c r="AL389" s="996"/>
      <c r="AM389" s="992">
        <f t="shared" ref="AM389:AN389" si="123">AM388*1000</f>
        <v>3055.9999999999982</v>
      </c>
      <c r="AN389" s="993">
        <f t="shared" si="123"/>
        <v>2154.5549999999998</v>
      </c>
      <c r="AO389" s="996"/>
      <c r="AP389" s="992">
        <f t="shared" ref="AP389:AQ389" si="124">AP388*1000</f>
        <v>9911</v>
      </c>
      <c r="AQ389" s="993">
        <f t="shared" si="124"/>
        <v>8023.5599999999977</v>
      </c>
      <c r="AR389" s="996"/>
      <c r="AS389" s="992">
        <f t="shared" ref="AS389:AT389" si="125">AS388*1000</f>
        <v>54368</v>
      </c>
      <c r="AT389" s="993">
        <f t="shared" si="125"/>
        <v>36813.269000000008</v>
      </c>
      <c r="AU389" s="996"/>
      <c r="AV389" s="992">
        <f t="shared" ref="AV389:AW389" si="126">AV388*1000</f>
        <v>7422.0000000000045</v>
      </c>
      <c r="AW389" s="993">
        <f t="shared" si="126"/>
        <v>3107.0579999999995</v>
      </c>
      <c r="AX389" s="996"/>
      <c r="AY389" s="992">
        <f t="shared" ref="AY389:AZ389" si="127">AY388*1000</f>
        <v>5273.9999999999945</v>
      </c>
      <c r="AZ389" s="993">
        <f t="shared" si="127"/>
        <v>2297.5780000000004</v>
      </c>
      <c r="BA389" s="1001"/>
      <c r="BB389" s="1001"/>
      <c r="BC389" s="1001"/>
      <c r="BD389" s="1001"/>
      <c r="BE389" s="1002"/>
      <c r="BF389" s="1001"/>
      <c r="BG389" s="1003"/>
      <c r="BH389" s="1005"/>
      <c r="BI389" s="1001"/>
      <c r="BJ389" s="1001"/>
      <c r="BK389" s="1001"/>
      <c r="BL389" s="1001"/>
    </row>
    <row r="390" spans="1:64" ht="15.75" customHeight="1">
      <c r="A390" s="1006" t="s">
        <v>273</v>
      </c>
      <c r="B390" s="606">
        <f t="shared" ref="B390:P390" si="128">SUMIF(B$14:B$378,"&lt;&gt;0")</f>
        <v>234483</v>
      </c>
      <c r="C390" s="606">
        <f t="shared" si="128"/>
        <v>2503.0800000000017</v>
      </c>
      <c r="D390" s="606">
        <f t="shared" si="128"/>
        <v>25765.499999999993</v>
      </c>
      <c r="E390" s="606">
        <f t="shared" si="128"/>
        <v>26657.999999999993</v>
      </c>
      <c r="F390" s="606">
        <f t="shared" si="128"/>
        <v>40352</v>
      </c>
      <c r="G390" s="606">
        <f t="shared" si="128"/>
        <v>7729.3441784750758</v>
      </c>
      <c r="H390" s="606">
        <f t="shared" si="128"/>
        <v>544.9361005826355</v>
      </c>
      <c r="I390" s="606">
        <f t="shared" si="128"/>
        <v>228555</v>
      </c>
      <c r="J390" s="606">
        <f t="shared" si="128"/>
        <v>149662.19899999999</v>
      </c>
      <c r="K390" s="606">
        <f t="shared" si="128"/>
        <v>403</v>
      </c>
      <c r="L390" s="606">
        <f t="shared" si="128"/>
        <v>418.99999999999989</v>
      </c>
      <c r="M390" s="606">
        <f t="shared" si="128"/>
        <v>498.86999999999995</v>
      </c>
      <c r="N390" s="606" t="e">
        <f t="shared" si="128"/>
        <v>#VALUE!</v>
      </c>
      <c r="O390" s="606">
        <f t="shared" si="128"/>
        <v>1305.4000000000001</v>
      </c>
      <c r="P390" s="606">
        <f t="shared" si="128"/>
        <v>628.50249999999994</v>
      </c>
      <c r="Q390" s="1007"/>
      <c r="R390" s="606">
        <f>SUM((SUMIF(Q13:Q378,"?",R13:R378)/2)+SUMIF(Q13:Q378,"",R13:R378))</f>
        <v>10.199999999999999</v>
      </c>
      <c r="S390" s="606">
        <f>SUMIF(S$14:S$378,"&lt;&gt;0")</f>
        <v>0.83535000000000004</v>
      </c>
      <c r="T390" s="1007"/>
      <c r="U390" s="606">
        <f>SUM((SUMIF(T13:T378,"?",U13:U378)/2)+SUMIF(T13:T378,"",U13:U378))</f>
        <v>24.389999999999997</v>
      </c>
      <c r="V390" s="606">
        <f>SUMIF(V$14:V$378,"&lt;&gt;0")</f>
        <v>3.4217699999999995</v>
      </c>
      <c r="W390" s="1007"/>
      <c r="X390" s="606">
        <f>SUM((SUMIF(W13:W378,"?",X13:X378)/2)+SUMIF(W13:W378,"",X13:X378))</f>
        <v>1339.99</v>
      </c>
      <c r="Y390" s="606" t="e">
        <f t="shared" ref="Y390:Z390" si="129">SUMIF(Y$14:Y$378,"&lt;&gt;0")</f>
        <v>#VALUE!</v>
      </c>
      <c r="Z390" s="606">
        <f t="shared" si="129"/>
        <v>0</v>
      </c>
      <c r="AA390" s="606">
        <f>SUM((SUMIF(Z13:Z378,"?",AA13:AA378)/2)+SUMIF(Z13:Z378,"",AA13:AA378))</f>
        <v>1.6349999999999913</v>
      </c>
      <c r="AB390" s="606">
        <f>SUMIF(AB$14:AB$378,"&lt;&gt;0")</f>
        <v>1.2309950000000005</v>
      </c>
      <c r="AC390" s="1007"/>
      <c r="AD390" s="606">
        <f>SUM((SUMIF(AC13:AC378,"?",AD13:AD378)/2)+SUMIF(AC13:AC378,"",AD13:AD378))</f>
        <v>3.5000000000000003E-2</v>
      </c>
      <c r="AE390" s="606">
        <f t="shared" ref="AE390:AF390" si="130">SUMIF(AE$14:AE$378,"&lt;&gt;0")</f>
        <v>0.14363250000000002</v>
      </c>
      <c r="AF390" s="606">
        <f t="shared" si="130"/>
        <v>0</v>
      </c>
      <c r="AG390" s="606">
        <f>SUM((SUMIF(AF13:AF378,"?",AG13:AG378)/2)+SUMIF(AF13:AF378,"",AG13:AG378))</f>
        <v>32.243000000000002</v>
      </c>
      <c r="AH390" s="606">
        <f t="shared" ref="AH390:AI390" si="131">SUMIF(AH$14:AH$378,"&lt;&gt;0")</f>
        <v>137.77293</v>
      </c>
      <c r="AI390" s="606">
        <f t="shared" si="131"/>
        <v>0</v>
      </c>
      <c r="AJ390" s="606">
        <f>SUM((SUMIF(AI13:AI378,"?",AJ13:AJ378)/2)+SUMIF(AI13:AI378,"",AJ13:AJ378))</f>
        <v>49.509</v>
      </c>
      <c r="AK390" s="606">
        <f t="shared" ref="AK390:AL390" si="132">SUMIF(AK$14:AK$378,"&lt;&gt;0")</f>
        <v>35.057549999999999</v>
      </c>
      <c r="AL390" s="606">
        <f t="shared" si="132"/>
        <v>0</v>
      </c>
      <c r="AM390" s="606">
        <f>SUM((SUMIF(AL13:AL378,"?",AM13:AM378)/2)+SUMIF(AL13:AL378,"",AM13:AM378))</f>
        <v>2.8460000000000005</v>
      </c>
      <c r="AN390" s="606">
        <f t="shared" ref="AN390:AO390" si="133">SUMIF(AN$14:AN$378,"&lt;&gt;0")</f>
        <v>2.1545549999999998</v>
      </c>
      <c r="AO390" s="606">
        <f t="shared" si="133"/>
        <v>0</v>
      </c>
      <c r="AP390" s="606">
        <f>SUM((SUMIF(AO13:AO378,"?",AP13:AP378)/2)+SUMIF(AO13:AO378,"",AP13:AP378))</f>
        <v>9.9109999999999996</v>
      </c>
      <c r="AQ390" s="606">
        <f>SUMIF(AQ$14:AQ$378,"&lt;&gt;0")</f>
        <v>8.023559999999998</v>
      </c>
      <c r="AR390" s="1007"/>
      <c r="AS390" s="606">
        <f>SUM((SUMIF(AR13:AR378,"?",AS13:AS378)/2)+SUMIF(AR13:AR378,"",AS13:AS378))</f>
        <v>54.318000000000005</v>
      </c>
      <c r="AT390" s="606">
        <f t="shared" ref="AT390:AU390" si="134">SUMIF(AT$14:AT$378,"&lt;&gt;0")</f>
        <v>36.813269000000005</v>
      </c>
      <c r="AU390" s="606">
        <f t="shared" si="134"/>
        <v>0</v>
      </c>
      <c r="AV390" s="606">
        <f>SUM((SUMIF(AU13:AU378,"?",AV13:AV378)/2)+SUMIF(AU13:AU378,"",AV13:AV378))</f>
        <v>4.4195000000000011</v>
      </c>
      <c r="AW390" s="606">
        <f t="shared" ref="AW390:AX390" si="135">SUMIF(AW$14:AW$378,"&lt;&gt;0")</f>
        <v>3.1070579999999994</v>
      </c>
      <c r="AX390" s="606">
        <f t="shared" si="135"/>
        <v>0</v>
      </c>
      <c r="AY390" s="606">
        <f>SUM((SUMIF(AX13:AX378,"?",AY13:AY378)/2)+SUMIF(AX13:AX378,"",AY13:AY378))</f>
        <v>2.7819999999999974</v>
      </c>
      <c r="AZ390" s="606">
        <f>SUMIF(AZ$14:AZ$378,"&lt;&gt;0")</f>
        <v>2.2975780000000006</v>
      </c>
      <c r="BE390" s="217"/>
      <c r="BG390" s="14"/>
      <c r="BH390" s="606">
        <f>SUMIF(BH$14:BH$378,"&lt;&gt;0")</f>
        <v>2099.99867722421</v>
      </c>
    </row>
    <row r="391" spans="1:64" ht="15.75" customHeight="1">
      <c r="A391" s="479" t="s">
        <v>97</v>
      </c>
      <c r="B391" s="613">
        <f t="shared" ref="B391:C391" si="136">AVERAGEIF(B$14:B$378,"&lt;&gt;0")</f>
        <v>868.45555555555552</v>
      </c>
      <c r="C391" s="613">
        <f t="shared" si="136"/>
        <v>8.6912500000000055</v>
      </c>
      <c r="D391" s="1009"/>
      <c r="E391" s="1009"/>
      <c r="F391" s="1009"/>
      <c r="G391" s="613">
        <f t="shared" ref="G391:P391" si="137">AVERAGEIF(G$14:G$378,"&lt;&gt;0")</f>
        <v>26.838000619705124</v>
      </c>
      <c r="H391" s="613">
        <f t="shared" si="137"/>
        <v>22.705670857609814</v>
      </c>
      <c r="I391" s="613">
        <f t="shared" si="137"/>
        <v>793.59375</v>
      </c>
      <c r="J391" s="613">
        <f t="shared" si="137"/>
        <v>569.0577908745247</v>
      </c>
      <c r="K391" s="613">
        <f t="shared" si="137"/>
        <v>1.1071428571428572</v>
      </c>
      <c r="L391" s="613">
        <f t="shared" si="137"/>
        <v>1.4650349650349646</v>
      </c>
      <c r="M391" s="613">
        <f t="shared" si="137"/>
        <v>1.7443006993006991</v>
      </c>
      <c r="N391" s="613" t="e">
        <f t="shared" si="137"/>
        <v>#VALUE!</v>
      </c>
      <c r="O391" s="613">
        <f t="shared" si="137"/>
        <v>21.054838709677419</v>
      </c>
      <c r="P391" s="613">
        <f t="shared" si="137"/>
        <v>11.223258928571427</v>
      </c>
      <c r="Q391" s="1009"/>
      <c r="R391" s="613">
        <f>AVERAGE((SUMIF(Q14:Q378,"?",R14:R378)/2)+SUMIF(Q14:Q378,"",R14:R378))/COUNTA(R14:R378)</f>
        <v>0.92727272727272725</v>
      </c>
      <c r="S391" s="613">
        <f>AVERAGEIF(S$14:S$378,"&lt;&gt;0")</f>
        <v>7.5940909090909101E-2</v>
      </c>
      <c r="T391" s="1009"/>
      <c r="U391" s="613">
        <f>AVERAGE((SUMIF(T14:T378,"?",U14:U378)/2)+SUMIF(T14:T378,"",U14:U378))/COUNTA(U14:U378)</f>
        <v>2.2172727272727268</v>
      </c>
      <c r="V391" s="613">
        <f>AVERAGEIF(V$14:V$378,"&lt;&gt;0")</f>
        <v>0.31106999999999996</v>
      </c>
      <c r="W391" s="1009"/>
      <c r="X391" s="613">
        <f>AVERAGE((SUMIF(W14:W378,"?",X14:X378)/2)+SUMIF(W14:W378,"",X14:X378))/COUNTA(X14:X378)</f>
        <v>3.671205479452055</v>
      </c>
      <c r="Y391" s="613" t="e">
        <f>AVERAGEIF(Y$14:Y$378,"&lt;&gt;0")</f>
        <v>#VALUE!</v>
      </c>
      <c r="Z391" s="1009"/>
      <c r="AA391" s="613">
        <f>AVERAGE((SUMIF(Z14:Z378,"?",AA14:AA378)/2)+SUMIF(Z14:Z378,"",AA14:AA378))/COUNTA(AA14:AA378)</f>
        <v>5.7773851590105698E-3</v>
      </c>
      <c r="AB391" s="613">
        <f>AVERAGEIF(AB$14:AB$378,"&lt;&gt;0")</f>
        <v>4.8274313725490212E-3</v>
      </c>
      <c r="AC391" s="1009"/>
      <c r="AD391" s="1010">
        <f>AVERAGE((SUMIF(AC14:AC378,"?",AD14:AD378)/2)+SUMIF(AC14:AC378,"",AD14:AD378))/COUNTA(AD14:AD378)</f>
        <v>3.1818181818181819E-3</v>
      </c>
      <c r="AE391" s="613">
        <f>AVERAGEIF(AE$14:AE$378,"&lt;&gt;0")</f>
        <v>1.3057500000000001E-2</v>
      </c>
      <c r="AF391" s="1009"/>
      <c r="AG391" s="613">
        <f>AVERAGE((SUMIF(AF14:AF378,"?",AG14:AG378)/2)+SUMIF(AF14:AF378,"",AG14:AG378))/COUNTA(AG14:AG378)</f>
        <v>0.63221568627450986</v>
      </c>
      <c r="AH391" s="613">
        <f>AVERAGEIF(AH$14:AH$378,"&lt;&gt;0")</f>
        <v>2.811692448979592</v>
      </c>
      <c r="AI391" s="1009"/>
      <c r="AJ391" s="613">
        <f>AVERAGE((SUMIF(AI14:AI378,"?",AJ14:AJ378)/2)+SUMIF(AI14:AI378,"",AJ14:AJ378))/COUNTA(AJ14:AJ378)</f>
        <v>0.93413207547169808</v>
      </c>
      <c r="AK391" s="613">
        <f>AVERAGEIF(AK$14:AK$378,"&lt;&gt;0")</f>
        <v>0.7459053191489361</v>
      </c>
      <c r="AL391" s="1009"/>
      <c r="AM391" s="613">
        <f>AVERAGE((SUMIF(AL14:AL378,"?",AM14:AM378)/2)+SUMIF(AL14:AL378,"",AM14:AM378))/COUNTA(AM14:AM378)</f>
        <v>5.5803921568627464E-2</v>
      </c>
      <c r="AN391" s="613">
        <f>AVERAGEIF(AN$14:AN$378,"&lt;&gt;0")</f>
        <v>4.7878999999999998E-2</v>
      </c>
      <c r="AO391" s="1009"/>
      <c r="AP391" s="613">
        <f>AVERAGE((SUMIF(AO14:AO378,"?",AP14:AP378)/2)+SUMIF(AO14:AO378,"",AP14:AP378))/COUNTA(AP14:AP378)</f>
        <v>0.19433333333333333</v>
      </c>
      <c r="AQ391" s="613">
        <f>AVERAGEIF(AQ$14:AQ$378,"&lt;&gt;0")</f>
        <v>0.17830133333333328</v>
      </c>
      <c r="AR391" s="1009"/>
      <c r="AS391" s="613">
        <f>AVERAGE((SUMIF(AR14:AR378,"?",AS14:AS378)/2)+SUMIF(AR14:AR378,"",AS14:AS378))/COUNTA(AS14:AS378)</f>
        <v>0.93651724137931047</v>
      </c>
      <c r="AT391" s="613">
        <f>AVERAGEIF(AT$14:AT$378,"&lt;&gt;0")</f>
        <v>0.70794748076923086</v>
      </c>
      <c r="AU391" s="1009"/>
      <c r="AV391" s="613">
        <f>AVERAGE((SUMIF(AU14:AU378,"?",AV14:AV378)/2)+SUMIF(AU14:AU378,"",AV14:AV378))/COUNTA(AV14:AV378)</f>
        <v>8.6656862745098054E-2</v>
      </c>
      <c r="AW391" s="613">
        <f>AVERAGEIF(AW$14:AW$378,"&lt;&gt;0")</f>
        <v>6.9045733333333317E-2</v>
      </c>
      <c r="AX391" s="1009"/>
      <c r="AY391" s="613">
        <f>AVERAGE((SUMIF(AX14:AX378,"?",AY14:AY378)/2)+SUMIF(AX14:AX378,"",AY14:AY378))/COUNTA(AY14:AY378)</f>
        <v>5.4549019607843086E-2</v>
      </c>
      <c r="AZ391" s="613">
        <f>AVERAGEIF(AZ$14:AZ$378,"&lt;&gt;0")</f>
        <v>5.1057288888888899E-2</v>
      </c>
      <c r="BE391" s="217"/>
      <c r="BG391" s="14"/>
      <c r="BH391" s="613">
        <f>AVERAGEIF(BH$14:BH$378,"&lt;&gt;0")</f>
        <v>53.8461199288259</v>
      </c>
    </row>
    <row r="392" spans="1:64" ht="15.75" hidden="1" customHeight="1">
      <c r="A392" s="479" t="s">
        <v>98</v>
      </c>
      <c r="B392" s="616">
        <f t="shared" ref="B392:C392" si="138">SMALL(B24:B388,COUNTIF(B24:B388,0)+1)</f>
        <v>0.3</v>
      </c>
      <c r="C392" s="616">
        <f t="shared" si="138"/>
        <v>6.7</v>
      </c>
      <c r="D392" s="1015"/>
      <c r="E392" s="1015"/>
      <c r="F392" s="1015"/>
      <c r="G392" s="616">
        <f t="shared" ref="G392:P392" si="139">SMALL(G24:G388,COUNTIF(G24:G388,0)+1)</f>
        <v>0.66666666666662877</v>
      </c>
      <c r="H392" s="616">
        <f t="shared" si="139"/>
        <v>6.5039999999999774</v>
      </c>
      <c r="I392" s="616">
        <f t="shared" si="139"/>
        <v>3.4722222222222224E-2</v>
      </c>
      <c r="J392" s="616">
        <f t="shared" si="139"/>
        <v>3</v>
      </c>
      <c r="K392" s="616">
        <f t="shared" si="139"/>
        <v>1</v>
      </c>
      <c r="L392" s="616">
        <f t="shared" si="139"/>
        <v>0.23</v>
      </c>
      <c r="M392" s="616">
        <f t="shared" si="139"/>
        <v>6.993006993006993E-3</v>
      </c>
      <c r="N392" s="616" t="e">
        <f t="shared" si="139"/>
        <v>#VALUE!</v>
      </c>
      <c r="O392" s="616">
        <f t="shared" si="139"/>
        <v>2.8</v>
      </c>
      <c r="P392" s="616">
        <f t="shared" si="139"/>
        <v>1.3983999999999999</v>
      </c>
      <c r="Q392" s="1015"/>
      <c r="R392" s="616">
        <f t="shared" ref="R392:S392" si="140">SMALL(R24:R388,COUNTIF(R24:R388,0)+1)</f>
        <v>0.02</v>
      </c>
      <c r="S392" s="616">
        <f t="shared" si="140"/>
        <v>1.48E-3</v>
      </c>
      <c r="T392" s="1015"/>
      <c r="U392" s="616">
        <f t="shared" ref="U392:V392" si="141">SMALL(U24:U388,COUNTIF(U24:U388,0)+1)</f>
        <v>0.22</v>
      </c>
      <c r="V392" s="616">
        <f t="shared" si="141"/>
        <v>1.6830000000000001E-2</v>
      </c>
      <c r="W392" s="1015"/>
      <c r="X392" s="616">
        <f t="shared" ref="X392:Y392" si="142">SMALL(X24:X388,COUNTIF(X24:X388,0)+1)</f>
        <v>3.2258064516129031E-2</v>
      </c>
      <c r="Y392" s="616" t="e">
        <f t="shared" si="142"/>
        <v>#VALUE!</v>
      </c>
      <c r="Z392" s="1015"/>
      <c r="AA392" s="616">
        <f t="shared" ref="AA392:AB392" si="143">SMALL(AA24:AA388,COUNTIF(AA24:AA388,0)+1)</f>
        <v>3.5335689045936395E-3</v>
      </c>
      <c r="AB392" s="616">
        <f t="shared" si="143"/>
        <v>2.9E-4</v>
      </c>
      <c r="AC392" s="1015"/>
      <c r="AD392" s="616">
        <f t="shared" ref="AD392:AE392" si="144">SMALL(AD24:AD388,COUNTIF(AD24:AD388,0)+1)</f>
        <v>5.0000000000000001E-3</v>
      </c>
      <c r="AE392" s="616">
        <f t="shared" si="144"/>
        <v>1.5200000000000001E-3</v>
      </c>
      <c r="AF392" s="1015"/>
      <c r="AG392" s="616">
        <f t="shared" ref="AG392:AH392" si="145">SMALL(AG24:AG388,COUNTIF(AG24:AG388,0)+1)</f>
        <v>1.9607843137254902E-2</v>
      </c>
      <c r="AH392" s="616">
        <f t="shared" si="145"/>
        <v>0.16598400000000002</v>
      </c>
      <c r="AI392" s="1015"/>
      <c r="AJ392" s="616">
        <f t="shared" ref="AJ392:AN392" si="146">SMALL(AJ24:AJ388,COUNTIF(AJ24:AJ388,0)+1)</f>
        <v>0.06</v>
      </c>
      <c r="AK392" s="616">
        <f t="shared" si="146"/>
        <v>1.7759999999999998E-2</v>
      </c>
      <c r="AL392" s="1015" t="e">
        <f t="shared" si="146"/>
        <v>#NUM!</v>
      </c>
      <c r="AM392" s="616">
        <f t="shared" si="146"/>
        <v>5.0000000000000001E-3</v>
      </c>
      <c r="AN392" s="616">
        <f t="shared" si="146"/>
        <v>3.6999999999999999E-4</v>
      </c>
      <c r="AO392" s="1015"/>
      <c r="AP392" s="616">
        <f t="shared" ref="AP392:AQ392" si="147">SMALL(AP24:AP388,COUNTIF(AP24:AP388,0)+1)</f>
        <v>0.06</v>
      </c>
      <c r="AQ392" s="616">
        <f t="shared" si="147"/>
        <v>2.5200000000000001E-3</v>
      </c>
      <c r="AR392" s="1015"/>
      <c r="AS392" s="616">
        <f t="shared" ref="AS392:AT392" si="148">SMALL(AS24:AS388,COUNTIF(AS24:AS388,0)+1)</f>
        <v>0.01</v>
      </c>
      <c r="AT392" s="616">
        <f t="shared" si="148"/>
        <v>7.2500000000000004E-3</v>
      </c>
      <c r="AU392" s="1015"/>
      <c r="AV392" s="616">
        <f t="shared" ref="AV392:AW392" si="149">SMALL(AV24:AV388,COUNTIF(AV24:AV388,0)+1)</f>
        <v>5.0000000000000001E-3</v>
      </c>
      <c r="AW392" s="616">
        <f t="shared" si="149"/>
        <v>8.8800000000000001E-4</v>
      </c>
      <c r="AX392" s="1015"/>
      <c r="AY392" s="616">
        <f t="shared" ref="AY392:AZ392" si="150">SMALL(AY24:AY388,COUNTIF(AY24:AY388,0)+1)</f>
        <v>2E-3</v>
      </c>
      <c r="AZ392" s="616">
        <f t="shared" si="150"/>
        <v>1.4799999999999999E-4</v>
      </c>
      <c r="BE392" s="217"/>
      <c r="BG392" s="14"/>
      <c r="BH392" s="12"/>
    </row>
    <row r="393" spans="1:64" ht="15.75" hidden="1" customHeight="1">
      <c r="A393" s="479" t="s">
        <v>101</v>
      </c>
      <c r="B393" s="616">
        <f t="shared" ref="B393:C393" si="151">MAX(B24:B388)</f>
        <v>234483</v>
      </c>
      <c r="C393" s="616">
        <f t="shared" si="151"/>
        <v>288</v>
      </c>
      <c r="D393" s="1015"/>
      <c r="E393" s="1015"/>
      <c r="F393" s="1015"/>
      <c r="G393" s="616">
        <f t="shared" ref="G393:P393" si="152">MAX(G24:G388)</f>
        <v>228.57142857142841</v>
      </c>
      <c r="H393" s="616">
        <f t="shared" si="152"/>
        <v>544.9361005826355</v>
      </c>
      <c r="I393" s="616">
        <f t="shared" si="152"/>
        <v>8410</v>
      </c>
      <c r="J393" s="616">
        <f t="shared" si="152"/>
        <v>149662.19899999999</v>
      </c>
      <c r="K393" s="616">
        <f t="shared" si="152"/>
        <v>403</v>
      </c>
      <c r="L393" s="616">
        <f t="shared" si="152"/>
        <v>418.99999999999989</v>
      </c>
      <c r="M393" s="616">
        <f t="shared" si="152"/>
        <v>498.86999999999995</v>
      </c>
      <c r="N393" s="616" t="e">
        <f t="shared" si="152"/>
        <v>#VALUE!</v>
      </c>
      <c r="O393" s="616">
        <f t="shared" si="152"/>
        <v>1305.4000000000001</v>
      </c>
      <c r="P393" s="616">
        <f t="shared" si="152"/>
        <v>628.50249999999994</v>
      </c>
      <c r="Q393" s="1015"/>
      <c r="R393" s="616">
        <f t="shared" ref="R393:S393" si="153">MAX(R24:R388)</f>
        <v>11</v>
      </c>
      <c r="S393" s="616">
        <f t="shared" si="153"/>
        <v>11</v>
      </c>
      <c r="T393" s="1015"/>
      <c r="U393" s="616">
        <f t="shared" ref="U393:V393" si="154">MAX(U24:U388)</f>
        <v>25.380000000000003</v>
      </c>
      <c r="V393" s="616">
        <f t="shared" si="154"/>
        <v>11</v>
      </c>
      <c r="W393" s="1015"/>
      <c r="X393" s="616">
        <f t="shared" ref="X393:Y393" si="155">MAX(X24:X388)</f>
        <v>1339.99</v>
      </c>
      <c r="Y393" s="616" t="e">
        <f t="shared" si="155"/>
        <v>#VALUE!</v>
      </c>
      <c r="Z393" s="1015"/>
      <c r="AA393" s="616">
        <f t="shared" ref="AA393:AB393" si="156">MAX(AA24:AA388)</f>
        <v>283</v>
      </c>
      <c r="AB393" s="616">
        <f t="shared" si="156"/>
        <v>255</v>
      </c>
      <c r="AC393" s="1015"/>
      <c r="AD393" s="616">
        <f t="shared" ref="AD393:AE393" si="157">MAX(AD24:AD388)</f>
        <v>11</v>
      </c>
      <c r="AE393" s="616">
        <f t="shared" si="157"/>
        <v>11</v>
      </c>
      <c r="AF393" s="1015"/>
      <c r="AG393" s="616">
        <f t="shared" ref="AG393:AH393" si="158">MAX(AG24:AG388)</f>
        <v>51</v>
      </c>
      <c r="AH393" s="616">
        <f t="shared" si="158"/>
        <v>137.77293</v>
      </c>
      <c r="AI393" s="1015"/>
      <c r="AJ393" s="616">
        <f t="shared" ref="AJ393:AN393" si="159">MAX(AJ24:AJ388)</f>
        <v>54</v>
      </c>
      <c r="AK393" s="616">
        <f t="shared" si="159"/>
        <v>47</v>
      </c>
      <c r="AL393" s="1015">
        <f t="shared" si="159"/>
        <v>0</v>
      </c>
      <c r="AM393" s="616">
        <f t="shared" si="159"/>
        <v>51</v>
      </c>
      <c r="AN393" s="616">
        <f t="shared" si="159"/>
        <v>45</v>
      </c>
      <c r="AO393" s="1015"/>
      <c r="AP393" s="616">
        <f t="shared" ref="AP393:AQ393" si="160">MAX(AP24:AP388)</f>
        <v>51</v>
      </c>
      <c r="AQ393" s="616">
        <f t="shared" si="160"/>
        <v>45</v>
      </c>
      <c r="AR393" s="1015"/>
      <c r="AS393" s="616">
        <f t="shared" ref="AS393:AT393" si="161">MAX(AS24:AS388)</f>
        <v>58</v>
      </c>
      <c r="AT393" s="616">
        <f t="shared" si="161"/>
        <v>52</v>
      </c>
      <c r="AU393" s="1015"/>
      <c r="AV393" s="616">
        <f t="shared" ref="AV393:AW393" si="162">MAX(AV24:AV388)</f>
        <v>51</v>
      </c>
      <c r="AW393" s="616">
        <f t="shared" si="162"/>
        <v>45</v>
      </c>
      <c r="AX393" s="1015"/>
      <c r="AY393" s="616">
        <f t="shared" ref="AY393:AZ393" si="163">MAX(AY24:AY388)</f>
        <v>51</v>
      </c>
      <c r="AZ393" s="616">
        <f t="shared" si="163"/>
        <v>45</v>
      </c>
      <c r="BE393" s="217"/>
      <c r="BG393" s="14"/>
      <c r="BH393" s="12"/>
    </row>
    <row r="394" spans="1:64" ht="15.75" customHeight="1">
      <c r="A394" s="1019" t="s">
        <v>274</v>
      </c>
      <c r="B394" s="616">
        <f t="shared" ref="B394:C394" si="164">COUNTIF(B14:B295,"&gt;0")</f>
        <v>213</v>
      </c>
      <c r="C394" s="616">
        <f t="shared" si="164"/>
        <v>235</v>
      </c>
      <c r="D394" s="1015"/>
      <c r="E394" s="1015"/>
      <c r="F394" s="1015"/>
      <c r="G394" s="616">
        <f t="shared" ref="G394:P394" si="165">COUNTIF(G14:G295,"&gt;0")</f>
        <v>235</v>
      </c>
      <c r="H394" s="616">
        <f t="shared" si="165"/>
        <v>24</v>
      </c>
      <c r="I394" s="616">
        <f t="shared" si="165"/>
        <v>235</v>
      </c>
      <c r="J394" s="616">
        <f t="shared" si="165"/>
        <v>210</v>
      </c>
      <c r="K394" s="616">
        <f t="shared" si="165"/>
        <v>281</v>
      </c>
      <c r="L394" s="616">
        <f t="shared" si="165"/>
        <v>233</v>
      </c>
      <c r="M394" s="616">
        <f t="shared" si="165"/>
        <v>233</v>
      </c>
      <c r="N394" s="616">
        <f t="shared" si="165"/>
        <v>208</v>
      </c>
      <c r="O394" s="616">
        <f t="shared" si="165"/>
        <v>39</v>
      </c>
      <c r="P394" s="616">
        <f t="shared" si="165"/>
        <v>35</v>
      </c>
      <c r="Q394" s="1015"/>
      <c r="R394" s="616">
        <f t="shared" ref="R394:S394" si="166">COUNTIF(R14:R295,"&gt;0")</f>
        <v>0</v>
      </c>
      <c r="S394" s="616">
        <f t="shared" si="166"/>
        <v>0</v>
      </c>
      <c r="T394" s="1015"/>
      <c r="U394" s="616">
        <f t="shared" ref="U394:V394" si="167">COUNTIF(U14:U295,"&gt;0")</f>
        <v>0</v>
      </c>
      <c r="V394" s="616">
        <f t="shared" si="167"/>
        <v>0</v>
      </c>
      <c r="W394" s="1015"/>
      <c r="X394" s="616">
        <f t="shared" ref="X394:Y394" si="168">COUNTIF(X14:X295,"&gt;0")</f>
        <v>39</v>
      </c>
      <c r="Y394" s="616">
        <f t="shared" si="168"/>
        <v>35</v>
      </c>
      <c r="Z394" s="1015"/>
      <c r="AA394" s="616">
        <f t="shared" ref="AA394:AB394" si="169">COUNTIF(AA14:AA295,"&gt;0")</f>
        <v>231</v>
      </c>
      <c r="AB394" s="616">
        <f t="shared" si="169"/>
        <v>203</v>
      </c>
      <c r="AC394" s="1015"/>
      <c r="AD394" s="616">
        <f t="shared" ref="AD394:AE394" si="170">COUNTIF(AD14:AD295,"&gt;0")</f>
        <v>0</v>
      </c>
      <c r="AE394" s="616">
        <f t="shared" si="170"/>
        <v>0</v>
      </c>
      <c r="AF394" s="1015"/>
      <c r="AG394" s="616">
        <f t="shared" ref="AG394:AH394" si="171">COUNTIF(AG14:AG295,"&gt;0")</f>
        <v>40</v>
      </c>
      <c r="AH394" s="616">
        <f t="shared" si="171"/>
        <v>38</v>
      </c>
      <c r="AI394" s="1015"/>
      <c r="AJ394" s="616">
        <f t="shared" ref="AJ394:AK394" si="172">COUNTIF(AJ14:AJ295,"&gt;0")</f>
        <v>42</v>
      </c>
      <c r="AK394" s="616">
        <f t="shared" si="172"/>
        <v>38</v>
      </c>
      <c r="AL394" s="1015"/>
      <c r="AM394" s="616">
        <f t="shared" ref="AM394:AN394" si="173">COUNTIF(AM14:AM295,"&gt;0")</f>
        <v>40</v>
      </c>
      <c r="AN394" s="616">
        <f t="shared" si="173"/>
        <v>36</v>
      </c>
      <c r="AO394" s="1015"/>
      <c r="AP394" s="616">
        <f t="shared" ref="AP394:AQ394" si="174">COUNTIF(AP14:AP295,"&gt;0")</f>
        <v>40</v>
      </c>
      <c r="AQ394" s="616">
        <f t="shared" si="174"/>
        <v>36</v>
      </c>
      <c r="AR394" s="1015"/>
      <c r="AS394" s="616">
        <f t="shared" ref="AS394:AT394" si="175">COUNTIF(AS14:AS295,"&gt;0")</f>
        <v>45</v>
      </c>
      <c r="AT394" s="616">
        <f t="shared" si="175"/>
        <v>41</v>
      </c>
      <c r="AU394" s="1015"/>
      <c r="AV394" s="616">
        <f t="shared" ref="AV394:AW394" si="176">COUNTIF(AV14:AV295,"&gt;0")</f>
        <v>40</v>
      </c>
      <c r="AW394" s="616">
        <f t="shared" si="176"/>
        <v>36</v>
      </c>
      <c r="AX394" s="1015"/>
      <c r="AY394" s="616">
        <f t="shared" ref="AY394:AZ394" si="177">COUNTIF(AY14:AY295,"&gt;0")</f>
        <v>40</v>
      </c>
      <c r="AZ394" s="616">
        <f t="shared" si="177"/>
        <v>36</v>
      </c>
      <c r="BE394" s="217"/>
      <c r="BG394" s="14"/>
      <c r="BH394" s="12"/>
    </row>
    <row r="395" spans="1:64" ht="15.75" customHeight="1">
      <c r="A395" s="1019" t="s">
        <v>275</v>
      </c>
      <c r="B395" s="616">
        <f t="shared" ref="B395:C395" si="178">COUNTIF(B296:B378,"&gt;0")</f>
        <v>57</v>
      </c>
      <c r="C395" s="616">
        <f t="shared" si="178"/>
        <v>53</v>
      </c>
      <c r="D395" s="1015"/>
      <c r="E395" s="1015"/>
      <c r="F395" s="1015"/>
      <c r="G395" s="616">
        <f t="shared" ref="G395:P395" si="179">COUNTIF(G296:G378,"&gt;0")</f>
        <v>53</v>
      </c>
      <c r="H395" s="616">
        <f t="shared" si="179"/>
        <v>0</v>
      </c>
      <c r="I395" s="616">
        <f t="shared" si="179"/>
        <v>53</v>
      </c>
      <c r="J395" s="616">
        <f t="shared" si="179"/>
        <v>53</v>
      </c>
      <c r="K395" s="616">
        <f t="shared" si="179"/>
        <v>83</v>
      </c>
      <c r="L395" s="616">
        <f t="shared" si="179"/>
        <v>53</v>
      </c>
      <c r="M395" s="616">
        <f t="shared" si="179"/>
        <v>53</v>
      </c>
      <c r="N395" s="616">
        <f t="shared" si="179"/>
        <v>53</v>
      </c>
      <c r="O395" s="616">
        <f t="shared" si="179"/>
        <v>23</v>
      </c>
      <c r="P395" s="616">
        <f t="shared" si="179"/>
        <v>21</v>
      </c>
      <c r="Q395" s="1015"/>
      <c r="R395" s="616">
        <f t="shared" ref="R395:S395" si="180">COUNTIF(R296:R378,"&gt;0")</f>
        <v>11</v>
      </c>
      <c r="S395" s="616">
        <f t="shared" si="180"/>
        <v>11</v>
      </c>
      <c r="T395" s="1015"/>
      <c r="U395" s="616">
        <f t="shared" ref="U395:V395" si="181">COUNTIF(U296:U378,"&gt;0")</f>
        <v>11</v>
      </c>
      <c r="V395" s="616">
        <f t="shared" si="181"/>
        <v>11</v>
      </c>
      <c r="W395" s="1015"/>
      <c r="X395" s="616">
        <f t="shared" ref="X395:Y395" si="182">COUNTIF(X296:X378,"&gt;0")</f>
        <v>23</v>
      </c>
      <c r="Y395" s="616">
        <f t="shared" si="182"/>
        <v>21</v>
      </c>
      <c r="Z395" s="1015"/>
      <c r="AA395" s="616">
        <f t="shared" ref="AA395:AB395" si="183">COUNTIF(AA296:AA378,"&gt;0")</f>
        <v>52</v>
      </c>
      <c r="AB395" s="616">
        <f t="shared" si="183"/>
        <v>52</v>
      </c>
      <c r="AC395" s="1015"/>
      <c r="AD395" s="616">
        <f t="shared" ref="AD395:AE395" si="184">COUNTIF(AD296:AD378,"&gt;0")</f>
        <v>11</v>
      </c>
      <c r="AE395" s="616">
        <f t="shared" si="184"/>
        <v>11</v>
      </c>
      <c r="AF395" s="1015"/>
      <c r="AG395" s="616">
        <f t="shared" ref="AG395:AH395" si="185">COUNTIF(AG296:AG378,"&gt;0")</f>
        <v>11</v>
      </c>
      <c r="AH395" s="616">
        <f t="shared" si="185"/>
        <v>11</v>
      </c>
      <c r="AI395" s="1015"/>
      <c r="AJ395" s="616">
        <f t="shared" ref="AJ395:AK395" si="186">COUNTIF(AJ296:AJ378,"&gt;0")</f>
        <v>11</v>
      </c>
      <c r="AK395" s="616">
        <f t="shared" si="186"/>
        <v>9</v>
      </c>
      <c r="AL395" s="1015"/>
      <c r="AM395" s="616">
        <f t="shared" ref="AM395:AN395" si="187">COUNTIF(AM296:AM378,"&gt;0")</f>
        <v>11</v>
      </c>
      <c r="AN395" s="616">
        <f t="shared" si="187"/>
        <v>9</v>
      </c>
      <c r="AO395" s="1015"/>
      <c r="AP395" s="616">
        <f t="shared" ref="AP395:AQ395" si="188">COUNTIF(AP296:AP378,"&gt;0")</f>
        <v>11</v>
      </c>
      <c r="AQ395" s="616">
        <f t="shared" si="188"/>
        <v>9</v>
      </c>
      <c r="AR395" s="1015"/>
      <c r="AS395" s="616">
        <f t="shared" ref="AS395:AT395" si="189">COUNTIF(AS296:AS378,"&gt;0")</f>
        <v>13</v>
      </c>
      <c r="AT395" s="616">
        <f t="shared" si="189"/>
        <v>11</v>
      </c>
      <c r="AU395" s="1015"/>
      <c r="AV395" s="616">
        <f t="shared" ref="AV395:AW395" si="190">COUNTIF(AV296:AV378,"&gt;0")</f>
        <v>11</v>
      </c>
      <c r="AW395" s="616">
        <f t="shared" si="190"/>
        <v>9</v>
      </c>
      <c r="AX395" s="1015"/>
      <c r="AY395" s="616">
        <f t="shared" ref="AY395:AZ395" si="191">COUNTIF(AY296:AY378,"&gt;0")</f>
        <v>11</v>
      </c>
      <c r="AZ395" s="616">
        <f t="shared" si="191"/>
        <v>9</v>
      </c>
      <c r="BE395" s="217"/>
      <c r="BG395" s="14"/>
      <c r="BH395" s="12"/>
    </row>
    <row r="396" spans="1:64" ht="15.75" customHeight="1">
      <c r="A396" s="1020" t="s">
        <v>276</v>
      </c>
      <c r="B396" s="616">
        <f t="shared" ref="B396:C396" si="192">SUM(B394:B395)</f>
        <v>270</v>
      </c>
      <c r="C396" s="616">
        <f t="shared" si="192"/>
        <v>288</v>
      </c>
      <c r="D396" s="1015"/>
      <c r="E396" s="1015"/>
      <c r="F396" s="1015"/>
      <c r="G396" s="616">
        <f t="shared" ref="G396:P396" si="193">SUM(G394:G395)</f>
        <v>288</v>
      </c>
      <c r="H396" s="616">
        <f t="shared" si="193"/>
        <v>24</v>
      </c>
      <c r="I396" s="616">
        <f t="shared" si="193"/>
        <v>288</v>
      </c>
      <c r="J396" s="616">
        <f t="shared" si="193"/>
        <v>263</v>
      </c>
      <c r="K396" s="616">
        <f t="shared" si="193"/>
        <v>364</v>
      </c>
      <c r="L396" s="616">
        <f t="shared" si="193"/>
        <v>286</v>
      </c>
      <c r="M396" s="616">
        <f t="shared" si="193"/>
        <v>286</v>
      </c>
      <c r="N396" s="616">
        <f t="shared" si="193"/>
        <v>261</v>
      </c>
      <c r="O396" s="616">
        <f t="shared" si="193"/>
        <v>62</v>
      </c>
      <c r="P396" s="616">
        <f t="shared" si="193"/>
        <v>56</v>
      </c>
      <c r="Q396" s="1015"/>
      <c r="R396" s="616">
        <f t="shared" ref="R396:S396" si="194">SUM(R394:R395)</f>
        <v>11</v>
      </c>
      <c r="S396" s="616">
        <f t="shared" si="194"/>
        <v>11</v>
      </c>
      <c r="T396" s="1015"/>
      <c r="U396" s="616">
        <f t="shared" ref="U396:V396" si="195">SUM(U394:U395)</f>
        <v>11</v>
      </c>
      <c r="V396" s="616">
        <f t="shared" si="195"/>
        <v>11</v>
      </c>
      <c r="W396" s="1015"/>
      <c r="X396" s="616">
        <f t="shared" ref="X396:Y396" si="196">SUM(X394:X395)</f>
        <v>62</v>
      </c>
      <c r="Y396" s="616">
        <f t="shared" si="196"/>
        <v>56</v>
      </c>
      <c r="Z396" s="1015"/>
      <c r="AA396" s="616">
        <f t="shared" ref="AA396:AB396" si="197">SUM(AA394:AA395)</f>
        <v>283</v>
      </c>
      <c r="AB396" s="616">
        <f t="shared" si="197"/>
        <v>255</v>
      </c>
      <c r="AC396" s="1015"/>
      <c r="AD396" s="616">
        <f t="shared" ref="AD396:AE396" si="198">SUM(AD394:AD395)</f>
        <v>11</v>
      </c>
      <c r="AE396" s="616">
        <f t="shared" si="198"/>
        <v>11</v>
      </c>
      <c r="AF396" s="1015"/>
      <c r="AG396" s="616">
        <f t="shared" ref="AG396:AH396" si="199">SUM(AG394:AG395)</f>
        <v>51</v>
      </c>
      <c r="AH396" s="616">
        <f t="shared" si="199"/>
        <v>49</v>
      </c>
      <c r="AI396" s="1015"/>
      <c r="AJ396" s="616">
        <f t="shared" ref="AJ396:AK396" si="200">SUM(AJ394:AJ395)</f>
        <v>53</v>
      </c>
      <c r="AK396" s="616">
        <f t="shared" si="200"/>
        <v>47</v>
      </c>
      <c r="AL396" s="1015"/>
      <c r="AM396" s="616">
        <f t="shared" ref="AM396:AN396" si="201">SUM(AM394:AM395)</f>
        <v>51</v>
      </c>
      <c r="AN396" s="616">
        <f t="shared" si="201"/>
        <v>45</v>
      </c>
      <c r="AO396" s="1015"/>
      <c r="AP396" s="616">
        <f t="shared" ref="AP396:AQ396" si="202">SUM(AP394:AP395)</f>
        <v>51</v>
      </c>
      <c r="AQ396" s="616">
        <f t="shared" si="202"/>
        <v>45</v>
      </c>
      <c r="AR396" s="1015"/>
      <c r="AS396" s="616">
        <f t="shared" ref="AS396:AT396" si="203">SUM(AS394:AS395)</f>
        <v>58</v>
      </c>
      <c r="AT396" s="616">
        <f t="shared" si="203"/>
        <v>52</v>
      </c>
      <c r="AU396" s="1015"/>
      <c r="AV396" s="616">
        <f t="shared" ref="AV396:AW396" si="204">SUM(AV394:AV395)</f>
        <v>51</v>
      </c>
      <c r="AW396" s="616">
        <f t="shared" si="204"/>
        <v>45</v>
      </c>
      <c r="AX396" s="1015"/>
      <c r="AY396" s="616">
        <f t="shared" ref="AY396:AZ396" si="205">SUM(AY394:AY395)</f>
        <v>51</v>
      </c>
      <c r="AZ396" s="616">
        <f t="shared" si="205"/>
        <v>45</v>
      </c>
      <c r="BE396" s="217"/>
      <c r="BG396" s="14"/>
      <c r="BH396" s="12"/>
    </row>
    <row r="397" spans="1:64" ht="15.75" customHeight="1">
      <c r="A397" s="1021" t="s">
        <v>277</v>
      </c>
      <c r="B397" s="616">
        <f t="shared" ref="B397:C397" si="206">COUNTIF(B14:B295,"&gt;="&amp;B18)</f>
        <v>186</v>
      </c>
      <c r="C397" s="616">
        <f t="shared" si="206"/>
        <v>73</v>
      </c>
      <c r="D397" s="1015"/>
      <c r="E397" s="1015"/>
      <c r="F397" s="1015"/>
      <c r="G397" s="616">
        <f>COUNTIF(G14:G295,"&gt;="&amp;G18)</f>
        <v>37</v>
      </c>
      <c r="H397" s="1015"/>
      <c r="I397" s="616">
        <f>COUNTIF(I14:I295,"&gt;="&amp;I18)</f>
        <v>61</v>
      </c>
      <c r="J397" s="1015"/>
      <c r="K397" s="1015"/>
      <c r="L397" s="1015"/>
      <c r="M397" s="616">
        <f>COUNTIF(M14:M295,"&gt;="&amp;M18)</f>
        <v>21</v>
      </c>
      <c r="N397" s="1015"/>
      <c r="O397" s="1015"/>
      <c r="P397" s="1015"/>
      <c r="Q397" s="1015"/>
      <c r="R397" s="1015"/>
      <c r="S397" s="1015"/>
      <c r="T397" s="1015"/>
      <c r="U397" s="1015"/>
      <c r="V397" s="1015"/>
      <c r="W397" s="1015"/>
      <c r="X397" s="616">
        <f>COUNTIF(X14:X295,"&gt;="&amp;W18)</f>
        <v>0</v>
      </c>
      <c r="Y397" s="1015"/>
      <c r="Z397" s="1015"/>
      <c r="AA397" s="616">
        <f>COUNTIF(AA14:AA295,"&gt;="&amp;Z18)</f>
        <v>0</v>
      </c>
      <c r="AB397" s="1015"/>
      <c r="AC397" s="1015"/>
      <c r="AD397" s="616">
        <f>COUNTIF(AD14:AD295,"&gt;="&amp;AC18)</f>
        <v>0</v>
      </c>
      <c r="AE397" s="1015"/>
      <c r="AF397" s="1015"/>
      <c r="AG397" s="616">
        <f>COUNTIF(AG14:AG295,"&gt;="&amp;AF18)</f>
        <v>0</v>
      </c>
      <c r="AH397" s="1015"/>
      <c r="AI397" s="1015"/>
      <c r="AJ397" s="616">
        <f>COUNTIF(AJ14:AJ295,"&gt;="&amp;AI18)</f>
        <v>0</v>
      </c>
      <c r="AK397" s="1015"/>
      <c r="AL397" s="1015"/>
      <c r="AM397" s="616">
        <f>COUNTIF(AM14:AM295,"&gt;="&amp;AL18)</f>
        <v>0</v>
      </c>
      <c r="AN397" s="1015"/>
      <c r="AO397" s="1015"/>
      <c r="AP397" s="616">
        <f>COUNTIF(AP14:AP295,"&gt;="&amp;AO18)</f>
        <v>0</v>
      </c>
      <c r="AQ397" s="1015"/>
      <c r="AR397" s="1015"/>
      <c r="AS397" s="616">
        <f>COUNTIF(AS14:AS295,"&gt;="&amp;AR18)</f>
        <v>0</v>
      </c>
      <c r="AT397" s="1015"/>
      <c r="AU397" s="1015"/>
      <c r="AV397" s="616">
        <f>COUNTIF(AV14:AV295,"&gt;="&amp;AU18)</f>
        <v>0</v>
      </c>
      <c r="AW397" s="1015"/>
      <c r="AX397" s="1015"/>
      <c r="AY397" s="616">
        <f>COUNTIF(AY14:AY295,"&gt;="&amp;AX18)</f>
        <v>0</v>
      </c>
      <c r="AZ397" s="1015"/>
      <c r="BE397" s="217"/>
      <c r="BG397" s="14"/>
      <c r="BH397" s="12"/>
    </row>
    <row r="398" spans="1:64" ht="15.75" customHeight="1">
      <c r="A398" s="1021" t="s">
        <v>278</v>
      </c>
      <c r="B398" s="616">
        <f t="shared" ref="B398:C398" si="207">COUNTIF(B296:B378,"&gt;="&amp;B18)</f>
        <v>40</v>
      </c>
      <c r="C398" s="616">
        <f t="shared" si="207"/>
        <v>31</v>
      </c>
      <c r="D398" s="1015"/>
      <c r="E398" s="1015"/>
      <c r="F398" s="1015"/>
      <c r="G398" s="616">
        <f>COUNTIF(G296:G378,"&gt;="&amp;G18)</f>
        <v>9</v>
      </c>
      <c r="H398" s="1015"/>
      <c r="I398" s="616">
        <f>COUNTIF(I296:I378,"&gt;="&amp;I18)</f>
        <v>5</v>
      </c>
      <c r="J398" s="1015"/>
      <c r="K398" s="1015"/>
      <c r="L398" s="1015"/>
      <c r="M398" s="616">
        <f>COUNTIF(M296:M378,"&gt;="&amp;M18)</f>
        <v>7</v>
      </c>
      <c r="N398" s="1015"/>
      <c r="O398" s="1015"/>
      <c r="P398" s="1015"/>
      <c r="Q398" s="1015"/>
      <c r="R398" s="1015"/>
      <c r="S398" s="1015"/>
      <c r="T398" s="1015"/>
      <c r="U398" s="1015"/>
      <c r="V398" s="1015"/>
      <c r="W398" s="1015"/>
      <c r="X398" s="616">
        <f>COUNTIF(X296:X378,"&gt;="&amp;W18)</f>
        <v>0</v>
      </c>
      <c r="Y398" s="1015"/>
      <c r="Z398" s="1015"/>
      <c r="AA398" s="616">
        <f>COUNTIF(AA296:AA378,"&gt;="&amp;Z18)</f>
        <v>0</v>
      </c>
      <c r="AB398" s="1015"/>
      <c r="AC398" s="1015"/>
      <c r="AD398" s="616">
        <f>COUNTIF(AD296:AD378,"&gt;="&amp;AC18)</f>
        <v>0</v>
      </c>
      <c r="AE398" s="1015"/>
      <c r="AF398" s="1015"/>
      <c r="AG398" s="616">
        <f>COUNTIF(AG296:AG378,"&gt;="&amp;AF18)</f>
        <v>0</v>
      </c>
      <c r="AH398" s="1015"/>
      <c r="AI398" s="1015"/>
      <c r="AJ398" s="616">
        <f>COUNTIF(AJ296:AJ378,"&gt;="&amp;AI18)</f>
        <v>0</v>
      </c>
      <c r="AK398" s="1015"/>
      <c r="AL398" s="1015"/>
      <c r="AM398" s="616">
        <f>COUNTIF(AM296:AM378,"&gt;="&amp;AL18)</f>
        <v>0</v>
      </c>
      <c r="AN398" s="1015"/>
      <c r="AO398" s="1015"/>
      <c r="AP398" s="616">
        <f>COUNTIF(AP296:AP378,"&gt;="&amp;AO18)</f>
        <v>0</v>
      </c>
      <c r="AQ398" s="1015"/>
      <c r="AR398" s="1015"/>
      <c r="AS398" s="616">
        <f>COUNTIF(AS296:AS378,"&gt;="&amp;AR18)</f>
        <v>0</v>
      </c>
      <c r="AT398" s="1015"/>
      <c r="AU398" s="1015"/>
      <c r="AV398" s="616">
        <f>COUNTIF(AV296:AV378,"&gt;="&amp;AU18)</f>
        <v>0</v>
      </c>
      <c r="AW398" s="1015"/>
      <c r="AX398" s="1015"/>
      <c r="AY398" s="616">
        <f>COUNTIF(AY296:AY378,"&gt;="&amp;AX18)</f>
        <v>0</v>
      </c>
      <c r="AZ398" s="1015"/>
      <c r="BE398" s="217"/>
      <c r="BG398" s="14"/>
      <c r="BH398" s="12"/>
    </row>
    <row r="399" spans="1:64" ht="15.75" customHeight="1">
      <c r="A399" s="1021" t="s">
        <v>279</v>
      </c>
      <c r="B399" s="616">
        <f t="shared" ref="B399:C399" si="208">SUM(B397:B398)</f>
        <v>226</v>
      </c>
      <c r="C399" s="616">
        <f t="shared" si="208"/>
        <v>104</v>
      </c>
      <c r="D399" s="1015"/>
      <c r="E399" s="1015"/>
      <c r="F399" s="1015"/>
      <c r="G399" s="616">
        <f>SUM(G397:G398)</f>
        <v>46</v>
      </c>
      <c r="H399" s="1015"/>
      <c r="I399" s="616">
        <f>SUM(I397:I398)</f>
        <v>66</v>
      </c>
      <c r="J399" s="1015"/>
      <c r="K399" s="1015"/>
      <c r="L399" s="1015"/>
      <c r="M399" s="616">
        <f>SUM(M397:M398)</f>
        <v>28</v>
      </c>
      <c r="N399" s="1015"/>
      <c r="O399" s="1015"/>
      <c r="P399" s="1015"/>
      <c r="Q399" s="1015"/>
      <c r="R399" s="1015"/>
      <c r="S399" s="1015"/>
      <c r="T399" s="1015"/>
      <c r="U399" s="1015"/>
      <c r="V399" s="1015"/>
      <c r="W399" s="1015"/>
      <c r="X399" s="616">
        <f>SUM(X397:X398)</f>
        <v>0</v>
      </c>
      <c r="Y399" s="1015"/>
      <c r="Z399" s="1015"/>
      <c r="AA399" s="616">
        <f>SUM(AA397:AA398)</f>
        <v>0</v>
      </c>
      <c r="AB399" s="1015"/>
      <c r="AC399" s="1015"/>
      <c r="AD399" s="616">
        <f>SUM(AD397:AD398)</f>
        <v>0</v>
      </c>
      <c r="AE399" s="1015"/>
      <c r="AF399" s="1015"/>
      <c r="AG399" s="616">
        <f>SUM(AG397:AG398)</f>
        <v>0</v>
      </c>
      <c r="AH399" s="1015"/>
      <c r="AI399" s="1015"/>
      <c r="AJ399" s="616">
        <f>SUM(AJ397:AJ398)</f>
        <v>0</v>
      </c>
      <c r="AK399" s="1015"/>
      <c r="AL399" s="1015"/>
      <c r="AM399" s="616">
        <f>SUM(AL397:AM398)</f>
        <v>0</v>
      </c>
      <c r="AN399" s="1015"/>
      <c r="AO399" s="1015"/>
      <c r="AP399" s="616">
        <f>SUM(AP397:AP398)</f>
        <v>0</v>
      </c>
      <c r="AQ399" s="1015"/>
      <c r="AR399" s="1015"/>
      <c r="AS399" s="616">
        <f>SUM(AS397:AS398)</f>
        <v>0</v>
      </c>
      <c r="AT399" s="1015"/>
      <c r="AU399" s="1015"/>
      <c r="AV399" s="616">
        <f>SUM(AV397:AV398)</f>
        <v>0</v>
      </c>
      <c r="AW399" s="1015"/>
      <c r="AX399" s="1015"/>
      <c r="AY399" s="616">
        <f>SUM(AY397:AY398)</f>
        <v>0</v>
      </c>
      <c r="AZ399" s="1015"/>
      <c r="BE399" s="217"/>
      <c r="BG399" s="14"/>
      <c r="BH399" s="12"/>
    </row>
    <row r="400" spans="1:64" ht="15.75" customHeight="1">
      <c r="A400" s="1021" t="s">
        <v>213</v>
      </c>
      <c r="B400" s="616">
        <f t="shared" ref="B400:C400" si="209">COUNTIF(B14:B378,"&gt;="&amp;B9)</f>
        <v>1</v>
      </c>
      <c r="C400" s="616">
        <f t="shared" si="209"/>
        <v>0</v>
      </c>
      <c r="D400" s="1015"/>
      <c r="E400" s="1015"/>
      <c r="F400" s="1015"/>
      <c r="G400" s="616">
        <f>COUNTIF(G14:G378,"&gt;="&amp;G9)</f>
        <v>9</v>
      </c>
      <c r="H400" s="1015"/>
      <c r="I400" s="616">
        <f>COUNTIF(I14:I378,"&gt;="&amp;I9)</f>
        <v>9</v>
      </c>
      <c r="J400" s="1015"/>
      <c r="K400" s="1015"/>
      <c r="L400" s="1015"/>
      <c r="M400" s="616">
        <f>COUNTIF(M14:M378,"&gt;="&amp;M9)</f>
        <v>1</v>
      </c>
      <c r="N400" s="1015"/>
      <c r="O400" s="1015"/>
      <c r="P400" s="1015"/>
      <c r="Q400" s="1015"/>
      <c r="R400" s="1015"/>
      <c r="S400" s="1015"/>
      <c r="T400" s="1015"/>
      <c r="U400" s="1015"/>
      <c r="V400" s="1015"/>
      <c r="W400" s="1015"/>
      <c r="X400" s="616">
        <f>COUNTIF(X14:X378,"&gt;="&amp;W9)</f>
        <v>1</v>
      </c>
      <c r="Y400" s="1015"/>
      <c r="Z400" s="1015"/>
      <c r="AA400" s="616">
        <f>COUNTIF(AA14:AA378,"&gt;="&amp;Z9)</f>
        <v>0</v>
      </c>
      <c r="AB400" s="1015"/>
      <c r="AC400" s="1015"/>
      <c r="AD400" s="616">
        <f>COUNTIF(AD14:AD378,"&gt;="&amp;AC9)</f>
        <v>0</v>
      </c>
      <c r="AE400" s="1015"/>
      <c r="AF400" s="1015"/>
      <c r="AG400" s="616">
        <f>COUNTIF(AG14:AG378,"&gt;="&amp;AF9)</f>
        <v>0</v>
      </c>
      <c r="AH400" s="1015"/>
      <c r="AI400" s="1015"/>
      <c r="AJ400" s="616">
        <f>COUNTIF(AJ14:AJ378,"&gt;="&amp;AI9)</f>
        <v>1</v>
      </c>
      <c r="AK400" s="1015"/>
      <c r="AL400" s="1015"/>
      <c r="AM400" s="616">
        <f>COUNTIF(AM14:AM378,"&gt;="&amp;AL9)</f>
        <v>0</v>
      </c>
      <c r="AN400" s="1015"/>
      <c r="AO400" s="1015"/>
      <c r="AP400" s="616">
        <f>COUNTIF(AP14:AP378,"&gt;="&amp;AO9)</f>
        <v>0</v>
      </c>
      <c r="AQ400" s="1015"/>
      <c r="AR400" s="1015"/>
      <c r="AS400" s="616">
        <f>COUNTIF(AS14:AS378,"&gt;="&amp;AR9)</f>
        <v>7</v>
      </c>
      <c r="AT400" s="1015"/>
      <c r="AU400" s="1015"/>
      <c r="AV400" s="616">
        <f>COUNTIF(AV14:AV378,"&gt;="&amp;AU9)</f>
        <v>1</v>
      </c>
      <c r="AW400" s="1015"/>
      <c r="AX400" s="1015"/>
      <c r="AY400" s="616">
        <f>COUNTIF(AY14:AY378,"&gt;="&amp;AX9)</f>
        <v>0</v>
      </c>
      <c r="AZ400" s="1015"/>
      <c r="BE400" s="217"/>
      <c r="BG400" s="14"/>
      <c r="BH400" s="12"/>
    </row>
    <row r="401" spans="1:60" ht="15.75" customHeight="1">
      <c r="A401" s="1022" t="s">
        <v>280</v>
      </c>
      <c r="B401" s="1023">
        <f t="shared" ref="B401:C401" si="210">B397/B394</f>
        <v>0.87323943661971826</v>
      </c>
      <c r="C401" s="1023">
        <f t="shared" si="210"/>
        <v>0.31063829787234043</v>
      </c>
      <c r="D401" s="1024"/>
      <c r="E401" s="1024"/>
      <c r="F401" s="1024"/>
      <c r="G401" s="1023">
        <f t="shared" ref="G401:M401" si="211">G397/G394</f>
        <v>0.1574468085106383</v>
      </c>
      <c r="H401" s="1023">
        <f t="shared" si="211"/>
        <v>0</v>
      </c>
      <c r="I401" s="1023">
        <f t="shared" si="211"/>
        <v>0.25957446808510637</v>
      </c>
      <c r="J401" s="1023">
        <f t="shared" si="211"/>
        <v>0</v>
      </c>
      <c r="K401" s="1023">
        <f t="shared" si="211"/>
        <v>0</v>
      </c>
      <c r="L401" s="1023">
        <f t="shared" si="211"/>
        <v>0</v>
      </c>
      <c r="M401" s="1023">
        <f t="shared" si="211"/>
        <v>9.012875536480687E-2</v>
      </c>
      <c r="N401" s="1024"/>
      <c r="O401" s="1024"/>
      <c r="P401" s="1024"/>
      <c r="Q401" s="1024"/>
      <c r="R401" s="1024"/>
      <c r="S401" s="1024"/>
      <c r="T401" s="1024"/>
      <c r="U401" s="1024"/>
      <c r="V401" s="1024"/>
      <c r="W401" s="1024"/>
      <c r="X401" s="1023">
        <f>X397/X394</f>
        <v>0</v>
      </c>
      <c r="Y401" s="1015"/>
      <c r="Z401" s="1024"/>
      <c r="AA401" s="1023">
        <f>AA397/AA394</f>
        <v>0</v>
      </c>
      <c r="AB401" s="1024"/>
      <c r="AC401" s="1024"/>
      <c r="AD401" s="1023" t="e">
        <f>AD397/AD394</f>
        <v>#DIV/0!</v>
      </c>
      <c r="AE401" s="1024"/>
      <c r="AF401" s="1024"/>
      <c r="AG401" s="1023">
        <f>AG397/AG394</f>
        <v>0</v>
      </c>
      <c r="AH401" s="1024"/>
      <c r="AI401" s="1024"/>
      <c r="AJ401" s="1023">
        <f>AJ397/AJ394</f>
        <v>0</v>
      </c>
      <c r="AK401" s="1024"/>
      <c r="AL401" s="1024"/>
      <c r="AM401" s="1023">
        <f>AM397/AM394</f>
        <v>0</v>
      </c>
      <c r="AN401" s="1024"/>
      <c r="AO401" s="1024"/>
      <c r="AP401" s="1023">
        <f>AP397/AP394</f>
        <v>0</v>
      </c>
      <c r="AQ401" s="1024"/>
      <c r="AR401" s="1024"/>
      <c r="AS401" s="1023">
        <f>AS397/AS394</f>
        <v>0</v>
      </c>
      <c r="AT401" s="1024"/>
      <c r="AU401" s="1024"/>
      <c r="AV401" s="1023">
        <f>AV397/AV394</f>
        <v>0</v>
      </c>
      <c r="AW401" s="1024"/>
      <c r="AX401" s="1024"/>
      <c r="AY401" s="1023">
        <f>AY397/AY394</f>
        <v>0</v>
      </c>
      <c r="AZ401" s="1024"/>
      <c r="BE401" s="217"/>
      <c r="BG401" s="14"/>
      <c r="BH401" s="12"/>
    </row>
    <row r="402" spans="1:60" ht="15.75" customHeight="1">
      <c r="A402" s="1022" t="s">
        <v>281</v>
      </c>
      <c r="B402" s="1023">
        <f t="shared" ref="B402:C402" si="212">IF(B398="",,B398/B395)</f>
        <v>0.70175438596491224</v>
      </c>
      <c r="C402" s="1023">
        <f t="shared" si="212"/>
        <v>0.58490566037735847</v>
      </c>
      <c r="D402" s="1024"/>
      <c r="E402" s="1024"/>
      <c r="F402" s="1024"/>
      <c r="G402" s="1023">
        <f t="shared" ref="G402:M402" si="213">IF(G398="",,G398/G395)</f>
        <v>0.16981132075471697</v>
      </c>
      <c r="H402" s="1023">
        <f t="shared" si="213"/>
        <v>0</v>
      </c>
      <c r="I402" s="1023">
        <f t="shared" si="213"/>
        <v>9.4339622641509441E-2</v>
      </c>
      <c r="J402" s="1023">
        <f t="shared" si="213"/>
        <v>0</v>
      </c>
      <c r="K402" s="1023">
        <f t="shared" si="213"/>
        <v>0</v>
      </c>
      <c r="L402" s="1023">
        <f t="shared" si="213"/>
        <v>0</v>
      </c>
      <c r="M402" s="1023">
        <f t="shared" si="213"/>
        <v>0.13207547169811321</v>
      </c>
      <c r="N402" s="1024"/>
      <c r="O402" s="1024"/>
      <c r="P402" s="1024"/>
      <c r="Q402" s="1024"/>
      <c r="R402" s="1024"/>
      <c r="S402" s="1024"/>
      <c r="T402" s="1024"/>
      <c r="U402" s="1024"/>
      <c r="V402" s="1024"/>
      <c r="W402" s="1024"/>
      <c r="X402" s="1023">
        <f>IF(X398="",,X398/X395)</f>
        <v>0</v>
      </c>
      <c r="Y402" s="1024"/>
      <c r="Z402" s="1024"/>
      <c r="AA402" s="1023">
        <f>IF(AA398="",,AA398/AA395)</f>
        <v>0</v>
      </c>
      <c r="AB402" s="1024"/>
      <c r="AC402" s="1024"/>
      <c r="AD402" s="1023">
        <f>IF(AD398="",,AD398/AD395)</f>
        <v>0</v>
      </c>
      <c r="AE402" s="1024"/>
      <c r="AF402" s="1024"/>
      <c r="AG402" s="1023">
        <f>IF(AG398="",,AG398/AG395)</f>
        <v>0</v>
      </c>
      <c r="AH402" s="1024"/>
      <c r="AI402" s="1024"/>
      <c r="AJ402" s="1023">
        <f>IF(AJ398="",,AJ398/AJ395)</f>
        <v>0</v>
      </c>
      <c r="AK402" s="1024"/>
      <c r="AL402" s="1024"/>
      <c r="AM402" s="1023">
        <f>IF(AM398="",,AM398/AM395)</f>
        <v>0</v>
      </c>
      <c r="AN402" s="1024"/>
      <c r="AO402" s="1024"/>
      <c r="AP402" s="1023">
        <f>IF(AP398="",,AP398/AP395)</f>
        <v>0</v>
      </c>
      <c r="AQ402" s="1024"/>
      <c r="AR402" s="1024"/>
      <c r="AS402" s="1023">
        <f>IF(AS398="",,AS398/AS395)</f>
        <v>0</v>
      </c>
      <c r="AT402" s="1024"/>
      <c r="AU402" s="1024"/>
      <c r="AV402" s="1023">
        <f>IF(AV398="",,AV398/AV395)</f>
        <v>0</v>
      </c>
      <c r="AW402" s="1024"/>
      <c r="AX402" s="1024"/>
      <c r="AY402" s="1023">
        <f>IF(AY398="",,AY398/AY395)</f>
        <v>0</v>
      </c>
      <c r="AZ402" s="1024"/>
      <c r="BE402" s="217"/>
      <c r="BG402" s="14"/>
      <c r="BH402" s="12"/>
    </row>
    <row r="403" spans="1:60" ht="15.75" customHeight="1">
      <c r="A403" s="539" t="s">
        <v>104</v>
      </c>
      <c r="B403" s="1025"/>
      <c r="C403" s="1025"/>
      <c r="D403" s="1025"/>
      <c r="E403" s="1025"/>
      <c r="F403" s="1025"/>
      <c r="G403" s="1025"/>
      <c r="H403" s="1025"/>
      <c r="I403" s="1025"/>
      <c r="J403" s="1025"/>
      <c r="K403" s="1025"/>
      <c r="L403" s="1025"/>
      <c r="M403" s="1025"/>
      <c r="N403" s="1025"/>
      <c r="O403" s="1025"/>
      <c r="P403" s="1025"/>
      <c r="Q403" s="1025"/>
      <c r="R403" s="1025"/>
      <c r="S403" s="1025"/>
      <c r="T403" s="1025"/>
      <c r="U403" s="1025"/>
      <c r="V403" s="1025"/>
      <c r="W403" s="1025"/>
      <c r="X403" s="1025"/>
      <c r="Y403" s="1025"/>
      <c r="Z403" s="1025"/>
      <c r="AA403" s="1025"/>
      <c r="AB403" s="1025"/>
      <c r="AC403" s="1025"/>
      <c r="AD403" s="1025"/>
      <c r="AE403" s="1025"/>
      <c r="AF403" s="1025"/>
      <c r="AG403" s="1025"/>
      <c r="AH403" s="1025"/>
      <c r="AI403" s="1025"/>
      <c r="AJ403" s="1025"/>
      <c r="AK403" s="1025"/>
      <c r="AL403" s="1025"/>
      <c r="AM403" s="1025"/>
      <c r="AN403" s="1025"/>
      <c r="AO403" s="1025"/>
      <c r="AP403" s="1025"/>
      <c r="AQ403" s="1025"/>
      <c r="AR403" s="1025"/>
      <c r="AS403" s="1025"/>
      <c r="AT403" s="1025"/>
      <c r="AU403" s="1025"/>
      <c r="AV403" s="1025"/>
      <c r="AW403" s="1025"/>
      <c r="AX403" s="1025"/>
      <c r="AY403" s="1025"/>
      <c r="AZ403" s="1025"/>
      <c r="BE403" s="217"/>
      <c r="BG403" s="14"/>
      <c r="BH403" s="12"/>
    </row>
    <row r="404" spans="1:60" ht="15.75" customHeight="1">
      <c r="A404" s="539" t="s">
        <v>106</v>
      </c>
      <c r="B404" s="1026"/>
      <c r="C404" s="1026"/>
      <c r="D404" s="1026"/>
      <c r="E404" s="1026"/>
      <c r="F404" s="1026"/>
      <c r="G404" s="1026"/>
      <c r="H404" s="1026"/>
      <c r="I404" s="1026"/>
      <c r="J404" s="1026"/>
      <c r="K404" s="1026"/>
      <c r="L404" s="1026"/>
      <c r="M404" s="1026"/>
      <c r="N404" s="1026"/>
      <c r="O404" s="1026"/>
      <c r="P404" s="1026"/>
      <c r="Q404" s="1026"/>
      <c r="R404" s="1026"/>
      <c r="S404" s="1026"/>
      <c r="T404" s="1026"/>
      <c r="U404" s="1026"/>
      <c r="V404" s="1026"/>
      <c r="W404" s="1026"/>
      <c r="X404" s="1026"/>
      <c r="Y404" s="1026"/>
      <c r="Z404" s="1026"/>
      <c r="AA404" s="1026"/>
      <c r="AB404" s="1026"/>
      <c r="AC404" s="1026"/>
      <c r="AD404" s="1026"/>
      <c r="AE404" s="1026"/>
      <c r="AF404" s="1026"/>
      <c r="AG404" s="1026"/>
      <c r="AH404" s="1026"/>
      <c r="AI404" s="1026"/>
      <c r="AJ404" s="1026"/>
      <c r="AK404" s="1026"/>
      <c r="AL404" s="1026"/>
      <c r="AM404" s="1026"/>
      <c r="AN404" s="1026"/>
      <c r="AO404" s="1026"/>
      <c r="AP404" s="1026"/>
      <c r="AQ404" s="1026"/>
      <c r="AR404" s="1026"/>
      <c r="AS404" s="1026"/>
      <c r="AT404" s="1026"/>
      <c r="AU404" s="1026"/>
      <c r="AV404" s="1026"/>
      <c r="AW404" s="1026"/>
      <c r="AX404" s="1026"/>
      <c r="AY404" s="1026"/>
      <c r="AZ404" s="1026"/>
      <c r="BE404" s="217"/>
      <c r="BG404" s="14"/>
      <c r="BH404" s="12"/>
    </row>
  </sheetData>
  <mergeCells count="115">
    <mergeCell ref="AC12:AE12"/>
    <mergeCell ref="AI12:AK12"/>
    <mergeCell ref="AL12:AN12"/>
    <mergeCell ref="AO12:AQ12"/>
    <mergeCell ref="AL5:AN5"/>
    <mergeCell ref="AO5:AQ5"/>
    <mergeCell ref="AR5:AT5"/>
    <mergeCell ref="AU5:AW5"/>
    <mergeCell ref="AF7:AG7"/>
    <mergeCell ref="AI7:AJ7"/>
    <mergeCell ref="AL7:AM7"/>
    <mergeCell ref="AO7:AP7"/>
    <mergeCell ref="AR7:AS7"/>
    <mergeCell ref="AU7:AV7"/>
    <mergeCell ref="AR12:AT12"/>
    <mergeCell ref="AU12:AW12"/>
    <mergeCell ref="BE11:BH11"/>
    <mergeCell ref="BE12:BH12"/>
    <mergeCell ref="AX5:AZ5"/>
    <mergeCell ref="BA5:BC5"/>
    <mergeCell ref="BI7:BI12"/>
    <mergeCell ref="BJ7:BJ12"/>
    <mergeCell ref="BK7:BK12"/>
    <mergeCell ref="BL7:BL12"/>
    <mergeCell ref="AX8:AY8"/>
    <mergeCell ref="AX7:AY7"/>
    <mergeCell ref="BE7:BH7"/>
    <mergeCell ref="AX9:AY9"/>
    <mergeCell ref="AX10:AZ10"/>
    <mergeCell ref="BA10:BC10"/>
    <mergeCell ref="AX11:AZ11"/>
    <mergeCell ref="BA11:BC11"/>
    <mergeCell ref="AX12:AZ12"/>
    <mergeCell ref="AC11:AE11"/>
    <mergeCell ref="AF11:AH11"/>
    <mergeCell ref="AI11:AK11"/>
    <mergeCell ref="AL11:AN11"/>
    <mergeCell ref="AO11:AQ11"/>
    <mergeCell ref="AR11:AT11"/>
    <mergeCell ref="AU11:AW11"/>
    <mergeCell ref="AC10:AE10"/>
    <mergeCell ref="AF10:AH10"/>
    <mergeCell ref="AI10:AK10"/>
    <mergeCell ref="AL10:AN10"/>
    <mergeCell ref="AO10:AQ10"/>
    <mergeCell ref="AR10:AT10"/>
    <mergeCell ref="AU10:AW10"/>
    <mergeCell ref="AI8:AJ8"/>
    <mergeCell ref="AL8:AM8"/>
    <mergeCell ref="AO8:AP8"/>
    <mergeCell ref="AR8:AS8"/>
    <mergeCell ref="AU8:AV8"/>
    <mergeCell ref="AF8:AG8"/>
    <mergeCell ref="AF9:AG9"/>
    <mergeCell ref="AI9:AJ9"/>
    <mergeCell ref="AL9:AM9"/>
    <mergeCell ref="AO9:AP9"/>
    <mergeCell ref="AR9:AS9"/>
    <mergeCell ref="AU9:AV9"/>
    <mergeCell ref="T12:V12"/>
    <mergeCell ref="W12:Y12"/>
    <mergeCell ref="I11:J11"/>
    <mergeCell ref="K11:N11"/>
    <mergeCell ref="O11:P11"/>
    <mergeCell ref="Q11:S11"/>
    <mergeCell ref="T11:V11"/>
    <mergeCell ref="W11:Y11"/>
    <mergeCell ref="Z11:AB11"/>
    <mergeCell ref="D10:H10"/>
    <mergeCell ref="I10:J10"/>
    <mergeCell ref="K10:N10"/>
    <mergeCell ref="D11:H11"/>
    <mergeCell ref="D12:H12"/>
    <mergeCell ref="I12:J12"/>
    <mergeCell ref="K12:N12"/>
    <mergeCell ref="O12:P12"/>
    <mergeCell ref="Q12:S12"/>
    <mergeCell ref="O10:P10"/>
    <mergeCell ref="Q10:S10"/>
    <mergeCell ref="T10:V10"/>
    <mergeCell ref="W10:Y10"/>
    <mergeCell ref="Z10:AB10"/>
    <mergeCell ref="Q8:R8"/>
    <mergeCell ref="Q9:R9"/>
    <mergeCell ref="T9:U9"/>
    <mergeCell ref="W9:X9"/>
    <mergeCell ref="T8:U8"/>
    <mergeCell ref="Z7:AA7"/>
    <mergeCell ref="Z8:AA8"/>
    <mergeCell ref="Z9:AA9"/>
    <mergeCell ref="AC9:AD9"/>
    <mergeCell ref="O5:P5"/>
    <mergeCell ref="Q5:S5"/>
    <mergeCell ref="Q7:R7"/>
    <mergeCell ref="W7:X7"/>
    <mergeCell ref="AC7:AD7"/>
    <mergeCell ref="W8:X8"/>
    <mergeCell ref="AC8:AD8"/>
    <mergeCell ref="Z5:AB5"/>
    <mergeCell ref="AC5:AE5"/>
    <mergeCell ref="T7:U7"/>
    <mergeCell ref="BE5:BH5"/>
    <mergeCell ref="BI5:BJ5"/>
    <mergeCell ref="B1:H1"/>
    <mergeCell ref="V2:AD2"/>
    <mergeCell ref="BI4:BJ4"/>
    <mergeCell ref="BK4:BL4"/>
    <mergeCell ref="D5:H5"/>
    <mergeCell ref="I5:J5"/>
    <mergeCell ref="K5:N5"/>
    <mergeCell ref="BK5:BL5"/>
    <mergeCell ref="T5:V5"/>
    <mergeCell ref="W5:Y5"/>
    <mergeCell ref="AF5:AH5"/>
    <mergeCell ref="AI5:AK5"/>
  </mergeCells>
  <conditionalFormatting sqref="BJ1:BJ3 BJ14:BJ386 BJ388:BJ404">
    <cfRule type="cellIs" dxfId="38" priority="1" operator="greaterThanOrEqual">
      <formula>30</formula>
    </cfRule>
  </conditionalFormatting>
  <conditionalFormatting sqref="G14:G379">
    <cfRule type="cellIs" dxfId="37" priority="2" operator="greaterThanOrEqual">
      <formula>$G$9</formula>
    </cfRule>
  </conditionalFormatting>
  <conditionalFormatting sqref="I14:I379">
    <cfRule type="cellIs" dxfId="36" priority="3" operator="greaterThanOrEqual">
      <formula>$I$9</formula>
    </cfRule>
  </conditionalFormatting>
  <conditionalFormatting sqref="M14:M378">
    <cfRule type="cellIs" dxfId="35" priority="4" operator="greaterThanOrEqual">
      <formula>$M$9</formula>
    </cfRule>
  </conditionalFormatting>
  <conditionalFormatting sqref="AA14:AA378">
    <cfRule type="cellIs" dxfId="34" priority="5" operator="greaterThanOrEqual">
      <formula>$Z$9</formula>
    </cfRule>
  </conditionalFormatting>
  <conditionalFormatting sqref="AF14:AG378">
    <cfRule type="cellIs" dxfId="33" priority="6" operator="greaterThanOrEqual">
      <formula>$AF$9</formula>
    </cfRule>
  </conditionalFormatting>
  <conditionalFormatting sqref="AJ14:AJ378">
    <cfRule type="cellIs" dxfId="32" priority="7" operator="greaterThanOrEqual">
      <formula>$AI$9</formula>
    </cfRule>
  </conditionalFormatting>
  <conditionalFormatting sqref="AL14:AM378">
    <cfRule type="cellIs" dxfId="31" priority="8" operator="greaterThanOrEqual">
      <formula>$AL$9</formula>
    </cfRule>
  </conditionalFormatting>
  <conditionalFormatting sqref="AO14:AP378">
    <cfRule type="cellIs" dxfId="30" priority="9" operator="greaterThanOrEqual">
      <formula>$AO$9</formula>
    </cfRule>
  </conditionalFormatting>
  <conditionalFormatting sqref="AU14:AV378">
    <cfRule type="cellIs" dxfId="29" priority="10" operator="greaterThanOrEqual">
      <formula>$AU$9</formula>
    </cfRule>
  </conditionalFormatting>
  <conditionalFormatting sqref="AX14:AY378">
    <cfRule type="cellIs" dxfId="28" priority="11" operator="greaterThanOrEqual">
      <formula>$AX$9</formula>
    </cfRule>
  </conditionalFormatting>
  <conditionalFormatting sqref="AD14:AD378">
    <cfRule type="cellIs" dxfId="27" priority="12" operator="greaterThanOrEqual">
      <formula>$AC$9</formula>
    </cfRule>
  </conditionalFormatting>
  <conditionalFormatting sqref="X14:X379">
    <cfRule type="cellIs" dxfId="26" priority="13" operator="greaterThanOrEqual">
      <formula>$W$9</formula>
    </cfRule>
  </conditionalFormatting>
  <conditionalFormatting sqref="H14:H379">
    <cfRule type="cellIs" dxfId="25" priority="14" operator="equal">
      <formula>0</formula>
    </cfRule>
  </conditionalFormatting>
  <conditionalFormatting sqref="J14:J379">
    <cfRule type="cellIs" dxfId="24" priority="15" operator="equal">
      <formula>0</formula>
    </cfRule>
  </conditionalFormatting>
  <conditionalFormatting sqref="N14:N379">
    <cfRule type="cellIs" dxfId="23" priority="16" operator="equal">
      <formula>0</formula>
    </cfRule>
  </conditionalFormatting>
  <conditionalFormatting sqref="AB14:AB379">
    <cfRule type="cellIs" dxfId="22" priority="17" operator="equal">
      <formula>0</formula>
    </cfRule>
  </conditionalFormatting>
  <conditionalFormatting sqref="AR14:AS378">
    <cfRule type="cellIs" dxfId="21" priority="18" operator="greaterThanOrEqual">
      <formula>$AR$9</formula>
    </cfRule>
  </conditionalFormatting>
  <conditionalFormatting sqref="G14:G379">
    <cfRule type="cellIs" dxfId="20" priority="19" operator="between">
      <formula>$G$8</formula>
      <formula>$G$9</formula>
    </cfRule>
  </conditionalFormatting>
  <conditionalFormatting sqref="I14:I379">
    <cfRule type="cellIs" dxfId="19" priority="20" operator="between">
      <formula>$I$8</formula>
      <formula>$I$9</formula>
    </cfRule>
  </conditionalFormatting>
  <conditionalFormatting sqref="M14:M378">
    <cfRule type="cellIs" dxfId="18" priority="21" operator="between">
      <formula>$M$8</formula>
      <formula>$M$9</formula>
    </cfRule>
  </conditionalFormatting>
  <conditionalFormatting sqref="O14:O363 O365:O379">
    <cfRule type="cellIs" dxfId="17" priority="22" operator="between">
      <formula>$O$8</formula>
      <formula>$O$9</formula>
    </cfRule>
  </conditionalFormatting>
  <conditionalFormatting sqref="O14:O363 O365:O379">
    <cfRule type="cellIs" dxfId="16" priority="23" operator="greaterThanOrEqual">
      <formula>$O$9</formula>
    </cfRule>
  </conditionalFormatting>
  <conditionalFormatting sqref="R14:R379">
    <cfRule type="cellIs" dxfId="15" priority="24" operator="greaterThanOrEqual">
      <formula>$Q$9</formula>
    </cfRule>
  </conditionalFormatting>
  <conditionalFormatting sqref="R14:R379">
    <cfRule type="cellIs" dxfId="14" priority="25" operator="between">
      <formula>$Q$8</formula>
      <formula>$Q$9</formula>
    </cfRule>
  </conditionalFormatting>
  <conditionalFormatting sqref="U14:U379">
    <cfRule type="cellIs" dxfId="13" priority="26" operator="greaterThanOrEqual">
      <formula>$T$9</formula>
    </cfRule>
  </conditionalFormatting>
  <conditionalFormatting sqref="U14:U379">
    <cfRule type="cellIs" dxfId="12" priority="27" operator="between">
      <formula>$T$8</formula>
      <formula>$T$9</formula>
    </cfRule>
  </conditionalFormatting>
  <conditionalFormatting sqref="X14:X379">
    <cfRule type="cellIs" dxfId="11" priority="28" operator="between">
      <formula>$W$8</formula>
      <formula>$W$9</formula>
    </cfRule>
  </conditionalFormatting>
  <conditionalFormatting sqref="AA14:AA378">
    <cfRule type="cellIs" dxfId="10" priority="29" operator="between">
      <formula>$Z$8</formula>
      <formula>$Z$9</formula>
    </cfRule>
  </conditionalFormatting>
  <conditionalFormatting sqref="AD14:AD378">
    <cfRule type="cellIs" dxfId="9" priority="30" operator="between">
      <formula>$AC$8</formula>
      <formula>$AC$9</formula>
    </cfRule>
  </conditionalFormatting>
  <conditionalFormatting sqref="AG14:AG378">
    <cfRule type="cellIs" dxfId="8" priority="31" operator="between">
      <formula>$AF$8</formula>
      <formula>$AF$8</formula>
    </cfRule>
  </conditionalFormatting>
  <conditionalFormatting sqref="AJ14:AJ378">
    <cfRule type="cellIs" dxfId="7" priority="32" operator="between">
      <formula>$AI$8</formula>
      <formula>$AI$9</formula>
    </cfRule>
  </conditionalFormatting>
  <conditionalFormatting sqref="AM14:AM378">
    <cfRule type="cellIs" dxfId="6" priority="33" operator="between">
      <formula>$AL$8</formula>
      <formula>$AL$9</formula>
    </cfRule>
  </conditionalFormatting>
  <conditionalFormatting sqref="AP14:AP378">
    <cfRule type="cellIs" dxfId="5" priority="34" operator="between">
      <formula>$AO$8</formula>
      <formula>$AO$9</formula>
    </cfRule>
  </conditionalFormatting>
  <conditionalFormatting sqref="AS14:AS378">
    <cfRule type="cellIs" dxfId="4" priority="35" operator="between">
      <formula>$AR$8</formula>
      <formula>$AR$9</formula>
    </cfRule>
  </conditionalFormatting>
  <conditionalFormatting sqref="AV14:AV378">
    <cfRule type="cellIs" dxfId="3" priority="36" operator="between">
      <formula>$AU$8</formula>
      <formula>$AU$9</formula>
    </cfRule>
  </conditionalFormatting>
  <conditionalFormatting sqref="AY14:AY378">
    <cfRule type="cellIs" dxfId="2" priority="37" operator="between">
      <formula>$AX$8</formula>
      <formula>$AX$9</formula>
    </cfRule>
  </conditionalFormatting>
  <conditionalFormatting sqref="B14:B378">
    <cfRule type="cellIs" dxfId="1" priority="38" operator="greaterThan">
      <formula>1000</formula>
    </cfRule>
  </conditionalFormatting>
  <pageMargins left="0.7" right="0.7" top="0.75" bottom="0.75" header="0" footer="0"/>
  <pageSetup paperSize="9" orientation="portrait"/>
  <legacy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5F497A"/>
  </sheetPr>
  <dimension ref="A1:Z1000"/>
  <sheetViews>
    <sheetView workbookViewId="0">
      <selection sqref="A1:B2"/>
    </sheetView>
  </sheetViews>
  <sheetFormatPr baseColWidth="10" defaultColWidth="12.625" defaultRowHeight="15" customHeight="1"/>
  <cols>
    <col min="1" max="1" width="12" customWidth="1"/>
    <col min="2" max="2" width="8.625" customWidth="1"/>
    <col min="3" max="3" width="6.875" customWidth="1"/>
    <col min="4" max="4" width="7.375" customWidth="1"/>
    <col min="5" max="5" width="8.375" customWidth="1"/>
    <col min="6" max="7" width="7.5" customWidth="1"/>
    <col min="8" max="9" width="6.875" customWidth="1"/>
    <col min="10" max="10" width="9.125" customWidth="1"/>
    <col min="11" max="11" width="7.5" customWidth="1"/>
    <col min="12" max="15" width="6.875" customWidth="1"/>
    <col min="16" max="17" width="8.75" customWidth="1"/>
    <col min="18" max="26" width="10" customWidth="1"/>
  </cols>
  <sheetData>
    <row r="1" spans="1:26" ht="16.5">
      <c r="A1" s="1542"/>
      <c r="B1" s="1543"/>
      <c r="C1" s="592"/>
      <c r="D1" s="592"/>
      <c r="E1" s="593"/>
      <c r="F1" s="593"/>
      <c r="G1" s="593"/>
      <c r="H1" s="593"/>
      <c r="I1" s="594"/>
      <c r="J1" s="595"/>
      <c r="K1" s="595"/>
      <c r="L1" s="595"/>
      <c r="M1" s="595"/>
      <c r="N1" s="596"/>
      <c r="O1" s="595"/>
      <c r="P1" s="597" t="s">
        <v>149</v>
      </c>
      <c r="Q1" s="598">
        <v>2019</v>
      </c>
      <c r="R1" s="595"/>
      <c r="S1" s="599"/>
      <c r="T1" s="599"/>
      <c r="U1" s="599"/>
      <c r="V1" s="599"/>
      <c r="W1" s="599"/>
      <c r="X1" s="599"/>
      <c r="Y1" s="599"/>
      <c r="Z1" s="599"/>
    </row>
    <row r="2" spans="1:26" ht="15.75">
      <c r="A2" s="1544"/>
      <c r="B2" s="1545"/>
      <c r="C2" s="600"/>
      <c r="D2" s="600"/>
      <c r="E2" s="593"/>
      <c r="F2" s="593"/>
      <c r="G2" s="593"/>
      <c r="H2" s="593"/>
      <c r="I2" s="593"/>
      <c r="J2" s="593"/>
      <c r="K2" s="593"/>
      <c r="L2" s="595"/>
      <c r="M2" s="595"/>
      <c r="N2" s="595"/>
      <c r="O2" s="595"/>
      <c r="P2" s="595"/>
      <c r="Q2" s="595"/>
      <c r="R2" s="595"/>
      <c r="S2" s="599"/>
      <c r="T2" s="599"/>
      <c r="U2" s="599"/>
      <c r="V2" s="599"/>
      <c r="W2" s="599"/>
      <c r="X2" s="599"/>
      <c r="Y2" s="599"/>
      <c r="Z2" s="599"/>
    </row>
    <row r="3" spans="1:26" ht="18">
      <c r="A3" s="601" t="s">
        <v>217</v>
      </c>
      <c r="B3" s="601"/>
      <c r="C3" s="602"/>
      <c r="D3" s="602"/>
      <c r="E3" s="593"/>
      <c r="F3" s="593"/>
      <c r="G3" s="1547" t="s">
        <v>218</v>
      </c>
      <c r="H3" s="1420"/>
      <c r="I3" s="1420"/>
      <c r="J3" s="1420"/>
      <c r="K3" s="1420"/>
      <c r="L3" s="1420"/>
      <c r="M3" s="1420"/>
      <c r="N3" s="1420"/>
      <c r="O3" s="1421"/>
      <c r="P3" s="595"/>
      <c r="Q3" s="595"/>
      <c r="R3" s="595"/>
      <c r="S3" s="599"/>
      <c r="T3" s="599"/>
      <c r="U3" s="599"/>
      <c r="V3" s="599"/>
      <c r="W3" s="599"/>
      <c r="X3" s="599"/>
      <c r="Y3" s="599"/>
      <c r="Z3" s="599"/>
    </row>
    <row r="4" spans="1:26">
      <c r="A4" s="1531" t="s">
        <v>219</v>
      </c>
      <c r="B4" s="1532"/>
      <c r="C4" s="602"/>
      <c r="D4" s="602"/>
      <c r="E4" s="595"/>
      <c r="F4" s="595"/>
      <c r="G4" s="595"/>
      <c r="H4" s="595"/>
      <c r="I4" s="595"/>
      <c r="J4" s="595"/>
      <c r="K4" s="595"/>
      <c r="L4" s="595"/>
      <c r="M4" s="595"/>
      <c r="N4" s="595"/>
      <c r="O4" s="595"/>
      <c r="P4" s="595"/>
      <c r="Q4" s="595"/>
      <c r="R4" s="595"/>
      <c r="S4" s="599"/>
      <c r="T4" s="599"/>
      <c r="U4" s="599"/>
      <c r="V4" s="599"/>
      <c r="W4" s="599"/>
      <c r="X4" s="599"/>
      <c r="Y4" s="599"/>
      <c r="Z4" s="599"/>
    </row>
    <row r="5" spans="1:26" ht="15.75">
      <c r="A5" s="602"/>
      <c r="B5" s="593"/>
      <c r="C5" s="593"/>
      <c r="D5" s="593"/>
      <c r="E5" s="593"/>
      <c r="F5" s="593"/>
      <c r="G5" s="1548" t="s">
        <v>220</v>
      </c>
      <c r="H5" s="1420"/>
      <c r="I5" s="1420"/>
      <c r="J5" s="1420"/>
      <c r="K5" s="1420"/>
      <c r="L5" s="1420"/>
      <c r="M5" s="1420"/>
      <c r="N5" s="1420"/>
      <c r="O5" s="1421"/>
      <c r="P5" s="595"/>
      <c r="Q5" s="595"/>
      <c r="R5" s="595"/>
      <c r="S5" s="599"/>
      <c r="T5" s="599"/>
      <c r="U5" s="599"/>
      <c r="V5" s="599"/>
      <c r="W5" s="599"/>
      <c r="X5" s="599"/>
      <c r="Y5" s="599"/>
      <c r="Z5" s="599"/>
    </row>
    <row r="6" spans="1:26" ht="15.75">
      <c r="A6" s="595"/>
      <c r="B6" s="593"/>
      <c r="C6" s="593"/>
      <c r="D6" s="593"/>
      <c r="E6" s="593"/>
      <c r="F6" s="593"/>
      <c r="G6" s="603"/>
      <c r="H6" s="603"/>
      <c r="I6" s="593"/>
      <c r="J6" s="603"/>
      <c r="K6" s="603"/>
      <c r="L6" s="603"/>
      <c r="M6" s="595"/>
      <c r="N6" s="595"/>
      <c r="O6" s="595"/>
      <c r="P6" s="595"/>
      <c r="Q6" s="595"/>
      <c r="R6" s="595"/>
      <c r="S6" s="599"/>
      <c r="T6" s="599"/>
      <c r="U6" s="599"/>
      <c r="V6" s="599"/>
      <c r="W6" s="599"/>
      <c r="X6" s="599"/>
      <c r="Y6" s="599"/>
      <c r="Z6" s="599"/>
    </row>
    <row r="7" spans="1:26" ht="15.75">
      <c r="A7" s="595"/>
      <c r="B7" s="593"/>
      <c r="C7" s="593"/>
      <c r="D7" s="1524" t="s">
        <v>221</v>
      </c>
      <c r="E7" s="1420"/>
      <c r="F7" s="1420"/>
      <c r="G7" s="1420"/>
      <c r="H7" s="1420"/>
      <c r="I7" s="1420"/>
      <c r="J7" s="1421"/>
      <c r="K7" s="1524" t="s">
        <v>222</v>
      </c>
      <c r="L7" s="1420"/>
      <c r="M7" s="1420"/>
      <c r="N7" s="1420"/>
      <c r="O7" s="1420"/>
      <c r="P7" s="1420"/>
      <c r="Q7" s="1421"/>
      <c r="R7" s="595"/>
      <c r="S7" s="599"/>
      <c r="T7" s="599"/>
      <c r="U7" s="599"/>
      <c r="V7" s="599"/>
      <c r="W7" s="599"/>
      <c r="X7" s="599"/>
      <c r="Y7" s="599"/>
      <c r="Z7" s="599"/>
    </row>
    <row r="8" spans="1:26" ht="15.75">
      <c r="A8" s="595"/>
      <c r="B8" s="593"/>
      <c r="C8" s="593"/>
      <c r="D8" s="593"/>
      <c r="E8" s="593"/>
      <c r="F8" s="593"/>
      <c r="G8" s="593"/>
      <c r="H8" s="593"/>
      <c r="I8" s="593"/>
      <c r="J8" s="604"/>
      <c r="K8" s="593"/>
      <c r="L8" s="593"/>
      <c r="M8" s="595"/>
      <c r="N8" s="595"/>
      <c r="O8" s="595"/>
      <c r="P8" s="595"/>
      <c r="Q8" s="595"/>
      <c r="R8" s="595"/>
      <c r="S8" s="599"/>
      <c r="T8" s="599"/>
      <c r="U8" s="599"/>
      <c r="V8" s="599"/>
      <c r="W8" s="599"/>
      <c r="X8" s="599"/>
      <c r="Y8" s="599"/>
      <c r="Z8" s="599"/>
    </row>
    <row r="9" spans="1:26">
      <c r="A9" s="1529" t="s">
        <v>223</v>
      </c>
      <c r="B9" s="1539" t="s">
        <v>224</v>
      </c>
      <c r="C9" s="1540"/>
      <c r="D9" s="1533" t="s">
        <v>225</v>
      </c>
      <c r="E9" s="1526"/>
      <c r="F9" s="1534" t="s">
        <v>226</v>
      </c>
      <c r="G9" s="1526"/>
      <c r="H9" s="1534" t="s">
        <v>227</v>
      </c>
      <c r="I9" s="1535"/>
      <c r="J9" s="1536" t="s">
        <v>33</v>
      </c>
      <c r="K9" s="1533" t="s">
        <v>225</v>
      </c>
      <c r="L9" s="1526"/>
      <c r="M9" s="1534" t="s">
        <v>226</v>
      </c>
      <c r="N9" s="1526"/>
      <c r="O9" s="1534" t="s">
        <v>227</v>
      </c>
      <c r="P9" s="1535"/>
      <c r="Q9" s="1536" t="s">
        <v>33</v>
      </c>
      <c r="R9" s="595"/>
      <c r="S9" s="599"/>
      <c r="T9" s="599"/>
      <c r="U9" s="599"/>
      <c r="V9" s="599"/>
      <c r="W9" s="599"/>
      <c r="X9" s="599"/>
      <c r="Y9" s="599"/>
      <c r="Z9" s="599"/>
    </row>
    <row r="10" spans="1:26" ht="15.75">
      <c r="A10" s="1516"/>
      <c r="B10" s="605" t="s">
        <v>228</v>
      </c>
      <c r="C10" s="607" t="s">
        <v>229</v>
      </c>
      <c r="D10" s="608" t="s">
        <v>230</v>
      </c>
      <c r="E10" s="609" t="s">
        <v>231</v>
      </c>
      <c r="F10" s="609" t="s">
        <v>232</v>
      </c>
      <c r="G10" s="609" t="s">
        <v>231</v>
      </c>
      <c r="H10" s="609" t="s">
        <v>232</v>
      </c>
      <c r="I10" s="609" t="s">
        <v>231</v>
      </c>
      <c r="J10" s="1546"/>
      <c r="K10" s="608" t="s">
        <v>232</v>
      </c>
      <c r="L10" s="608" t="s">
        <v>231</v>
      </c>
      <c r="M10" s="608" t="s">
        <v>232</v>
      </c>
      <c r="N10" s="609" t="s">
        <v>231</v>
      </c>
      <c r="O10" s="610" t="s">
        <v>232</v>
      </c>
      <c r="P10" s="610" t="s">
        <v>231</v>
      </c>
      <c r="Q10" s="1546"/>
      <c r="R10" s="611"/>
      <c r="S10" s="599"/>
      <c r="T10" s="599"/>
      <c r="U10" s="599"/>
      <c r="V10" s="599"/>
      <c r="W10" s="599"/>
      <c r="X10" s="599"/>
      <c r="Y10" s="599"/>
      <c r="Z10" s="599"/>
    </row>
    <row r="11" spans="1:26">
      <c r="A11" s="612">
        <v>43466</v>
      </c>
      <c r="B11" s="614">
        <f>SUMIFS('Degrémont Entrée'!$B$14:$B$379,'Degrémont Entrée'!$B$14:$B$379,"&lt;&gt;",'Degrémont Entrée'!$A$14:$A$379,"&gt;="&amp;A11,'Degrémont Entrée'!$A$14:$A$379,"&lt;="&amp;EOMONTH(A11,0))</f>
        <v>21719</v>
      </c>
      <c r="C11" s="383">
        <f>AVERAGEIFS('Degrémont Entrée'!$B$14:$B$379,'Degrémont Entrée'!$B$14:$B$379,"&lt;&gt;",'Degrémont Entrée'!$A$14:$A$379,"&gt;="&amp;A11,'Degrémont Entrée'!$A$14:$A$379,"&lt;="&amp;EOMONTH(A11,0))</f>
        <v>775.67857142857144</v>
      </c>
      <c r="D11" s="631">
        <f>SUMIFS('Degrémont Entrée'!$G$14:$G$379,'Degrémont Entrée'!$G$14:$G$379,"&lt;&gt;",'Degrémont Entrée'!$A$14:$A$379,"&gt;="&amp;A11,'Degrémont Entrée'!$A$14:$A$379,"&lt;="&amp;EOMONTH(A11,0))</f>
        <v>213772.6027628794</v>
      </c>
      <c r="E11" s="632">
        <f>AVERAGEIFS('Degrémont Entrée'!$G$14:$G$379,'Degrémont Entrée'!$G$14:$G$379,"&lt;&gt;",'Degrémont Entrée'!$A$14:$A$379,"&gt;="&amp;A11,'Degrémont Entrée'!$A$14:$A$379,"&lt;="&amp;EOMONTH(A11,0))</f>
        <v>6895.8904117057873</v>
      </c>
      <c r="F11" s="631">
        <f>SUMIFS('Degrémont Entrée'!$P$14:$P$379,'Degrémont Entrée'!$P$14:$P$379,"&lt;&gt;",'Degrémont Entrée'!$A$14:$A$379,"&gt;="&amp;A11,'Degrémont Entrée'!$A$14:$A$379,"&lt;="&amp;EOMONTH(A11,0))</f>
        <v>19214.288</v>
      </c>
      <c r="G11" s="632">
        <f>AVERAGEIFS('Degrémont Entrée'!$P$14:$P$379,'Degrémont Entrée'!$P$14:$P$379,"&lt;&gt;",'Degrémont Entrée'!$A$14:$A$379,"&gt;="&amp;A11,'Degrémont Entrée'!$A$14:$A$379,"&lt;="&amp;EOMONTH(A11,0))</f>
        <v>619.81574193548386</v>
      </c>
      <c r="H11" s="631">
        <f>SUMIFS('Degrémont Entrée'!$T$14:$T$379,'Degrémont Entrée'!$T$14:$T$379,"&lt;&gt;",'Degrémont Entrée'!$A$14:$A$379,"&gt;="&amp;A11,'Degrémont Entrée'!$A$14:$A$379,"&lt;="&amp;EOMONTH(A11,0))</f>
        <v>8733.1354999999967</v>
      </c>
      <c r="I11" s="632">
        <f>AVERAGEIFS('Degrémont Entrée'!$T$14:$T$379,'Degrémont Entrée'!$T$14:$T$379,"&lt;&gt;",'Degrémont Entrée'!$A$14:$A$379,"&gt;="&amp;A11,'Degrémont Entrée'!$A$14:$A$379,"&lt;="&amp;EOMONTH(A11,0))</f>
        <v>281.71404838709668</v>
      </c>
      <c r="J11" s="633">
        <f>AVERAGEIFS('Degrémont Entrée'!$C$14:$C$379,'Degrémont Entrée'!$C$14:$C$379,"&lt;&gt;",'Degrémont Entrée'!$A$14:$A$379,"&gt;="&amp;A11,'Degrémont Entrée'!$A$14:$A$379,"&lt;="&amp;EOMONTH(A11,0))</f>
        <v>7.9285714285714288</v>
      </c>
      <c r="K11" s="614">
        <f>SUMIFS('Degrémont sortie'!$J$14:$J$379,'Degrémont sortie'!$J$14:$J$379,"&lt;&gt;",'Degrémont sortie'!$A$14:$A$379,"&gt;="&amp;A11,'Degrémont sortie'!$A$14:$A$379,"&lt;="&amp;EOMONTH(A11,0))</f>
        <v>17602.994999999999</v>
      </c>
      <c r="L11" s="635">
        <f>AVERAGEIFS('Degrémont sortie'!$J$14:$J$379,'Degrémont sortie'!$J$14:$J$379,"&lt;&gt;",'Degrémont sortie'!$A$14:$A$379,"&gt;="&amp;A11,'Degrémont sortie'!$A$14:$A$379,"&lt;="&amp;EOMONTH(A11,0))</f>
        <v>567.83854838709669</v>
      </c>
      <c r="M11" s="614">
        <f>SUMIFS('Degrémont sortie'!$H$14:$H$379,'Degrémont sortie'!$H$14:$H$379,"&lt;&gt;",'Degrémont sortie'!$A$14:$A$379,"&gt;="&amp;A11,'Degrémont sortie'!$A$14:$A$379,"&lt;="&amp;EOMONTH(A11,0))</f>
        <v>544.9361005826355</v>
      </c>
      <c r="N11" s="636">
        <f>AVERAGEIFS('Degrémont sortie'!$H$14:$H$379,'Degrémont sortie'!$H$14:$H$379,"&lt;&gt;",'Degrémont sortie'!$A$14:$A$379,"&gt;="&amp;A11,'Degrémont sortie'!$A$14:$A$379,"&lt;="&amp;EOMONTH(A11,0))</f>
        <v>20.959080791639828</v>
      </c>
      <c r="O11" s="637" t="e">
        <f>SUMIFS('Degrémont sortie'!$N$14:$N$379,'Degrémont sortie'!$N$14:$N$379,"&lt;&gt;",'Degrémont sortie'!$A$14:$A$379,"&gt;="&amp;A11,'Degrémont sortie'!$A$14:$A$379,"&lt;="&amp;EOMONTH(A11,0))</f>
        <v>#VALUE!</v>
      </c>
      <c r="P11" s="638" t="e">
        <f>AVERAGEIFS('Degrémont sortie'!$N$14:$N$379,'Degrémont sortie'!$N$14:$N$379,"&lt;&gt;",'Degrémont sortie'!$A$14:$A$379,"&gt;="&amp;A11,'Degrémont sortie'!$A$14:$A$379,"&lt;="&amp;EOMONTH(A11,0))</f>
        <v>#VALUE!</v>
      </c>
      <c r="Q11" s="639">
        <f>AVERAGEIFS('Degrémont Entrée'!$C$14:$C$379,'Degrémont Entrée'!$C$14:$C$379,"&lt;&gt;",'Degrémont Entrée'!$A$14:$A$379,"&gt;="&amp;A11,'Degrémont Entrée'!$A$14:$A$379,"&lt;="&amp;EOMONTH(A11,0))</f>
        <v>7.9285714285714288</v>
      </c>
      <c r="R11" s="640"/>
      <c r="S11" s="599"/>
      <c r="T11" s="599"/>
      <c r="U11" s="599"/>
      <c r="V11" s="599"/>
      <c r="W11" s="599"/>
      <c r="X11" s="599"/>
      <c r="Y11" s="599"/>
      <c r="Z11" s="599"/>
    </row>
    <row r="12" spans="1:26">
      <c r="A12" s="642">
        <f t="shared" ref="A12:A22" si="0">EDATE(A11,1)</f>
        <v>43497</v>
      </c>
      <c r="B12" s="646">
        <f>SUMIFS('Degrémont Entrée'!$B$14:$B$379,'Degrémont Entrée'!$B$14:$B$379,"&lt;&gt;",'Degrémont Entrée'!$A$14:$A$379,"&gt;="&amp;A12,'Degrémont Entrée'!$A$14:$A$379,"&lt;="&amp;EOMONTH(A12,0))</f>
        <v>22642</v>
      </c>
      <c r="C12" s="384">
        <f>AVERAGEIFS('Degrémont Entrée'!$B$14:$B$379,'Degrémont Entrée'!$B$14:$B$379,"&lt;&gt;",'Degrémont Entrée'!$A$14:$A$379,"&gt;="&amp;A12,'Degrémont Entrée'!$A$14:$A$379,"&lt;="&amp;EOMONTH(A12,0))</f>
        <v>905.68</v>
      </c>
      <c r="D12" s="649">
        <f>SUMIFS('Degrémont Entrée'!$G$14:$G$379,'Degrémont Entrée'!$G$14:$G$379,"&lt;&gt;",'Degrémont Entrée'!$A$14:$A$379,"&gt;="&amp;A12,'Degrémont Entrée'!$A$14:$A$379,"&lt;="&amp;EOMONTH(A12,0))</f>
        <v>114791.83799007621</v>
      </c>
      <c r="E12" s="652">
        <f>AVERAGEIFS('Degrémont Entrée'!$G$14:$G$379,'Degrémont Entrée'!$G$14:$G$379,"&lt;&gt;",'Degrémont Entrée'!$A$14:$A$379,"&gt;="&amp;A12,'Degrémont Entrée'!$A$14:$A$379,"&lt;="&amp;EOMONTH(A12,0))</f>
        <v>4099.7084996455787</v>
      </c>
      <c r="F12" s="649">
        <f>SUMIFS('Degrémont Entrée'!$P$14:$P$379,'Degrémont Entrée'!$P$14:$P$379,"&lt;&gt;",'Degrémont Entrée'!$A$14:$A$379,"&gt;="&amp;A12,'Degrémont Entrée'!$A$14:$A$379,"&lt;="&amp;EOMONTH(A12,0))</f>
        <v>18485.046000000006</v>
      </c>
      <c r="G12" s="652">
        <f>AVERAGEIFS('Degrémont Entrée'!$P$14:$P$379,'Degrémont Entrée'!$P$14:$P$379,"&lt;&gt;",'Degrémont Entrée'!$A$14:$A$379,"&gt;="&amp;A12,'Degrémont Entrée'!$A$14:$A$379,"&lt;="&amp;EOMONTH(A12,0))</f>
        <v>660.18021428571444</v>
      </c>
      <c r="H12" s="649">
        <f>SUMIFS('Degrémont Entrée'!$T$14:$T$379,'Degrémont Entrée'!$T$14:$T$379,"&lt;&gt;",'Degrémont Entrée'!$A$14:$A$379,"&gt;="&amp;A12,'Degrémont Entrée'!$A$14:$A$379,"&lt;="&amp;EOMONTH(A12,0))</f>
        <v>4924.041400000001</v>
      </c>
      <c r="I12" s="652">
        <f>AVERAGEIFS('Degrémont Entrée'!$T$14:$T$379,'Degrémont Entrée'!$T$14:$T$379,"&lt;&gt;",'Degrémont Entrée'!$A$14:$A$379,"&gt;="&amp;A12,'Degrémont Entrée'!$A$14:$A$379,"&lt;="&amp;EOMONTH(A12,0))</f>
        <v>175.85862142857147</v>
      </c>
      <c r="J12" s="655">
        <f>AVERAGEIFS('Degrémont Entrée'!$C$14:$C$379,'Degrémont Entrée'!$C$14:$C$379,"&lt;&gt;",'Degrémont Entrée'!$A$14:$A$379,"&gt;="&amp;A12,'Degrémont Entrée'!$A$14:$A$379,"&lt;="&amp;EOMONTH(A12,0))</f>
        <v>7.8240000000000007</v>
      </c>
      <c r="K12" s="646">
        <f>SUMIFS('Degrémont sortie'!$J$14:$J$379,'Degrémont sortie'!$J$14:$J$379,"&lt;&gt;",'Degrémont sortie'!$A$14:$A$379,"&gt;="&amp;A12,'Degrémont sortie'!$A$14:$A$379,"&lt;="&amp;EOMONTH(A12,0))</f>
        <v>15118.805</v>
      </c>
      <c r="L12" s="656">
        <f>AVERAGEIFS('Degrémont sortie'!$J$14:$J$379,'Degrémont sortie'!$J$14:$J$379,"&lt;&gt;",'Degrémont sortie'!$A$14:$A$379,"&gt;="&amp;A12,'Degrémont sortie'!$A$14:$A$379,"&lt;="&amp;EOMONTH(A12,0))</f>
        <v>539.95732142857139</v>
      </c>
      <c r="M12" s="646">
        <f>SUMIFS('Degrémont sortie'!$H$14:$H$379,'Degrémont sortie'!$H$14:$H$379,"&lt;&gt;",'Degrémont sortie'!$A$14:$A$379,"&gt;="&amp;A12,'Degrémont sortie'!$A$14:$A$379,"&lt;="&amp;EOMONTH(A12,0))</f>
        <v>0</v>
      </c>
      <c r="N12" s="664" t="e">
        <f>AVERAGEIFS('Degrémont sortie'!$H$14:$H$379,'Degrémont sortie'!$H$14:$H$379,"&lt;&gt;",'Degrémont sortie'!$A$14:$A$379,"&gt;="&amp;A12,'Degrémont sortie'!$A$14:$A$379,"&lt;="&amp;EOMONTH(A12,0))</f>
        <v>#DIV/0!</v>
      </c>
      <c r="O12" s="649" t="e">
        <f>SUMIFS('Degrémont sortie'!$N$14:$N$379,'Degrémont sortie'!$N$14:$N$379,"&lt;&gt;",'Degrémont sortie'!$A$14:$A$379,"&gt;="&amp;A12,'Degrémont sortie'!$A$14:$A$379,"&lt;="&amp;EOMONTH(A12,0))</f>
        <v>#VALUE!</v>
      </c>
      <c r="P12" s="665" t="e">
        <f>AVERAGEIFS('Degrémont sortie'!$N$14:$N$379,'Degrémont sortie'!$N$14:$N$379,"&lt;&gt;",'Degrémont sortie'!$A$14:$A$379,"&gt;="&amp;A12,'Degrémont sortie'!$A$14:$A$379,"&lt;="&amp;EOMONTH(A12,0))</f>
        <v>#VALUE!</v>
      </c>
      <c r="Q12" s="667">
        <f>AVERAGEIFS('Degrémont Entrée'!$C$14:$C$379,'Degrémont Entrée'!$C$14:$C$379,"&lt;&gt;",'Degrémont Entrée'!$A$14:$A$379,"&gt;="&amp;A12,'Degrémont Entrée'!$A$14:$A$379,"&lt;="&amp;EOMONTH(A12,0))</f>
        <v>7.8240000000000007</v>
      </c>
      <c r="R12" s="640"/>
      <c r="S12" s="599"/>
      <c r="T12" s="599"/>
      <c r="U12" s="599"/>
      <c r="V12" s="599"/>
      <c r="W12" s="599"/>
      <c r="X12" s="599"/>
      <c r="Y12" s="599"/>
      <c r="Z12" s="599"/>
    </row>
    <row r="13" spans="1:26">
      <c r="A13" s="642">
        <f t="shared" si="0"/>
        <v>43525</v>
      </c>
      <c r="B13" s="646">
        <f>SUMIFS('Degrémont Entrée'!$B$14:$B$379,'Degrémont Entrée'!$B$14:$B$379,"&lt;&gt;",'Degrémont Entrée'!$A$14:$A$379,"&gt;="&amp;A13,'Degrémont Entrée'!$A$14:$A$379,"&lt;="&amp;EOMONTH(A13,0))</f>
        <v>24697</v>
      </c>
      <c r="C13" s="384">
        <f>AVERAGEIFS('Degrémont Entrée'!$B$14:$B$379,'Degrémont Entrée'!$B$14:$B$379,"&lt;&gt;",'Degrémont Entrée'!$A$14:$A$379,"&gt;="&amp;A13,'Degrémont Entrée'!$A$14:$A$379,"&lt;="&amp;EOMONTH(A13,0))</f>
        <v>949.88461538461536</v>
      </c>
      <c r="D13" s="649">
        <f>SUMIFS('Degrémont Entrée'!$G$14:$G$379,'Degrémont Entrée'!$G$14:$G$379,"&lt;&gt;",'Degrémont Entrée'!$A$14:$A$379,"&gt;="&amp;A13,'Degrémont Entrée'!$A$14:$A$379,"&lt;="&amp;EOMONTH(A13,0))</f>
        <v>58730.719526472596</v>
      </c>
      <c r="E13" s="652">
        <f>AVERAGEIFS('Degrémont Entrée'!$G$14:$G$379,'Degrémont Entrée'!$G$14:$G$379,"&lt;&gt;",'Degrémont Entrée'!$A$14:$A$379,"&gt;="&amp;A13,'Degrémont Entrée'!$A$14:$A$379,"&lt;="&amp;EOMONTH(A13,0))</f>
        <v>1894.5393395636322</v>
      </c>
      <c r="F13" s="649">
        <f>SUMIFS('Degrémont Entrée'!$P$14:$P$379,'Degrémont Entrée'!$P$14:$P$379,"&lt;&gt;",'Degrémont Entrée'!$A$14:$A$379,"&gt;="&amp;A13,'Degrémont Entrée'!$A$14:$A$379,"&lt;="&amp;EOMONTH(A13,0))</f>
        <v>22193.741000000005</v>
      </c>
      <c r="G13" s="652">
        <f>AVERAGEIFS('Degrémont Entrée'!$P$14:$P$379,'Degrémont Entrée'!$P$14:$P$379,"&lt;&gt;",'Degrémont Entrée'!$A$14:$A$379,"&gt;="&amp;A13,'Degrémont Entrée'!$A$14:$A$379,"&lt;="&amp;EOMONTH(A13,0))</f>
        <v>715.92712903225822</v>
      </c>
      <c r="H13" s="649">
        <f>SUMIFS('Degrémont Entrée'!$T$14:$T$379,'Degrémont Entrée'!$T$14:$T$379,"&lt;&gt;",'Degrémont Entrée'!$A$14:$A$379,"&gt;="&amp;A13,'Degrémont Entrée'!$A$14:$A$379,"&lt;="&amp;EOMONTH(A13,0))</f>
        <v>2559.5367999999994</v>
      </c>
      <c r="I13" s="652">
        <f>AVERAGEIFS('Degrémont Entrée'!$T$14:$T$379,'Degrémont Entrée'!$T$14:$T$379,"&lt;&gt;",'Degrémont Entrée'!$A$14:$A$379,"&gt;="&amp;A13,'Degrémont Entrée'!$A$14:$A$379,"&lt;="&amp;EOMONTH(A13,0))</f>
        <v>82.565703225806431</v>
      </c>
      <c r="J13" s="655">
        <f>AVERAGEIFS('Degrémont Entrée'!$C$14:$C$379,'Degrémont Entrée'!$C$14:$C$379,"&lt;&gt;",'Degrémont Entrée'!$A$14:$A$379,"&gt;="&amp;A13,'Degrémont Entrée'!$A$14:$A$379,"&lt;="&amp;EOMONTH(A13,0))</f>
        <v>7.536538461538461</v>
      </c>
      <c r="K13" s="646">
        <f>SUMIFS('Degrémont sortie'!$J$14:$J$379,'Degrémont sortie'!$J$14:$J$379,"&lt;&gt;",'Degrémont sortie'!$A$14:$A$379,"&gt;="&amp;A13,'Degrémont sortie'!$A$14:$A$379,"&lt;="&amp;EOMONTH(A13,0))</f>
        <v>16985.577999999998</v>
      </c>
      <c r="L13" s="656">
        <f>AVERAGEIFS('Degrémont sortie'!$J$14:$J$379,'Degrémont sortie'!$J$14:$J$379,"&lt;&gt;",'Degrémont sortie'!$A$14:$A$379,"&gt;="&amp;A13,'Degrémont sortie'!$A$14:$A$379,"&lt;="&amp;EOMONTH(A13,0))</f>
        <v>547.92187096774182</v>
      </c>
      <c r="M13" s="646">
        <f>SUMIFS('Degrémont sortie'!$H$14:$H$379,'Degrémont sortie'!$H$14:$H$379,"&lt;&gt;",'Degrémont sortie'!$A$14:$A$379,"&gt;="&amp;A13,'Degrémont sortie'!$A$14:$A$379,"&lt;="&amp;EOMONTH(A13,0))</f>
        <v>0</v>
      </c>
      <c r="N13" s="664" t="e">
        <f>AVERAGEIFS('Degrémont sortie'!$H$14:$H$379,'Degrémont sortie'!$H$14:$H$379,"&lt;&gt;",'Degrémont sortie'!$A$14:$A$379,"&gt;="&amp;A13,'Degrémont sortie'!$A$14:$A$379,"&lt;="&amp;EOMONTH(A13,0))</f>
        <v>#DIV/0!</v>
      </c>
      <c r="O13" s="649" t="e">
        <f>SUMIFS('Degrémont sortie'!$N$14:$N$379,'Degrémont sortie'!$N$14:$N$379,"&lt;&gt;",'Degrémont sortie'!$A$14:$A$379,"&gt;="&amp;A13,'Degrémont sortie'!$A$14:$A$379,"&lt;="&amp;EOMONTH(A13,0))</f>
        <v>#VALUE!</v>
      </c>
      <c r="P13" s="665" t="e">
        <f>AVERAGEIFS('Degrémont sortie'!$N$14:$N$379,'Degrémont sortie'!$N$14:$N$379,"&lt;&gt;",'Degrémont sortie'!$A$14:$A$379,"&gt;="&amp;A13,'Degrémont sortie'!$A$14:$A$379,"&lt;="&amp;EOMONTH(A13,0))</f>
        <v>#VALUE!</v>
      </c>
      <c r="Q13" s="667">
        <f>AVERAGEIFS('Degrémont Entrée'!$C$14:$C$379,'Degrémont Entrée'!$C$14:$C$379,"&lt;&gt;",'Degrémont Entrée'!$A$14:$A$379,"&gt;="&amp;A13,'Degrémont Entrée'!$A$14:$A$379,"&lt;="&amp;EOMONTH(A13,0))</f>
        <v>7.536538461538461</v>
      </c>
      <c r="R13" s="640"/>
      <c r="S13" s="599"/>
      <c r="T13" s="599"/>
      <c r="U13" s="599"/>
      <c r="V13" s="599"/>
      <c r="W13" s="599"/>
      <c r="X13" s="599"/>
      <c r="Y13" s="599"/>
      <c r="Z13" s="599"/>
    </row>
    <row r="14" spans="1:26">
      <c r="A14" s="642">
        <f t="shared" si="0"/>
        <v>43556</v>
      </c>
      <c r="B14" s="646">
        <f>SUMIFS('Degrémont Entrée'!$B$14:$B$379,'Degrémont Entrée'!$B$14:$B$379,"&lt;&gt;",'Degrémont Entrée'!$A$14:$A$379,"&gt;="&amp;A14,'Degrémont Entrée'!$A$14:$A$379,"&lt;="&amp;EOMONTH(A14,0))</f>
        <v>21740</v>
      </c>
      <c r="C14" s="384">
        <f>AVERAGEIFS('Degrémont Entrée'!$B$14:$B$379,'Degrémont Entrée'!$B$14:$B$379,"&lt;&gt;",'Degrémont Entrée'!$A$14:$A$379,"&gt;="&amp;A14,'Degrémont Entrée'!$A$14:$A$379,"&lt;="&amp;EOMONTH(A14,0))</f>
        <v>945.21739130434787</v>
      </c>
      <c r="D14" s="649">
        <f>SUMIFS('Degrémont Entrée'!$G$14:$G$379,'Degrémont Entrée'!$G$14:$G$379,"&lt;&gt;",'Degrémont Entrée'!$A$14:$A$379,"&gt;="&amp;A14,'Degrémont Entrée'!$A$14:$A$379,"&lt;="&amp;EOMONTH(A14,0))</f>
        <v>198654.23485636292</v>
      </c>
      <c r="E14" s="652">
        <f>AVERAGEIFS('Degrémont Entrée'!$G$14:$G$379,'Degrémont Entrée'!$G$14:$G$379,"&lt;&gt;",'Degrémont Entrée'!$A$14:$A$379,"&gt;="&amp;A14,'Degrémont Entrée'!$A$14:$A$379,"&lt;="&amp;EOMONTH(A14,0))</f>
        <v>6621.8078285454303</v>
      </c>
      <c r="F14" s="649" t="e">
        <f>SUMIFS('Degrémont Entrée'!$P$14:$P$379,'Degrémont Entrée'!$P$14:$P$379,"&lt;&gt;",'Degrémont Entrée'!$A$14:$A$379,"&gt;="&amp;A14,'Degrémont Entrée'!$A$14:$A$379,"&lt;="&amp;EOMONTH(A14,0))</f>
        <v>#VALUE!</v>
      </c>
      <c r="G14" s="652" t="e">
        <f>AVERAGEIFS('Degrémont Entrée'!$P$14:$P$379,'Degrémont Entrée'!$P$14:$P$379,"&lt;&gt;",'Degrémont Entrée'!$A$14:$A$379,"&gt;="&amp;A14,'Degrémont Entrée'!$A$14:$A$379,"&lt;="&amp;EOMONTH(A14,0))</f>
        <v>#VALUE!</v>
      </c>
      <c r="H14" s="649">
        <f>SUMIFS('Degrémont Entrée'!$T$14:$T$379,'Degrémont Entrée'!$T$14:$T$379,"&lt;&gt;",'Degrémont Entrée'!$A$14:$A$379,"&gt;="&amp;A14,'Degrémont Entrée'!$A$14:$A$379,"&lt;="&amp;EOMONTH(A14,0))</f>
        <v>8683.1930999999986</v>
      </c>
      <c r="I14" s="652">
        <f>AVERAGEIFS('Degrémont Entrée'!$T$14:$T$379,'Degrémont Entrée'!$T$14:$T$379,"&lt;&gt;",'Degrémont Entrée'!$A$14:$A$379,"&gt;="&amp;A14,'Degrémont Entrée'!$A$14:$A$379,"&lt;="&amp;EOMONTH(A14,0))</f>
        <v>289.43976999999995</v>
      </c>
      <c r="J14" s="655">
        <f>AVERAGEIFS('Degrémont Entrée'!$C$14:$C$379,'Degrémont Entrée'!$C$14:$C$379,"&lt;&gt;",'Degrémont Entrée'!$A$14:$A$379,"&gt;="&amp;A14,'Degrémont Entrée'!$A$14:$A$379,"&lt;="&amp;EOMONTH(A14,0))</f>
        <v>1908.0299999999995</v>
      </c>
      <c r="K14" s="646">
        <f>SUMIFS('Degrémont sortie'!$J$14:$J$379,'Degrémont sortie'!$J$14:$J$379,"&lt;&gt;",'Degrémont sortie'!$A$14:$A$379,"&gt;="&amp;A14,'Degrémont sortie'!$A$14:$A$379,"&lt;="&amp;EOMONTH(A14,0))</f>
        <v>15914.913999999999</v>
      </c>
      <c r="L14" s="656">
        <f>AVERAGEIFS('Degrémont sortie'!$J$14:$J$379,'Degrémont sortie'!$J$14:$J$379,"&lt;&gt;",'Degrémont sortie'!$A$14:$A$379,"&gt;="&amp;A14,'Degrémont sortie'!$A$14:$A$379,"&lt;="&amp;EOMONTH(A14,0))</f>
        <v>530.4971333333333</v>
      </c>
      <c r="M14" s="646">
        <f>SUMIFS('Degrémont sortie'!$H$14:$H$379,'Degrémont sortie'!$H$14:$H$379,"&lt;&gt;",'Degrémont sortie'!$A$14:$A$379,"&gt;="&amp;A14,'Degrémont sortie'!$A$14:$A$379,"&lt;="&amp;EOMONTH(A14,0))</f>
        <v>0</v>
      </c>
      <c r="N14" s="664" t="e">
        <f>AVERAGEIFS('Degrémont sortie'!$H$14:$H$379,'Degrémont sortie'!$H$14:$H$379,"&lt;&gt;",'Degrémont sortie'!$A$14:$A$379,"&gt;="&amp;A14,'Degrémont sortie'!$A$14:$A$379,"&lt;="&amp;EOMONTH(A14,0))</f>
        <v>#DIV/0!</v>
      </c>
      <c r="O14" s="649" t="e">
        <f>SUMIFS('Degrémont sortie'!$N$14:$N$379,'Degrémont sortie'!$N$14:$N$379,"&lt;&gt;",'Degrémont sortie'!$A$14:$A$379,"&gt;="&amp;A14,'Degrémont sortie'!$A$14:$A$379,"&lt;="&amp;EOMONTH(A14,0))</f>
        <v>#VALUE!</v>
      </c>
      <c r="P14" s="665" t="e">
        <f>AVERAGEIFS('Degrémont sortie'!$N$14:$N$379,'Degrémont sortie'!$N$14:$N$379,"&lt;&gt;",'Degrémont sortie'!$A$14:$A$379,"&gt;="&amp;A14,'Degrémont sortie'!$A$14:$A$379,"&lt;="&amp;EOMONTH(A14,0))</f>
        <v>#VALUE!</v>
      </c>
      <c r="Q14" s="667">
        <f>AVERAGEIFS('Degrémont Entrée'!$C$14:$C$379,'Degrémont Entrée'!$C$14:$C$379,"&lt;&gt;",'Degrémont Entrée'!$A$14:$A$379,"&gt;="&amp;A14,'Degrémont Entrée'!$A$14:$A$379,"&lt;="&amp;EOMONTH(A14,0))</f>
        <v>1908.0299999999995</v>
      </c>
      <c r="R14" s="640"/>
      <c r="S14" s="599"/>
      <c r="T14" s="599"/>
      <c r="U14" s="599"/>
      <c r="V14" s="599"/>
      <c r="W14" s="599"/>
      <c r="X14" s="599"/>
      <c r="Y14" s="599"/>
      <c r="Z14" s="599"/>
    </row>
    <row r="15" spans="1:26">
      <c r="A15" s="642">
        <f t="shared" si="0"/>
        <v>43586</v>
      </c>
      <c r="B15" s="646">
        <f>SUMIFS('Degrémont Entrée'!$B$14:$B$379,'Degrémont Entrée'!$B$14:$B$379,"&lt;&gt;",'Degrémont Entrée'!$A$14:$A$379,"&gt;="&amp;A15,'Degrémont Entrée'!$A$14:$A$379,"&lt;="&amp;EOMONTH(A15,0))</f>
        <v>23529</v>
      </c>
      <c r="C15" s="384">
        <f>AVERAGEIFS('Degrémont Entrée'!$B$14:$B$379,'Degrémont Entrée'!$B$14:$B$379,"&lt;&gt;",'Degrémont Entrée'!$A$14:$A$379,"&gt;="&amp;A15,'Degrémont Entrée'!$A$14:$A$379,"&lt;="&amp;EOMONTH(A15,0))</f>
        <v>871.44444444444446</v>
      </c>
      <c r="D15" s="649">
        <f>SUMIFS('Degrémont Entrée'!$G$14:$G$379,'Degrémont Entrée'!$G$14:$G$379,"&lt;&gt;",'Degrémont Entrée'!$A$14:$A$379,"&gt;="&amp;A15,'Degrémont Entrée'!$A$14:$A$379,"&lt;="&amp;EOMONTH(A15,0))</f>
        <v>214177.7921148483</v>
      </c>
      <c r="E15" s="652">
        <f>AVERAGEIFS('Degrémont Entrée'!$G$14:$G$379,'Degrémont Entrée'!$G$14:$G$379,"&lt;&gt;",'Degrémont Entrée'!$A$14:$A$379,"&gt;="&amp;A15,'Degrémont Entrée'!$A$14:$A$379,"&lt;="&amp;EOMONTH(A15,0))</f>
        <v>6908.9610359628487</v>
      </c>
      <c r="F15" s="649">
        <f>SUMIFS('Degrémont Entrée'!$P$14:$P$379,'Degrémont Entrée'!$P$14:$P$379,"&lt;&gt;",'Degrémont Entrée'!$A$14:$A$379,"&gt;="&amp;A15,'Degrémont Entrée'!$A$14:$A$379,"&lt;="&amp;EOMONTH(A15,0))</f>
        <v>15842.701000000001</v>
      </c>
      <c r="G15" s="652">
        <f>AVERAGEIFS('Degrémont Entrée'!$P$14:$P$379,'Degrémont Entrée'!$P$14:$P$379,"&lt;&gt;",'Degrémont Entrée'!$A$14:$A$379,"&gt;="&amp;A15,'Degrémont Entrée'!$A$14:$A$379,"&lt;="&amp;EOMONTH(A15,0))</f>
        <v>511.05487096774198</v>
      </c>
      <c r="H15" s="649">
        <f>SUMIFS('Degrémont Entrée'!$T$14:$T$379,'Degrémont Entrée'!$T$14:$T$379,"&lt;&gt;",'Degrémont Entrée'!$A$14:$A$379,"&gt;="&amp;A15,'Degrémont Entrée'!$A$14:$A$379,"&lt;="&amp;EOMONTH(A15,0))</f>
        <v>6427.4051999999983</v>
      </c>
      <c r="I15" s="652">
        <f>AVERAGEIFS('Degrémont Entrée'!$T$14:$T$379,'Degrémont Entrée'!$T$14:$T$379,"&lt;&gt;",'Degrémont Entrée'!$A$14:$A$379,"&gt;="&amp;A15,'Degrémont Entrée'!$A$14:$A$379,"&lt;="&amp;EOMONTH(A15,0))</f>
        <v>207.33565161290318</v>
      </c>
      <c r="J15" s="655">
        <f>AVERAGEIFS('Degrémont Entrée'!$C$14:$C$379,'Degrémont Entrée'!$C$14:$C$379,"&lt;&gt;",'Degrémont Entrée'!$A$14:$A$379,"&gt;="&amp;A15,'Degrémont Entrée'!$A$14:$A$379,"&lt;="&amp;EOMONTH(A15,0))</f>
        <v>7.7082142857142859</v>
      </c>
      <c r="K15" s="646">
        <f>SUMIFS('Degrémont sortie'!$J$14:$J$379,'Degrémont sortie'!$J$14:$J$379,"&lt;&gt;",'Degrémont sortie'!$A$14:$A$379,"&gt;="&amp;A15,'Degrémont sortie'!$A$14:$A$379,"&lt;="&amp;EOMONTH(A15,0))</f>
        <v>14064.744999999999</v>
      </c>
      <c r="L15" s="656">
        <f>AVERAGEIFS('Degrémont sortie'!$J$14:$J$379,'Degrémont sortie'!$J$14:$J$379,"&lt;&gt;",'Degrémont sortie'!$A$14:$A$379,"&gt;="&amp;A15,'Degrémont sortie'!$A$14:$A$379,"&lt;="&amp;EOMONTH(A15,0))</f>
        <v>453.70145161290321</v>
      </c>
      <c r="M15" s="646">
        <f>SUMIFS('Degrémont sortie'!$H$14:$H$379,'Degrémont sortie'!$H$14:$H$379,"&lt;&gt;",'Degrémont sortie'!$A$14:$A$379,"&gt;="&amp;A15,'Degrémont sortie'!$A$14:$A$379,"&lt;="&amp;EOMONTH(A15,0))</f>
        <v>0</v>
      </c>
      <c r="N15" s="664" t="e">
        <f>AVERAGEIFS('Degrémont sortie'!$H$14:$H$379,'Degrémont sortie'!$H$14:$H$379,"&lt;&gt;",'Degrémont sortie'!$A$14:$A$379,"&gt;="&amp;A15,'Degrémont sortie'!$A$14:$A$379,"&lt;="&amp;EOMONTH(A15,0))</f>
        <v>#DIV/0!</v>
      </c>
      <c r="O15" s="649" t="e">
        <f>SUMIFS('Degrémont sortie'!$N$14:$N$379,'Degrémont sortie'!$N$14:$N$379,"&lt;&gt;",'Degrémont sortie'!$A$14:$A$379,"&gt;="&amp;A15,'Degrémont sortie'!$A$14:$A$379,"&lt;="&amp;EOMONTH(A15,0))</f>
        <v>#VALUE!</v>
      </c>
      <c r="P15" s="665" t="e">
        <f>AVERAGEIFS('Degrémont sortie'!$N$14:$N$379,'Degrémont sortie'!$N$14:$N$379,"&lt;&gt;",'Degrémont sortie'!$A$14:$A$379,"&gt;="&amp;A15,'Degrémont sortie'!$A$14:$A$379,"&lt;="&amp;EOMONTH(A15,0))</f>
        <v>#VALUE!</v>
      </c>
      <c r="Q15" s="667">
        <f>AVERAGEIFS('Degrémont Entrée'!$C$14:$C$379,'Degrémont Entrée'!$C$14:$C$379,"&lt;&gt;",'Degrémont Entrée'!$A$14:$A$379,"&gt;="&amp;A15,'Degrémont Entrée'!$A$14:$A$379,"&lt;="&amp;EOMONTH(A15,0))</f>
        <v>7.7082142857142859</v>
      </c>
      <c r="R15" s="640"/>
      <c r="S15" s="599"/>
      <c r="T15" s="599"/>
      <c r="U15" s="599"/>
      <c r="V15" s="599"/>
      <c r="W15" s="599"/>
      <c r="X15" s="599"/>
      <c r="Y15" s="599"/>
      <c r="Z15" s="599"/>
    </row>
    <row r="16" spans="1:26">
      <c r="A16" s="642">
        <f t="shared" si="0"/>
        <v>43617</v>
      </c>
      <c r="B16" s="646">
        <f>SUMIFS('Degrémont Entrée'!$B$14:$B$379,'Degrémont Entrée'!$B$14:$B$379,"&lt;&gt;",'Degrémont Entrée'!$A$14:$A$379,"&gt;="&amp;A16,'Degrémont Entrée'!$A$14:$A$379,"&lt;="&amp;EOMONTH(A16,0))</f>
        <v>16690</v>
      </c>
      <c r="C16" s="384">
        <f>AVERAGEIFS('Degrémont Entrée'!$B$14:$B$379,'Degrémont Entrée'!$B$14:$B$379,"&lt;&gt;",'Degrémont Entrée'!$A$14:$A$379,"&gt;="&amp;A16,'Degrémont Entrée'!$A$14:$A$379,"&lt;="&amp;EOMONTH(A16,0))</f>
        <v>927.22222222222217</v>
      </c>
      <c r="D16" s="649">
        <f>SUMIFS('Degrémont Entrée'!$G$14:$G$379,'Degrémont Entrée'!$G$14:$G$379,"&lt;&gt;",'Degrémont Entrée'!$A$14:$A$379,"&gt;="&amp;A16,'Degrémont Entrée'!$A$14:$A$379,"&lt;="&amp;EOMONTH(A16,0))</f>
        <v>54768.504410935115</v>
      </c>
      <c r="E16" s="652">
        <f>AVERAGEIFS('Degrémont Entrée'!$G$14:$G$379,'Degrémont Entrée'!$G$14:$G$379,"&lt;&gt;",'Degrémont Entrée'!$A$14:$A$379,"&gt;="&amp;A16,'Degrémont Entrée'!$A$14:$A$379,"&lt;="&amp;EOMONTH(A16,0))</f>
        <v>1825.6168136978372</v>
      </c>
      <c r="F16" s="649">
        <f>SUMIFS('Degrémont Entrée'!$P$14:$P$379,'Degrémont Entrée'!$P$14:$P$379,"&lt;&gt;",'Degrémont Entrée'!$A$14:$A$379,"&gt;="&amp;A16,'Degrémont Entrée'!$A$14:$A$379,"&lt;="&amp;EOMONTH(A16,0))</f>
        <v>13014.922000000002</v>
      </c>
      <c r="G16" s="652">
        <f>AVERAGEIFS('Degrémont Entrée'!$P$14:$P$379,'Degrémont Entrée'!$P$14:$P$379,"&lt;&gt;",'Degrémont Entrée'!$A$14:$A$379,"&gt;="&amp;A16,'Degrémont Entrée'!$A$14:$A$379,"&lt;="&amp;EOMONTH(A16,0))</f>
        <v>433.8307333333334</v>
      </c>
      <c r="H16" s="649">
        <f>SUMIFS('Degrémont Entrée'!$T$14:$T$379,'Degrémont Entrée'!$T$14:$T$379,"&lt;&gt;",'Degrémont Entrée'!$A$14:$A$379,"&gt;="&amp;A16,'Degrémont Entrée'!$A$14:$A$379,"&lt;="&amp;EOMONTH(A16,0))</f>
        <v>1083.5903999999998</v>
      </c>
      <c r="I16" s="652">
        <f>AVERAGEIFS('Degrémont Entrée'!$T$14:$T$379,'Degrémont Entrée'!$T$14:$T$379,"&lt;&gt;",'Degrémont Entrée'!$A$14:$A$379,"&gt;="&amp;A16,'Degrémont Entrée'!$A$14:$A$379,"&lt;="&amp;EOMONTH(A16,0))</f>
        <v>36.119679999999995</v>
      </c>
      <c r="J16" s="655">
        <f>AVERAGEIFS('Degrémont Entrée'!$C$14:$C$379,'Degrémont Entrée'!$C$14:$C$379,"&lt;&gt;",'Degrémont Entrée'!$A$14:$A$379,"&gt;="&amp;A16,'Degrémont Entrée'!$A$14:$A$379,"&lt;="&amp;EOMONTH(A16,0))</f>
        <v>8.1313636363636377</v>
      </c>
      <c r="K16" s="646">
        <f>SUMIFS('Degrémont sortie'!$J$14:$J$379,'Degrémont sortie'!$J$14:$J$379,"&lt;&gt;",'Degrémont sortie'!$A$14:$A$379,"&gt;="&amp;A16,'Degrémont sortie'!$A$14:$A$379,"&lt;="&amp;EOMONTH(A16,0))</f>
        <v>11069.09</v>
      </c>
      <c r="L16" s="656">
        <f>AVERAGEIFS('Degrémont sortie'!$J$14:$J$379,'Degrémont sortie'!$J$14:$J$379,"&lt;&gt;",'Degrémont sortie'!$A$14:$A$379,"&gt;="&amp;A16,'Degrémont sortie'!$A$14:$A$379,"&lt;="&amp;EOMONTH(A16,0))</f>
        <v>368.96966666666668</v>
      </c>
      <c r="M16" s="646">
        <f>SUMIFS('Degrémont sortie'!$H$14:$H$379,'Degrémont sortie'!$H$14:$H$379,"&lt;&gt;",'Degrémont sortie'!$A$14:$A$379,"&gt;="&amp;A16,'Degrémont sortie'!$A$14:$A$379,"&lt;="&amp;EOMONTH(A16,0))</f>
        <v>0</v>
      </c>
      <c r="N16" s="664" t="e">
        <f>AVERAGEIFS('Degrémont sortie'!$H$14:$H$379,'Degrémont sortie'!$H$14:$H$379,"&lt;&gt;",'Degrémont sortie'!$A$14:$A$379,"&gt;="&amp;A16,'Degrémont sortie'!$A$14:$A$379,"&lt;="&amp;EOMONTH(A16,0))</f>
        <v>#DIV/0!</v>
      </c>
      <c r="O16" s="649" t="e">
        <f>SUMIFS('Degrémont sortie'!$N$14:$N$379,'Degrémont sortie'!$N$14:$N$379,"&lt;&gt;",'Degrémont sortie'!$A$14:$A$379,"&gt;="&amp;A16,'Degrémont sortie'!$A$14:$A$379,"&lt;="&amp;EOMONTH(A16,0))</f>
        <v>#VALUE!</v>
      </c>
      <c r="P16" s="665" t="e">
        <f>AVERAGEIFS('Degrémont sortie'!$N$14:$N$379,'Degrémont sortie'!$N$14:$N$379,"&lt;&gt;",'Degrémont sortie'!$A$14:$A$379,"&gt;="&amp;A16,'Degrémont sortie'!$A$14:$A$379,"&lt;="&amp;EOMONTH(A16,0))</f>
        <v>#VALUE!</v>
      </c>
      <c r="Q16" s="667">
        <f>AVERAGEIFS('Degrémont Entrée'!$C$14:$C$379,'Degrémont Entrée'!$C$14:$C$379,"&lt;&gt;",'Degrémont Entrée'!$A$14:$A$379,"&gt;="&amp;A16,'Degrémont Entrée'!$A$14:$A$379,"&lt;="&amp;EOMONTH(A16,0))</f>
        <v>8.1313636363636377</v>
      </c>
      <c r="R16" s="640"/>
      <c r="S16" s="599"/>
      <c r="T16" s="599"/>
      <c r="U16" s="599"/>
      <c r="V16" s="599"/>
      <c r="W16" s="599"/>
      <c r="X16" s="599"/>
      <c r="Y16" s="599"/>
      <c r="Z16" s="599"/>
    </row>
    <row r="17" spans="1:26">
      <c r="A17" s="642">
        <f t="shared" si="0"/>
        <v>43647</v>
      </c>
      <c r="B17" s="646">
        <f>SUMIFS('Degrémont Entrée'!$B$14:$B$379,'Degrémont Entrée'!$B$14:$B$379,"&lt;&gt;",'Degrémont Entrée'!$A$14:$A$379,"&gt;="&amp;A17,'Degrémont Entrée'!$A$14:$A$379,"&lt;="&amp;EOMONTH(A17,0))</f>
        <v>10533</v>
      </c>
      <c r="C17" s="384">
        <f>AVERAGEIFS('Degrémont Entrée'!$B$14:$B$379,'Degrémont Entrée'!$B$14:$B$379,"&lt;&gt;",'Degrémont Entrée'!$A$14:$A$379,"&gt;="&amp;A17,'Degrémont Entrée'!$A$14:$A$379,"&lt;="&amp;EOMONTH(A17,0))</f>
        <v>752.35714285714289</v>
      </c>
      <c r="D17" s="649">
        <f>SUMIFS('Degrémont Entrée'!$G$14:$G$379,'Degrémont Entrée'!$G$14:$G$379,"&lt;&gt;",'Degrémont Entrée'!$A$14:$A$379,"&gt;="&amp;A17,'Degrémont Entrée'!$A$14:$A$379,"&lt;="&amp;EOMONTH(A17,0))</f>
        <v>224641.65108958367</v>
      </c>
      <c r="E17" s="652">
        <f>AVERAGEIFS('Degrémont Entrée'!$G$14:$G$379,'Degrémont Entrée'!$G$14:$G$379,"&lt;&gt;",'Degrémont Entrée'!$A$14:$A$379,"&gt;="&amp;A17,'Degrémont Entrée'!$A$14:$A$379,"&lt;="&amp;EOMONTH(A17,0))</f>
        <v>7246.5048738575379</v>
      </c>
      <c r="F17" s="649" t="e">
        <f>SUMIFS('Degrémont Entrée'!$P$14:$P$379,'Degrémont Entrée'!$P$14:$P$379,"&lt;&gt;",'Degrémont Entrée'!$A$14:$A$379,"&gt;="&amp;A17,'Degrémont Entrée'!$A$14:$A$379,"&lt;="&amp;EOMONTH(A17,0))</f>
        <v>#VALUE!</v>
      </c>
      <c r="G17" s="652" t="e">
        <f>AVERAGEIFS('Degrémont Entrée'!$P$14:$P$379,'Degrémont Entrée'!$P$14:$P$379,"&lt;&gt;",'Degrémont Entrée'!$A$14:$A$379,"&gt;="&amp;A17,'Degrémont Entrée'!$A$14:$A$379,"&lt;="&amp;EOMONTH(A17,0))</f>
        <v>#VALUE!</v>
      </c>
      <c r="H17" s="649">
        <f>SUMIFS('Degrémont Entrée'!$T$14:$T$379,'Degrémont Entrée'!$T$14:$T$379,"&lt;&gt;",'Degrémont Entrée'!$A$14:$A$379,"&gt;="&amp;A17,'Degrémont Entrée'!$A$14:$A$379,"&lt;="&amp;EOMONTH(A17,0))</f>
        <v>3287.2192</v>
      </c>
      <c r="I17" s="652">
        <f>AVERAGEIFS('Degrémont Entrée'!$T$14:$T$379,'Degrémont Entrée'!$T$14:$T$379,"&lt;&gt;",'Degrémont Entrée'!$A$14:$A$379,"&gt;="&amp;A17,'Degrémont Entrée'!$A$14:$A$379,"&lt;="&amp;EOMONTH(A17,0))</f>
        <v>106.03932903225807</v>
      </c>
      <c r="J17" s="655">
        <f>AVERAGEIFS('Degrémont Entrée'!$C$14:$C$379,'Degrémont Entrée'!$C$14:$C$379,"&lt;&gt;",'Degrémont Entrée'!$A$14:$A$379,"&gt;="&amp;A17,'Degrémont Entrée'!$A$14:$A$379,"&lt;="&amp;EOMONTH(A17,0))</f>
        <v>8.1917857142857144</v>
      </c>
      <c r="K17" s="646">
        <f>SUMIFS('Degrémont sortie'!$J$14:$J$379,'Degrémont sortie'!$J$14:$J$379,"&lt;&gt;",'Degrémont sortie'!$A$14:$A$379,"&gt;="&amp;A17,'Degrémont sortie'!$A$14:$A$379,"&lt;="&amp;EOMONTH(A17,0))</f>
        <v>8941.0570000000007</v>
      </c>
      <c r="L17" s="656">
        <f>AVERAGEIFS('Degrémont sortie'!$J$14:$J$379,'Degrémont sortie'!$J$14:$J$379,"&lt;&gt;",'Degrémont sortie'!$A$14:$A$379,"&gt;="&amp;A17,'Degrémont sortie'!$A$14:$A$379,"&lt;="&amp;EOMONTH(A17,0))</f>
        <v>288.42119354838712</v>
      </c>
      <c r="M17" s="646">
        <f>SUMIFS('Degrémont sortie'!$H$14:$H$379,'Degrémont sortie'!$H$14:$H$379,"&lt;&gt;",'Degrémont sortie'!$A$14:$A$379,"&gt;="&amp;A17,'Degrémont sortie'!$A$14:$A$379,"&lt;="&amp;EOMONTH(A17,0))</f>
        <v>0</v>
      </c>
      <c r="N17" s="664" t="e">
        <f>AVERAGEIFS('Degrémont sortie'!$H$14:$H$379,'Degrémont sortie'!$H$14:$H$379,"&lt;&gt;",'Degrémont sortie'!$A$14:$A$379,"&gt;="&amp;A17,'Degrémont sortie'!$A$14:$A$379,"&lt;="&amp;EOMONTH(A17,0))</f>
        <v>#DIV/0!</v>
      </c>
      <c r="O17" s="649" t="e">
        <f>SUMIFS('Degrémont sortie'!$N$14:$N$379,'Degrémont sortie'!$N$14:$N$379,"&lt;&gt;",'Degrémont sortie'!$A$14:$A$379,"&gt;="&amp;A17,'Degrémont sortie'!$A$14:$A$379,"&lt;="&amp;EOMONTH(A17,0))</f>
        <v>#VALUE!</v>
      </c>
      <c r="P17" s="665" t="e">
        <f>AVERAGEIFS('Degrémont sortie'!$N$14:$N$379,'Degrémont sortie'!$N$14:$N$379,"&lt;&gt;",'Degrémont sortie'!$A$14:$A$379,"&gt;="&amp;A17,'Degrémont sortie'!$A$14:$A$379,"&lt;="&amp;EOMONTH(A17,0))</f>
        <v>#VALUE!</v>
      </c>
      <c r="Q17" s="667">
        <f>AVERAGEIFS('Degrémont Entrée'!$C$14:$C$379,'Degrémont Entrée'!$C$14:$C$379,"&lt;&gt;",'Degrémont Entrée'!$A$14:$A$379,"&gt;="&amp;A17,'Degrémont Entrée'!$A$14:$A$379,"&lt;="&amp;EOMONTH(A17,0))</f>
        <v>8.1917857142857144</v>
      </c>
      <c r="R17" s="640"/>
      <c r="S17" s="599"/>
      <c r="T17" s="599"/>
      <c r="U17" s="599"/>
      <c r="V17" s="599"/>
      <c r="W17" s="599"/>
      <c r="X17" s="599"/>
      <c r="Y17" s="599"/>
      <c r="Z17" s="599"/>
    </row>
    <row r="18" spans="1:26">
      <c r="A18" s="642">
        <f t="shared" si="0"/>
        <v>43678</v>
      </c>
      <c r="B18" s="646">
        <f>SUMIFS('Degrémont Entrée'!$B$14:$B$379,'Degrémont Entrée'!$B$14:$B$379,"&lt;&gt;",'Degrémont Entrée'!$A$14:$A$379,"&gt;="&amp;A18,'Degrémont Entrée'!$A$14:$A$379,"&lt;="&amp;EOMONTH(A18,0))</f>
        <v>13011</v>
      </c>
      <c r="C18" s="384">
        <f>AVERAGEIFS('Degrémont Entrée'!$B$14:$B$379,'Degrémont Entrée'!$B$14:$B$379,"&lt;&gt;",'Degrémont Entrée'!$A$14:$A$379,"&gt;="&amp;A18,'Degrémont Entrée'!$A$14:$A$379,"&lt;="&amp;EOMONTH(A18,0))</f>
        <v>650.54999999999995</v>
      </c>
      <c r="D18" s="649">
        <f>SUMIFS('Degrémont Entrée'!$G$14:$G$379,'Degrémont Entrée'!$G$14:$G$379,"&lt;&gt;",'Degrémont Entrée'!$A$14:$A$379,"&gt;="&amp;A18,'Degrémont Entrée'!$A$14:$A$379,"&lt;="&amp;EOMONTH(A18,0))</f>
        <v>305869.79930595722</v>
      </c>
      <c r="E18" s="652">
        <f>AVERAGEIFS('Degrémont Entrée'!$G$14:$G$379,'Degrémont Entrée'!$G$14:$G$379,"&lt;&gt;",'Degrémont Entrée'!$A$14:$A$379,"&gt;="&amp;A18,'Degrémont Entrée'!$A$14:$A$379,"&lt;="&amp;EOMONTH(A18,0))</f>
        <v>9866.7677195470078</v>
      </c>
      <c r="F18" s="649" t="e">
        <f>SUMIFS('Degrémont Entrée'!$P$14:$P$379,'Degrémont Entrée'!$P$14:$P$379,"&lt;&gt;",'Degrémont Entrée'!$A$14:$A$379,"&gt;="&amp;A18,'Degrémont Entrée'!$A$14:$A$379,"&lt;="&amp;EOMONTH(A18,0))</f>
        <v>#VALUE!</v>
      </c>
      <c r="G18" s="652" t="e">
        <f>AVERAGEIFS('Degrémont Entrée'!$P$14:$P$379,'Degrémont Entrée'!$P$14:$P$379,"&lt;&gt;",'Degrémont Entrée'!$A$14:$A$379,"&gt;="&amp;A18,'Degrémont Entrée'!$A$14:$A$379,"&lt;="&amp;EOMONTH(A18,0))</f>
        <v>#VALUE!</v>
      </c>
      <c r="H18" s="649" t="e">
        <f>SUMIFS('Degrémont Entrée'!$T$14:$T$379,'Degrémont Entrée'!$T$14:$T$379,"&lt;&gt;",'Degrémont Entrée'!$A$14:$A$379,"&gt;="&amp;A18,'Degrémont Entrée'!$A$14:$A$379,"&lt;="&amp;EOMONTH(A18,0))</f>
        <v>#VALUE!</v>
      </c>
      <c r="I18" s="652" t="e">
        <f>AVERAGEIFS('Degrémont Entrée'!$T$14:$T$379,'Degrémont Entrée'!$T$14:$T$379,"&lt;&gt;",'Degrémont Entrée'!$A$14:$A$379,"&gt;="&amp;A18,'Degrémont Entrée'!$A$14:$A$379,"&lt;="&amp;EOMONTH(A18,0))</f>
        <v>#VALUE!</v>
      </c>
      <c r="J18" s="655">
        <f>AVERAGEIFS('Degrémont Entrée'!$C$14:$C$379,'Degrémont Entrée'!$C$14:$C$379,"&lt;&gt;",'Degrémont Entrée'!$A$14:$A$379,"&gt;="&amp;A18,'Degrémont Entrée'!$A$14:$A$379,"&lt;="&amp;EOMONTH(A18,0))</f>
        <v>7.956999999999999</v>
      </c>
      <c r="K18" s="646">
        <f>SUMIFS('Degrémont sortie'!$J$14:$J$379,'Degrémont sortie'!$J$14:$J$379,"&lt;&gt;",'Degrémont sortie'!$A$14:$A$379,"&gt;="&amp;A18,'Degrémont sortie'!$A$14:$A$379,"&lt;="&amp;EOMONTH(A18,0))</f>
        <v>14695.401999999996</v>
      </c>
      <c r="L18" s="656">
        <f>AVERAGEIFS('Degrémont sortie'!$J$14:$J$379,'Degrémont sortie'!$J$14:$J$379,"&lt;&gt;",'Degrémont sortie'!$A$14:$A$379,"&gt;="&amp;A18,'Degrémont sortie'!$A$14:$A$379,"&lt;="&amp;EOMONTH(A18,0))</f>
        <v>474.04522580645147</v>
      </c>
      <c r="M18" s="646">
        <f>SUMIFS('Degrémont sortie'!$H$14:$H$379,'Degrémont sortie'!$H$14:$H$379,"&lt;&gt;",'Degrémont sortie'!$A$14:$A$379,"&gt;="&amp;A18,'Degrémont sortie'!$A$14:$A$379,"&lt;="&amp;EOMONTH(A18,0))</f>
        <v>0</v>
      </c>
      <c r="N18" s="664" t="e">
        <f>AVERAGEIFS('Degrémont sortie'!$H$14:$H$379,'Degrémont sortie'!$H$14:$H$379,"&lt;&gt;",'Degrémont sortie'!$A$14:$A$379,"&gt;="&amp;A18,'Degrémont sortie'!$A$14:$A$379,"&lt;="&amp;EOMONTH(A18,0))</f>
        <v>#DIV/0!</v>
      </c>
      <c r="O18" s="649" t="e">
        <f>SUMIFS('Degrémont sortie'!$N$14:$N$379,'Degrémont sortie'!$N$14:$N$379,"&lt;&gt;",'Degrémont sortie'!$A$14:$A$379,"&gt;="&amp;A18,'Degrémont sortie'!$A$14:$A$379,"&lt;="&amp;EOMONTH(A18,0))</f>
        <v>#VALUE!</v>
      </c>
      <c r="P18" s="665" t="e">
        <f>AVERAGEIFS('Degrémont sortie'!$N$14:$N$379,'Degrémont sortie'!$N$14:$N$379,"&lt;&gt;",'Degrémont sortie'!$A$14:$A$379,"&gt;="&amp;A18,'Degrémont sortie'!$A$14:$A$379,"&lt;="&amp;EOMONTH(A18,0))</f>
        <v>#VALUE!</v>
      </c>
      <c r="Q18" s="667">
        <f>AVERAGEIFS('Degrémont Entrée'!$C$14:$C$379,'Degrémont Entrée'!$C$14:$C$379,"&lt;&gt;",'Degrémont Entrée'!$A$14:$A$379,"&gt;="&amp;A18,'Degrémont Entrée'!$A$14:$A$379,"&lt;="&amp;EOMONTH(A18,0))</f>
        <v>7.956999999999999</v>
      </c>
      <c r="R18" s="640"/>
      <c r="S18" s="599"/>
      <c r="T18" s="599"/>
      <c r="U18" s="599"/>
      <c r="V18" s="599"/>
      <c r="W18" s="599"/>
      <c r="X18" s="599"/>
      <c r="Y18" s="599"/>
      <c r="Z18" s="599"/>
    </row>
    <row r="19" spans="1:26">
      <c r="A19" s="642">
        <f t="shared" si="0"/>
        <v>43709</v>
      </c>
      <c r="B19" s="646">
        <f>SUMIFS('Degrémont Entrée'!$B$14:$B$379,'Degrémont Entrée'!$B$14:$B$379,"&lt;&gt;",'Degrémont Entrée'!$A$14:$A$379,"&gt;="&amp;A19,'Degrémont Entrée'!$A$14:$A$379,"&lt;="&amp;EOMONTH(A19,0))</f>
        <v>24428</v>
      </c>
      <c r="C19" s="384">
        <f>AVERAGEIFS('Degrémont Entrée'!$B$14:$B$379,'Degrémont Entrée'!$B$14:$B$379,"&lt;&gt;",'Degrémont Entrée'!$A$14:$A$379,"&gt;="&amp;A19,'Degrémont Entrée'!$A$14:$A$379,"&lt;="&amp;EOMONTH(A19,0))</f>
        <v>1017.8333333333334</v>
      </c>
      <c r="D19" s="649">
        <f>SUMIFS('Degrémont Entrée'!$G$14:$G$379,'Degrémont Entrée'!$G$14:$G$379,"&lt;&gt;",'Degrémont Entrée'!$A$14:$A$379,"&gt;="&amp;A19,'Degrémont Entrée'!$A$14:$A$379,"&lt;="&amp;EOMONTH(A19,0))</f>
        <v>180914.6578178732</v>
      </c>
      <c r="E19" s="652">
        <f>AVERAGEIFS('Degrémont Entrée'!$G$14:$G$379,'Degrémont Entrée'!$G$14:$G$379,"&lt;&gt;",'Degrémont Entrée'!$A$14:$A$379,"&gt;="&amp;A19,'Degrémont Entrée'!$A$14:$A$379,"&lt;="&amp;EOMONTH(A19,0))</f>
        <v>6030.4885939291071</v>
      </c>
      <c r="F19" s="649">
        <f>SUMIFS('Degrémont Entrée'!$P$14:$P$379,'Degrémont Entrée'!$P$14:$P$379,"&lt;&gt;",'Degrémont Entrée'!$A$14:$A$379,"&gt;="&amp;A19,'Degrémont Entrée'!$A$14:$A$379,"&lt;="&amp;EOMONTH(A19,0))</f>
        <v>14398.293000000001</v>
      </c>
      <c r="G19" s="652">
        <f>AVERAGEIFS('Degrémont Entrée'!$P$14:$P$379,'Degrémont Entrée'!$P$14:$P$379,"&lt;&gt;",'Degrémont Entrée'!$A$14:$A$379,"&gt;="&amp;A19,'Degrémont Entrée'!$A$14:$A$379,"&lt;="&amp;EOMONTH(A19,0))</f>
        <v>479.94310000000007</v>
      </c>
      <c r="H19" s="649">
        <f>SUMIFS('Degrémont Entrée'!$T$14:$T$379,'Degrémont Entrée'!$T$14:$T$379,"&lt;&gt;",'Degrémont Entrée'!$A$14:$A$379,"&gt;="&amp;A19,'Degrémont Entrée'!$A$14:$A$379,"&lt;="&amp;EOMONTH(A19,0))</f>
        <v>8729.515400000002</v>
      </c>
      <c r="I19" s="652">
        <f>AVERAGEIFS('Degrémont Entrée'!$T$14:$T$379,'Degrémont Entrée'!$T$14:$T$379,"&lt;&gt;",'Degrémont Entrée'!$A$14:$A$379,"&gt;="&amp;A19,'Degrémont Entrée'!$A$14:$A$379,"&lt;="&amp;EOMONTH(A19,0))</f>
        <v>290.98384666666675</v>
      </c>
      <c r="J19" s="655">
        <f>AVERAGEIFS('Degrémont Entrée'!$C$14:$C$379,'Degrémont Entrée'!$C$14:$C$379,"&lt;&gt;",'Degrémont Entrée'!$A$14:$A$379,"&gt;="&amp;A19,'Degrémont Entrée'!$A$14:$A$379,"&lt;="&amp;EOMONTH(A19,0))</f>
        <v>7.8258333333333345</v>
      </c>
      <c r="K19" s="646">
        <f>SUMIFS('Degrémont sortie'!$J$14:$J$379,'Degrémont sortie'!$J$14:$J$379,"&lt;&gt;",'Degrémont sortie'!$A$14:$A$379,"&gt;="&amp;A19,'Degrémont sortie'!$A$14:$A$379,"&lt;="&amp;EOMONTH(A19,0))</f>
        <v>12898.946999999998</v>
      </c>
      <c r="L19" s="656">
        <f>AVERAGEIFS('Degrémont sortie'!$J$14:$J$379,'Degrémont sortie'!$J$14:$J$379,"&lt;&gt;",'Degrémont sortie'!$A$14:$A$379,"&gt;="&amp;A19,'Degrémont sortie'!$A$14:$A$379,"&lt;="&amp;EOMONTH(A19,0))</f>
        <v>429.96489999999994</v>
      </c>
      <c r="M19" s="646">
        <f>SUMIFS('Degrémont sortie'!$H$14:$H$379,'Degrémont sortie'!$H$14:$H$379,"&lt;&gt;",'Degrémont sortie'!$A$14:$A$379,"&gt;="&amp;A19,'Degrémont sortie'!$A$14:$A$379,"&lt;="&amp;EOMONTH(A19,0))</f>
        <v>0</v>
      </c>
      <c r="N19" s="664" t="e">
        <f>AVERAGEIFS('Degrémont sortie'!$H$14:$H$379,'Degrémont sortie'!$H$14:$H$379,"&lt;&gt;",'Degrémont sortie'!$A$14:$A$379,"&gt;="&amp;A19,'Degrémont sortie'!$A$14:$A$379,"&lt;="&amp;EOMONTH(A19,0))</f>
        <v>#DIV/0!</v>
      </c>
      <c r="O19" s="649" t="e">
        <f>SUMIFS('Degrémont sortie'!$N$14:$N$379,'Degrémont sortie'!$N$14:$N$379,"&lt;&gt;",'Degrémont sortie'!$A$14:$A$379,"&gt;="&amp;A19,'Degrémont sortie'!$A$14:$A$379,"&lt;="&amp;EOMONTH(A19,0))</f>
        <v>#VALUE!</v>
      </c>
      <c r="P19" s="665" t="e">
        <f>AVERAGEIFS('Degrémont sortie'!$N$14:$N$379,'Degrémont sortie'!$N$14:$N$379,"&lt;&gt;",'Degrémont sortie'!$A$14:$A$379,"&gt;="&amp;A19,'Degrémont sortie'!$A$14:$A$379,"&lt;="&amp;EOMONTH(A19,0))</f>
        <v>#VALUE!</v>
      </c>
      <c r="Q19" s="667">
        <f>AVERAGEIFS('Degrémont Entrée'!$C$14:$C$379,'Degrémont Entrée'!$C$14:$C$379,"&lt;&gt;",'Degrémont Entrée'!$A$14:$A$379,"&gt;="&amp;A19,'Degrémont Entrée'!$A$14:$A$379,"&lt;="&amp;EOMONTH(A19,0))</f>
        <v>7.8258333333333345</v>
      </c>
      <c r="R19" s="640"/>
      <c r="S19" s="599"/>
      <c r="T19" s="599"/>
      <c r="U19" s="599"/>
      <c r="V19" s="599"/>
      <c r="W19" s="599"/>
      <c r="X19" s="599"/>
      <c r="Y19" s="599"/>
      <c r="Z19" s="599"/>
    </row>
    <row r="20" spans="1:26">
      <c r="A20" s="642">
        <f t="shared" si="0"/>
        <v>43739</v>
      </c>
      <c r="B20" s="646">
        <f>SUMIFS('Degrémont Entrée'!$B$14:$B$379,'Degrémont Entrée'!$B$14:$B$379,"&lt;&gt;",'Degrémont Entrée'!$A$14:$A$379,"&gt;="&amp;A20,'Degrémont Entrée'!$A$14:$A$379,"&lt;="&amp;EOMONTH(A20,0))</f>
        <v>31866</v>
      </c>
      <c r="C20" s="384">
        <f>AVERAGEIFS('Degrémont Entrée'!$B$14:$B$379,'Degrémont Entrée'!$B$14:$B$379,"&lt;&gt;",'Degrémont Entrée'!$A$14:$A$379,"&gt;="&amp;A20,'Degrémont Entrée'!$A$14:$A$379,"&lt;="&amp;EOMONTH(A20,0))</f>
        <v>1180.2222222222222</v>
      </c>
      <c r="D20" s="649">
        <f>SUMIFS('Degrémont Entrée'!$G$14:$G$379,'Degrémont Entrée'!$G$14:$G$379,"&lt;&gt;",'Degrémont Entrée'!$A$14:$A$379,"&gt;="&amp;A20,'Degrémont Entrée'!$A$14:$A$379,"&lt;="&amp;EOMONTH(A20,0))</f>
        <v>100908.07020577681</v>
      </c>
      <c r="E20" s="652">
        <f>AVERAGEIFS('Degrémont Entrée'!$G$14:$G$379,'Degrémont Entrée'!$G$14:$G$379,"&lt;&gt;",'Degrémont Entrée'!$A$14:$A$379,"&gt;="&amp;A20,'Degrémont Entrée'!$A$14:$A$379,"&lt;="&amp;EOMONTH(A20,0))</f>
        <v>3255.0990388960258</v>
      </c>
      <c r="F20" s="649">
        <f>SUMIFS('Degrémont Entrée'!$P$14:$P$379,'Degrémont Entrée'!$P$14:$P$379,"&lt;&gt;",'Degrémont Entrée'!$A$14:$A$379,"&gt;="&amp;A20,'Degrémont Entrée'!$A$14:$A$379,"&lt;="&amp;EOMONTH(A20,0))</f>
        <v>17133.896000000001</v>
      </c>
      <c r="G20" s="652">
        <f>AVERAGEIFS('Degrémont Entrée'!$P$14:$P$379,'Degrémont Entrée'!$P$14:$P$379,"&lt;&gt;",'Degrémont Entrée'!$A$14:$A$379,"&gt;="&amp;A20,'Degrémont Entrée'!$A$14:$A$379,"&lt;="&amp;EOMONTH(A20,0))</f>
        <v>552.70632258064518</v>
      </c>
      <c r="H20" s="649">
        <f>SUMIFS('Degrémont Entrée'!$T$14:$T$379,'Degrémont Entrée'!$T$14:$T$379,"&lt;&gt;",'Degrémont Entrée'!$A$14:$A$379,"&gt;="&amp;A20,'Degrémont Entrée'!$A$14:$A$379,"&lt;="&amp;EOMONTH(A20,0))</f>
        <v>5093.0931999999993</v>
      </c>
      <c r="I20" s="652">
        <f>AVERAGEIFS('Degrémont Entrée'!$T$14:$T$379,'Degrémont Entrée'!$T$14:$T$379,"&lt;&gt;",'Degrémont Entrée'!$A$14:$A$379,"&gt;="&amp;A20,'Degrémont Entrée'!$A$14:$A$379,"&lt;="&amp;EOMONTH(A20,0))</f>
        <v>164.29332903225804</v>
      </c>
      <c r="J20" s="655">
        <f>AVERAGEIFS('Degrémont Entrée'!$C$14:$C$379,'Degrémont Entrée'!$C$14:$C$379,"&lt;&gt;",'Degrémont Entrée'!$A$14:$A$379,"&gt;="&amp;A20,'Degrémont Entrée'!$A$14:$A$379,"&lt;="&amp;EOMONTH(A20,0))</f>
        <v>7.909259259259259</v>
      </c>
      <c r="K20" s="646">
        <f>SUMIFS('Degrémont sortie'!$J$14:$J$379,'Degrémont sortie'!$J$14:$J$379,"&lt;&gt;",'Degrémont sortie'!$A$14:$A$379,"&gt;="&amp;A20,'Degrémont sortie'!$A$14:$A$379,"&lt;="&amp;EOMONTH(A20,0))</f>
        <v>13474.284</v>
      </c>
      <c r="L20" s="656">
        <f>AVERAGEIFS('Degrémont sortie'!$J$14:$J$379,'Degrémont sortie'!$J$14:$J$379,"&lt;&gt;",'Degrémont sortie'!$A$14:$A$379,"&gt;="&amp;A20,'Degrémont sortie'!$A$14:$A$379,"&lt;="&amp;EOMONTH(A20,0))</f>
        <v>434.65432258064516</v>
      </c>
      <c r="M20" s="646">
        <f>SUMIFS('Degrémont sortie'!$H$14:$H$379,'Degrémont sortie'!$H$14:$H$379,"&lt;&gt;",'Degrémont sortie'!$A$14:$A$379,"&gt;="&amp;A20,'Degrémont sortie'!$A$14:$A$379,"&lt;="&amp;EOMONTH(A20,0))</f>
        <v>0</v>
      </c>
      <c r="N20" s="664" t="e">
        <f>AVERAGEIFS('Degrémont sortie'!$H$14:$H$379,'Degrémont sortie'!$H$14:$H$379,"&lt;&gt;",'Degrémont sortie'!$A$14:$A$379,"&gt;="&amp;A20,'Degrémont sortie'!$A$14:$A$379,"&lt;="&amp;EOMONTH(A20,0))</f>
        <v>#DIV/0!</v>
      </c>
      <c r="O20" s="649" t="e">
        <f>SUMIFS('Degrémont sortie'!$N$14:$N$379,'Degrémont sortie'!$N$14:$N$379,"&lt;&gt;",'Degrémont sortie'!$A$14:$A$379,"&gt;="&amp;A20,'Degrémont sortie'!$A$14:$A$379,"&lt;="&amp;EOMONTH(A20,0))</f>
        <v>#VALUE!</v>
      </c>
      <c r="P20" s="668" t="e">
        <f>AVERAGEIFS('Degrémont sortie'!$N$14:$N$379,'Degrémont sortie'!$N$14:$N$379,"&lt;&gt;",'Degrémont sortie'!$A$14:$A$379,"&gt;="&amp;A20,'Degrémont sortie'!$A$14:$A$379,"&lt;="&amp;EOMONTH(A20,0))</f>
        <v>#VALUE!</v>
      </c>
      <c r="Q20" s="669">
        <f>AVERAGEIFS('Degrémont Entrée'!$C$14:$C$379,'Degrémont Entrée'!$C$14:$C$379,"&lt;&gt;",'Degrémont Entrée'!$A$14:$A$379,"&gt;="&amp;A20,'Degrémont Entrée'!$A$14:$A$379,"&lt;="&amp;EOMONTH(A20,0))</f>
        <v>7.909259259259259</v>
      </c>
      <c r="R20" s="640"/>
      <c r="S20" s="599"/>
      <c r="T20" s="599"/>
      <c r="U20" s="599"/>
      <c r="V20" s="599"/>
      <c r="W20" s="599"/>
      <c r="X20" s="599"/>
      <c r="Y20" s="599"/>
      <c r="Z20" s="599"/>
    </row>
    <row r="21" spans="1:26" ht="15.75" customHeight="1">
      <c r="A21" s="642">
        <f t="shared" si="0"/>
        <v>43770</v>
      </c>
      <c r="B21" s="646">
        <f>SUMIFS('Degrémont Entrée'!$B$14:$B$379,'Degrémont Entrée'!$B$14:$B$379,"&lt;&gt;",'Degrémont Entrée'!$A$14:$A$379,"&gt;="&amp;A21,'Degrémont Entrée'!$A$14:$A$379,"&lt;="&amp;EOMONTH(A21,0))</f>
        <v>13472</v>
      </c>
      <c r="C21" s="384">
        <f>AVERAGEIFS('Degrémont Entrée'!$B$14:$B$379,'Degrémont Entrée'!$B$14:$B$379,"&lt;&gt;",'Degrémont Entrée'!$A$14:$A$379,"&gt;="&amp;A21,'Degrémont Entrée'!$A$14:$A$379,"&lt;="&amp;EOMONTH(A21,0))</f>
        <v>641.52380952380952</v>
      </c>
      <c r="D21" s="649">
        <f>SUMIFS('Degrémont Entrée'!$G$14:$G$379,'Degrémont Entrée'!$G$14:$G$379,"&lt;&gt;",'Degrémont Entrée'!$A$14:$A$379,"&gt;="&amp;A21,'Degrémont Entrée'!$A$14:$A$379,"&lt;="&amp;EOMONTH(A21,0))</f>
        <v>218513.74860956619</v>
      </c>
      <c r="E21" s="652">
        <f>AVERAGEIFS('Degrémont Entrée'!$G$14:$G$379,'Degrémont Entrée'!$G$14:$G$379,"&lt;&gt;",'Degrémont Entrée'!$A$14:$A$379,"&gt;="&amp;A21,'Degrémont Entrée'!$A$14:$A$379,"&lt;="&amp;EOMONTH(A21,0))</f>
        <v>7283.7916203188734</v>
      </c>
      <c r="F21" s="649" t="e">
        <f>SUMIFS('Degrémont Entrée'!$P$14:$P$379,'Degrémont Entrée'!$P$14:$P$379,"&lt;&gt;",'Degrémont Entrée'!$A$14:$A$379,"&gt;="&amp;A21,'Degrémont Entrée'!$A$14:$A$379,"&lt;="&amp;EOMONTH(A21,0))</f>
        <v>#VALUE!</v>
      </c>
      <c r="G21" s="652" t="e">
        <f>AVERAGEIFS('Degrémont Entrée'!$P$14:$P$379,'Degrémont Entrée'!$P$14:$P$379,"&lt;&gt;",'Degrémont Entrée'!$A$14:$A$379,"&gt;="&amp;A21,'Degrémont Entrée'!$A$14:$A$379,"&lt;="&amp;EOMONTH(A21,0))</f>
        <v>#VALUE!</v>
      </c>
      <c r="H21" s="649" t="e">
        <f>SUMIFS('Degrémont Entrée'!$T$14:$T$379,'Degrémont Entrée'!$T$14:$T$379,"&lt;&gt;",'Degrémont Entrée'!$A$14:$A$379,"&gt;="&amp;A21,'Degrémont Entrée'!$A$14:$A$379,"&lt;="&amp;EOMONTH(A21,0))</f>
        <v>#VALUE!</v>
      </c>
      <c r="I21" s="652" t="e">
        <f>AVERAGEIFS('Degrémont Entrée'!$T$14:$T$379,'Degrémont Entrée'!$T$14:$T$379,"&lt;&gt;",'Degrémont Entrée'!$A$14:$A$379,"&gt;="&amp;A21,'Degrémont Entrée'!$A$14:$A$379,"&lt;="&amp;EOMONTH(A21,0))</f>
        <v>#VALUE!</v>
      </c>
      <c r="J21" s="655">
        <f>AVERAGEIFS('Degrémont Entrée'!$C$14:$C$379,'Degrémont Entrée'!$C$14:$C$379,"&lt;&gt;",'Degrémont Entrée'!$A$14:$A$379,"&gt;="&amp;A21,'Degrémont Entrée'!$A$14:$A$379,"&lt;="&amp;EOMONTH(A21,0))</f>
        <v>7.7789473684210533</v>
      </c>
      <c r="K21" s="646">
        <f>SUMIFS('Degrémont sortie'!$J$14:$J$379,'Degrémont sortie'!$J$14:$J$379,"&lt;&gt;",'Degrémont sortie'!$A$14:$A$379,"&gt;="&amp;A21,'Degrémont sortie'!$A$14:$A$379,"&lt;="&amp;EOMONTH(A21,0))</f>
        <v>4616.0209999999997</v>
      </c>
      <c r="L21" s="656">
        <f>AVERAGEIFS('Degrémont sortie'!$J$14:$J$379,'Degrémont sortie'!$J$14:$J$379,"&lt;&gt;",'Degrémont sortie'!$A$14:$A$379,"&gt;="&amp;A21,'Degrémont sortie'!$A$14:$A$379,"&lt;="&amp;EOMONTH(A21,0))</f>
        <v>153.86736666666667</v>
      </c>
      <c r="M21" s="646">
        <f>SUMIFS('Degrémont sortie'!$H$14:$H$379,'Degrémont sortie'!$H$14:$H$379,"&lt;&gt;",'Degrémont sortie'!$A$14:$A$379,"&gt;="&amp;A21,'Degrémont sortie'!$A$14:$A$379,"&lt;="&amp;EOMONTH(A21,0))</f>
        <v>0</v>
      </c>
      <c r="N21" s="664" t="e">
        <f>AVERAGEIFS('Degrémont sortie'!$H$14:$H$379,'Degrémont sortie'!$H$14:$H$379,"&lt;&gt;",'Degrémont sortie'!$A$14:$A$379,"&gt;="&amp;A21,'Degrémont sortie'!$A$14:$A$379,"&lt;="&amp;EOMONTH(A21,0))</f>
        <v>#DIV/0!</v>
      </c>
      <c r="O21" s="649" t="e">
        <f>SUMIFS('Degrémont sortie'!$N$14:$N$379,'Degrémont sortie'!$N$14:$N$379,"&lt;&gt;",'Degrémont sortie'!$A$14:$A$379,"&gt;="&amp;A21,'Degrémont sortie'!$A$14:$A$379,"&lt;="&amp;EOMONTH(A21,0))</f>
        <v>#VALUE!</v>
      </c>
      <c r="P21" s="668" t="e">
        <f>AVERAGEIFS('Degrémont sortie'!$N$14:$N$379,'Degrémont sortie'!$N$14:$N$379,"&lt;&gt;",'Degrémont sortie'!$A$14:$A$379,"&gt;="&amp;A21,'Degrémont sortie'!$A$14:$A$379,"&lt;="&amp;EOMONTH(A21,0))</f>
        <v>#VALUE!</v>
      </c>
      <c r="Q21" s="669">
        <f>AVERAGEIFS('Degrémont Entrée'!$C$14:$C$379,'Degrémont Entrée'!$C$14:$C$379,"&lt;&gt;",'Degrémont Entrée'!$A$14:$A$379,"&gt;="&amp;A21,'Degrémont Entrée'!$A$14:$A$379,"&lt;="&amp;EOMONTH(A21,0))</f>
        <v>7.7789473684210533</v>
      </c>
      <c r="R21" s="640"/>
      <c r="S21" s="599"/>
      <c r="T21" s="599"/>
      <c r="U21" s="599"/>
      <c r="V21" s="599"/>
      <c r="W21" s="599"/>
      <c r="X21" s="599"/>
      <c r="Y21" s="599"/>
      <c r="Z21" s="599"/>
    </row>
    <row r="22" spans="1:26" ht="15.75" customHeight="1">
      <c r="A22" s="670">
        <f t="shared" si="0"/>
        <v>43800</v>
      </c>
      <c r="B22" s="646">
        <f>SUMIFS('Degrémont Entrée'!$B$14:$B$379,'Degrémont Entrée'!$B$14:$B$379,"&lt;&gt;",'Degrémont Entrée'!$A$14:$A$379,"&gt;="&amp;A22,'Degrémont Entrée'!$A$14:$A$379,"&lt;="&amp;EOMONTH(A22,0))</f>
        <v>10156</v>
      </c>
      <c r="C22" s="384">
        <f>AVERAGEIFS('Degrémont Entrée'!$B$14:$B$379,'Degrémont Entrée'!$B$14:$B$379,"&lt;&gt;",'Degrémont Entrée'!$A$14:$A$379,"&gt;="&amp;A22,'Degrémont Entrée'!$A$14:$A$379,"&lt;="&amp;EOMONTH(A22,0))</f>
        <v>597.41176470588232</v>
      </c>
      <c r="D22" s="649">
        <f>SUMIFS('Degrémont Entrée'!$G$14:$G$379,'Degrémont Entrée'!$G$14:$G$379,"&lt;&gt;",'Degrémont Entrée'!$A$14:$A$379,"&gt;="&amp;A22,'Degrémont Entrée'!$A$14:$A$379,"&lt;="&amp;EOMONTH(A22,0))</f>
        <v>162816.28205128209</v>
      </c>
      <c r="E22" s="652">
        <f>AVERAGEIFS('Degrémont Entrée'!$G$14:$G$379,'Degrémont Entrée'!$G$14:$G$379,"&lt;&gt;",'Degrémont Entrée'!$A$14:$A$379,"&gt;="&amp;A22,'Degrémont Entrée'!$A$14:$A$379,"&lt;="&amp;EOMONTH(A22,0))</f>
        <v>5252.1381306865187</v>
      </c>
      <c r="F22" s="649" t="e">
        <f>SUMIFS('Degrémont Entrée'!$P$14:$P$379,'Degrémont Entrée'!$P$14:$P$379,"&lt;&gt;",'Degrémont Entrée'!$A$14:$A$379,"&gt;="&amp;A22,'Degrémont Entrée'!$A$14:$A$379,"&lt;="&amp;EOMONTH(A22,0))</f>
        <v>#VALUE!</v>
      </c>
      <c r="G22" s="652" t="e">
        <f>AVERAGEIFS('Degrémont Entrée'!$P$14:$P$379,'Degrémont Entrée'!$P$14:$P$379,"&lt;&gt;",'Degrémont Entrée'!$A$14:$A$379,"&gt;="&amp;A22,'Degrémont Entrée'!$A$14:$A$379,"&lt;="&amp;EOMONTH(A22,0))</f>
        <v>#VALUE!</v>
      </c>
      <c r="H22" s="649" t="e">
        <f>SUMIFS('Degrémont Entrée'!$T$14:$T$379,'Degrémont Entrée'!$T$14:$T$379,"&lt;&gt;",'Degrémont Entrée'!$A$14:$A$379,"&gt;="&amp;A22,'Degrémont Entrée'!$A$14:$A$379,"&lt;="&amp;EOMONTH(A22,0))</f>
        <v>#VALUE!</v>
      </c>
      <c r="I22" s="652" t="e">
        <f>AVERAGEIFS('Degrémont Entrée'!$T$14:$T$379,'Degrémont Entrée'!$T$14:$T$379,"&lt;&gt;",'Degrémont Entrée'!$A$14:$A$379,"&gt;="&amp;A22,'Degrémont Entrée'!$A$14:$A$379,"&lt;="&amp;EOMONTH(A22,0))</f>
        <v>#VALUE!</v>
      </c>
      <c r="J22" s="655">
        <f>AVERAGEIFS('Degrémont Entrée'!$C$14:$C$379,'Degrémont Entrée'!$C$14:$C$379,"&lt;&gt;",'Degrémont Entrée'!$A$14:$A$379,"&gt;="&amp;A22,'Degrémont Entrée'!$A$14:$A$379,"&lt;="&amp;EOMONTH(A22,0))</f>
        <v>7.8899999999999988</v>
      </c>
      <c r="K22" s="646">
        <f>SUMIFS('Degrémont sortie'!$J$14:$J$379,'Degrémont sortie'!$J$14:$J$379,"&lt;&gt;",'Degrémont sortie'!$A$14:$A$379,"&gt;="&amp;A22,'Degrémont sortie'!$A$14:$A$379,"&lt;="&amp;EOMONTH(A22,0))</f>
        <v>4280.3609999999999</v>
      </c>
      <c r="L22" s="656">
        <f>AVERAGEIFS('Degrémont sortie'!$J$14:$J$379,'Degrémont sortie'!$J$14:$J$379,"&lt;&gt;",'Degrémont sortie'!$A$14:$A$379,"&gt;="&amp;A22,'Degrémont sortie'!$A$14:$A$379,"&lt;="&amp;EOMONTH(A22,0))</f>
        <v>138.07616129032257</v>
      </c>
      <c r="M22" s="646">
        <f>SUMIFS('Degrémont sortie'!$H$14:$H$379,'Degrémont sortie'!$H$14:$H$379,"&lt;&gt;",'Degrémont sortie'!$A$14:$A$379,"&gt;="&amp;A22,'Degrémont sortie'!$A$14:$A$379,"&lt;="&amp;EOMONTH(A22,0))</f>
        <v>0</v>
      </c>
      <c r="N22" s="664" t="e">
        <f>AVERAGEIFS('Degrémont sortie'!$H$14:$H$379,'Degrémont sortie'!$H$14:$H$379,"&lt;&gt;",'Degrémont sortie'!$A$14:$A$379,"&gt;="&amp;A22,'Degrémont sortie'!$A$14:$A$379,"&lt;="&amp;EOMONTH(A22,0))</f>
        <v>#DIV/0!</v>
      </c>
      <c r="O22" s="671" t="e">
        <f>SUMIFS('Degrémont sortie'!$N$14:$N$379,'Degrémont sortie'!$N$14:$N$379,"&lt;&gt;",'Degrémont sortie'!$A$14:$A$379,"&gt;="&amp;A22,'Degrémont sortie'!$A$14:$A$379,"&lt;="&amp;EOMONTH(A22,0))</f>
        <v>#VALUE!</v>
      </c>
      <c r="P22" s="672" t="e">
        <f>AVERAGEIFS('Degrémont sortie'!$N$14:$N$379,'Degrémont sortie'!$N$14:$N$379,"&lt;&gt;",'Degrémont sortie'!$A$14:$A$379,"&gt;="&amp;A22,'Degrémont sortie'!$A$14:$A$379,"&lt;="&amp;EOMONTH(A22,0))</f>
        <v>#VALUE!</v>
      </c>
      <c r="Q22" s="673">
        <f>AVERAGEIFS('Degrémont Entrée'!$C$14:$C$379,'Degrémont Entrée'!$C$14:$C$379,"&lt;&gt;",'Degrémont Entrée'!$A$14:$A$379,"&gt;="&amp;A22,'Degrémont Entrée'!$A$14:$A$379,"&lt;="&amp;EOMONTH(A22,0))</f>
        <v>7.8899999999999988</v>
      </c>
      <c r="R22" s="640"/>
      <c r="S22" s="599"/>
      <c r="T22" s="599"/>
      <c r="U22" s="599"/>
      <c r="V22" s="599"/>
      <c r="W22" s="599"/>
      <c r="X22" s="599"/>
      <c r="Y22" s="599"/>
      <c r="Z22" s="599"/>
    </row>
    <row r="23" spans="1:26" ht="15.75" customHeight="1">
      <c r="A23" s="674" t="s">
        <v>235</v>
      </c>
      <c r="B23" s="675">
        <f t="shared" ref="B23:Q23" si="1">AVERAGE(B11:B22)</f>
        <v>19540.25</v>
      </c>
      <c r="C23" s="676">
        <f t="shared" si="1"/>
        <v>851.25212645221609</v>
      </c>
      <c r="D23" s="675">
        <f t="shared" si="1"/>
        <v>170713.32506180112</v>
      </c>
      <c r="E23" s="676">
        <f t="shared" si="1"/>
        <v>5598.4428255296816</v>
      </c>
      <c r="F23" s="675" t="e">
        <f t="shared" si="1"/>
        <v>#VALUE!</v>
      </c>
      <c r="G23" s="676" t="e">
        <f t="shared" si="1"/>
        <v>#VALUE!</v>
      </c>
      <c r="H23" s="675" t="e">
        <f t="shared" si="1"/>
        <v>#VALUE!</v>
      </c>
      <c r="I23" s="676" t="e">
        <f t="shared" si="1"/>
        <v>#VALUE!</v>
      </c>
      <c r="J23" s="677">
        <f t="shared" si="1"/>
        <v>166.22595945729057</v>
      </c>
      <c r="K23" s="675">
        <f t="shared" si="1"/>
        <v>12471.849916666666</v>
      </c>
      <c r="L23" s="676">
        <f t="shared" si="1"/>
        <v>410.65959685739887</v>
      </c>
      <c r="M23" s="675">
        <f t="shared" si="1"/>
        <v>45.411341715219628</v>
      </c>
      <c r="N23" s="676" t="e">
        <f t="shared" si="1"/>
        <v>#DIV/0!</v>
      </c>
      <c r="O23" s="678" t="e">
        <f t="shared" si="1"/>
        <v>#VALUE!</v>
      </c>
      <c r="P23" s="679" t="e">
        <f t="shared" si="1"/>
        <v>#VALUE!</v>
      </c>
      <c r="Q23" s="677">
        <f t="shared" si="1"/>
        <v>166.22595945729057</v>
      </c>
      <c r="R23" s="595"/>
      <c r="S23" s="599"/>
      <c r="T23" s="599"/>
      <c r="U23" s="599"/>
      <c r="V23" s="599"/>
      <c r="W23" s="599"/>
      <c r="X23" s="599"/>
      <c r="Y23" s="599"/>
      <c r="Z23" s="599"/>
    </row>
    <row r="24" spans="1:26" ht="15.75" customHeight="1">
      <c r="A24" s="674" t="s">
        <v>236</v>
      </c>
      <c r="B24" s="680">
        <f>SUM(B11:B22)</f>
        <v>234483</v>
      </c>
      <c r="C24" s="681"/>
      <c r="D24" s="680">
        <f>SUM(D11:D22)</f>
        <v>2048559.9007416135</v>
      </c>
      <c r="E24" s="682"/>
      <c r="F24" s="680" t="e">
        <f>SUM(F11:F22)</f>
        <v>#VALUE!</v>
      </c>
      <c r="G24" s="682"/>
      <c r="H24" s="680" t="e">
        <f>SUM(H11:H22)</f>
        <v>#VALUE!</v>
      </c>
      <c r="I24" s="682"/>
      <c r="J24" s="683"/>
      <c r="K24" s="680">
        <f>SUM(K11:K22)</f>
        <v>149662.19899999999</v>
      </c>
      <c r="L24" s="682"/>
      <c r="M24" s="680">
        <f>SUM(M11:M22)</f>
        <v>544.9361005826355</v>
      </c>
      <c r="N24" s="682"/>
      <c r="O24" s="680" t="e">
        <f>SUM(O11:O22)</f>
        <v>#VALUE!</v>
      </c>
      <c r="P24" s="682"/>
      <c r="Q24" s="683"/>
      <c r="R24" s="595"/>
      <c r="S24" s="599"/>
      <c r="T24" s="599"/>
      <c r="U24" s="599"/>
      <c r="V24" s="599"/>
      <c r="W24" s="599"/>
      <c r="X24" s="599"/>
      <c r="Y24" s="599"/>
      <c r="Z24" s="599"/>
    </row>
    <row r="25" spans="1:26" ht="15.75" customHeight="1">
      <c r="A25" s="684"/>
      <c r="B25" s="685"/>
      <c r="C25" s="684"/>
      <c r="D25" s="685"/>
      <c r="E25" s="595"/>
      <c r="F25" s="685"/>
      <c r="G25" s="595"/>
      <c r="H25" s="685"/>
      <c r="I25" s="595"/>
      <c r="J25" s="595"/>
      <c r="K25" s="686"/>
      <c r="L25" s="595"/>
      <c r="M25" s="685"/>
      <c r="N25" s="595"/>
      <c r="O25" s="685"/>
      <c r="P25" s="595"/>
      <c r="Q25" s="595"/>
      <c r="R25" s="595"/>
      <c r="S25" s="599"/>
      <c r="T25" s="599"/>
      <c r="U25" s="599"/>
      <c r="V25" s="599"/>
      <c r="W25" s="599"/>
      <c r="X25" s="599"/>
      <c r="Y25" s="599"/>
      <c r="Z25" s="599"/>
    </row>
    <row r="26" spans="1:26" ht="15.75" customHeight="1">
      <c r="A26" s="595"/>
      <c r="B26" s="595"/>
      <c r="C26" s="595"/>
      <c r="D26" s="595"/>
      <c r="E26" s="593"/>
      <c r="F26" s="593"/>
      <c r="G26" s="1524" t="s">
        <v>221</v>
      </c>
      <c r="H26" s="1420"/>
      <c r="I26" s="1420"/>
      <c r="J26" s="1421"/>
      <c r="K26" s="1524" t="s">
        <v>222</v>
      </c>
      <c r="L26" s="1420"/>
      <c r="M26" s="1420"/>
      <c r="N26" s="1421"/>
      <c r="O26" s="595"/>
      <c r="P26" s="595"/>
      <c r="Q26" s="595"/>
      <c r="R26" s="595"/>
      <c r="S26" s="599"/>
      <c r="T26" s="599"/>
      <c r="U26" s="599"/>
      <c r="V26" s="599"/>
      <c r="W26" s="599"/>
      <c r="X26" s="599"/>
      <c r="Y26" s="599"/>
      <c r="Z26" s="599"/>
    </row>
    <row r="27" spans="1:26" ht="15.75" customHeight="1">
      <c r="A27" s="595"/>
      <c r="B27" s="595"/>
      <c r="C27" s="595"/>
      <c r="D27" s="595"/>
      <c r="E27" s="593"/>
      <c r="F27" s="593"/>
      <c r="G27" s="593"/>
      <c r="H27" s="593"/>
      <c r="I27" s="593"/>
      <c r="J27" s="604"/>
      <c r="K27" s="593"/>
      <c r="L27" s="593"/>
      <c r="M27" s="593"/>
      <c r="N27" s="593"/>
      <c r="O27" s="595"/>
      <c r="P27" s="595"/>
      <c r="Q27" s="595"/>
      <c r="R27" s="595"/>
      <c r="S27" s="599"/>
      <c r="T27" s="599"/>
      <c r="U27" s="599"/>
      <c r="V27" s="599"/>
      <c r="W27" s="599"/>
      <c r="X27" s="599"/>
      <c r="Y27" s="599"/>
      <c r="Z27" s="599"/>
    </row>
    <row r="28" spans="1:26" ht="15.75" customHeight="1">
      <c r="A28" s="595"/>
      <c r="B28" s="595"/>
      <c r="C28" s="595"/>
      <c r="D28" s="595"/>
      <c r="E28" s="1529" t="s">
        <v>223</v>
      </c>
      <c r="F28" s="687" t="s">
        <v>224</v>
      </c>
      <c r="G28" s="687" t="s">
        <v>225</v>
      </c>
      <c r="H28" s="687" t="s">
        <v>226</v>
      </c>
      <c r="I28" s="687" t="s">
        <v>227</v>
      </c>
      <c r="J28" s="688" t="s">
        <v>4</v>
      </c>
      <c r="K28" s="687" t="s">
        <v>225</v>
      </c>
      <c r="L28" s="687" t="s">
        <v>226</v>
      </c>
      <c r="M28" s="687" t="s">
        <v>227</v>
      </c>
      <c r="N28" s="688" t="s">
        <v>4</v>
      </c>
      <c r="O28" s="595"/>
      <c r="P28" s="595"/>
      <c r="Q28" s="595"/>
      <c r="R28" s="595"/>
      <c r="S28" s="599"/>
      <c r="T28" s="599"/>
      <c r="U28" s="599"/>
      <c r="V28" s="599"/>
      <c r="W28" s="599"/>
      <c r="X28" s="599"/>
      <c r="Y28" s="599"/>
      <c r="Z28" s="599"/>
    </row>
    <row r="29" spans="1:26" ht="15.75" customHeight="1">
      <c r="A29" s="595"/>
      <c r="B29" s="595"/>
      <c r="C29" s="595"/>
      <c r="D29" s="595"/>
      <c r="E29" s="1516"/>
      <c r="F29" s="689" t="s">
        <v>237</v>
      </c>
      <c r="G29" s="689" t="s">
        <v>150</v>
      </c>
      <c r="H29" s="689" t="s">
        <v>150</v>
      </c>
      <c r="I29" s="689" t="s">
        <v>150</v>
      </c>
      <c r="J29" s="690"/>
      <c r="K29" s="689" t="s">
        <v>150</v>
      </c>
      <c r="L29" s="689" t="s">
        <v>150</v>
      </c>
      <c r="M29" s="689" t="s">
        <v>150</v>
      </c>
      <c r="N29" s="691"/>
      <c r="O29" s="595"/>
      <c r="P29" s="595"/>
      <c r="Q29" s="595"/>
      <c r="R29" s="595"/>
      <c r="S29" s="599"/>
      <c r="T29" s="599"/>
      <c r="U29" s="599"/>
      <c r="V29" s="599"/>
      <c r="W29" s="599"/>
      <c r="X29" s="599"/>
      <c r="Y29" s="599"/>
      <c r="Z29" s="599"/>
    </row>
    <row r="30" spans="1:26" ht="15.75" customHeight="1">
      <c r="A30" s="595"/>
      <c r="B30" s="595"/>
      <c r="C30" s="595"/>
      <c r="D30" s="595"/>
      <c r="E30" s="692" t="s">
        <v>238</v>
      </c>
      <c r="F30" s="693">
        <f t="shared" ref="F30:F41" si="2">IF(COUNT(C11),C11,"")</f>
        <v>775.67857142857144</v>
      </c>
      <c r="G30" s="694">
        <f t="shared" ref="G30:G41" si="3">IF(COUNT(D11),(D11/B11)*1000,"")</f>
        <v>9842.6540247193425</v>
      </c>
      <c r="H30" s="694">
        <f t="shared" ref="H30:H41" si="4">IF(COUNT(F11),(F11/B11)*1000,"")</f>
        <v>884.67645840047885</v>
      </c>
      <c r="I30" s="694">
        <f t="shared" ref="I30:I41" si="5">IF(COUNT(H11),(H11/$B11)*1000,"")</f>
        <v>402.09657442792013</v>
      </c>
      <c r="J30" s="690"/>
      <c r="K30" s="695">
        <f t="shared" ref="K30:K41" si="6">IF(COUNT(K11),(K11/$B11)*1000,"")</f>
        <v>810.48828214927016</v>
      </c>
      <c r="L30" s="696">
        <f t="shared" ref="L30:L41" si="7">IF(COUNT(M11),(M11/$B11)*1000,"")</f>
        <v>25.090294239266793</v>
      </c>
      <c r="M30" s="697" t="str">
        <f t="shared" ref="M30:M41" si="8">IF(COUNT(O11),(O11/$B11)*1000,"")</f>
        <v/>
      </c>
      <c r="N30" s="698"/>
      <c r="O30" s="595"/>
      <c r="P30" s="595"/>
      <c r="Q30" s="595"/>
      <c r="R30" s="595"/>
      <c r="S30" s="599"/>
      <c r="T30" s="599"/>
      <c r="U30" s="599"/>
      <c r="V30" s="599"/>
      <c r="W30" s="599"/>
      <c r="X30" s="599"/>
      <c r="Y30" s="599"/>
      <c r="Z30" s="599"/>
    </row>
    <row r="31" spans="1:26" ht="15.75" customHeight="1">
      <c r="A31" s="595"/>
      <c r="B31" s="595"/>
      <c r="C31" s="595"/>
      <c r="D31" s="595"/>
      <c r="E31" s="699" t="s">
        <v>239</v>
      </c>
      <c r="F31" s="700">
        <f t="shared" si="2"/>
        <v>905.68</v>
      </c>
      <c r="G31" s="701">
        <f t="shared" si="3"/>
        <v>5069.8629975300855</v>
      </c>
      <c r="H31" s="701">
        <f t="shared" si="4"/>
        <v>816.40517622118216</v>
      </c>
      <c r="I31" s="702">
        <f t="shared" si="5"/>
        <v>217.47378323469664</v>
      </c>
      <c r="J31" s="690"/>
      <c r="K31" s="703">
        <f t="shared" si="6"/>
        <v>667.73275329034539</v>
      </c>
      <c r="L31" s="704">
        <f t="shared" si="7"/>
        <v>0</v>
      </c>
      <c r="M31" s="704" t="str">
        <f t="shared" si="8"/>
        <v/>
      </c>
      <c r="N31" s="705"/>
      <c r="O31" s="595"/>
      <c r="P31" s="595"/>
      <c r="Q31" s="595"/>
      <c r="R31" s="595"/>
      <c r="S31" s="599"/>
      <c r="T31" s="599"/>
      <c r="U31" s="599"/>
      <c r="V31" s="599"/>
      <c r="W31" s="599"/>
      <c r="X31" s="599"/>
      <c r="Y31" s="599"/>
      <c r="Z31" s="599"/>
    </row>
    <row r="32" spans="1:26" ht="15.75" customHeight="1">
      <c r="A32" s="595"/>
      <c r="B32" s="595"/>
      <c r="C32" s="595"/>
      <c r="D32" s="595"/>
      <c r="E32" s="699" t="s">
        <v>240</v>
      </c>
      <c r="F32" s="700">
        <f t="shared" si="2"/>
        <v>949.88461538461536</v>
      </c>
      <c r="G32" s="701">
        <f t="shared" si="3"/>
        <v>2378.0507562243429</v>
      </c>
      <c r="H32" s="701">
        <f t="shared" si="4"/>
        <v>898.64117099242844</v>
      </c>
      <c r="I32" s="701">
        <f t="shared" si="5"/>
        <v>103.63755921771872</v>
      </c>
      <c r="J32" s="690"/>
      <c r="K32" s="703">
        <f t="shared" si="6"/>
        <v>687.75875612422556</v>
      </c>
      <c r="L32" s="704">
        <f t="shared" si="7"/>
        <v>0</v>
      </c>
      <c r="M32" s="704" t="str">
        <f t="shared" si="8"/>
        <v/>
      </c>
      <c r="N32" s="705"/>
      <c r="O32" s="595"/>
      <c r="P32" s="595"/>
      <c r="Q32" s="595"/>
      <c r="R32" s="595"/>
      <c r="S32" s="599"/>
      <c r="T32" s="599"/>
      <c r="U32" s="599"/>
      <c r="V32" s="599"/>
      <c r="W32" s="599"/>
      <c r="X32" s="599"/>
      <c r="Y32" s="599"/>
      <c r="Z32" s="599"/>
    </row>
    <row r="33" spans="1:26" ht="15.75" customHeight="1">
      <c r="A33" s="595"/>
      <c r="B33" s="595"/>
      <c r="C33" s="595"/>
      <c r="D33" s="595"/>
      <c r="E33" s="699" t="s">
        <v>241</v>
      </c>
      <c r="F33" s="700">
        <f t="shared" si="2"/>
        <v>945.21739130434787</v>
      </c>
      <c r="G33" s="701">
        <f t="shared" si="3"/>
        <v>9137.729294220926</v>
      </c>
      <c r="H33" s="701" t="str">
        <f t="shared" si="4"/>
        <v/>
      </c>
      <c r="I33" s="701">
        <f t="shared" si="5"/>
        <v>399.4109061637534</v>
      </c>
      <c r="J33" s="690"/>
      <c r="K33" s="703">
        <f t="shared" si="6"/>
        <v>732.05676172953076</v>
      </c>
      <c r="L33" s="704">
        <f t="shared" si="7"/>
        <v>0</v>
      </c>
      <c r="M33" s="704" t="str">
        <f t="shared" si="8"/>
        <v/>
      </c>
      <c r="N33" s="705"/>
      <c r="O33" s="595"/>
      <c r="P33" s="595"/>
      <c r="Q33" s="595"/>
      <c r="R33" s="595"/>
      <c r="S33" s="599"/>
      <c r="T33" s="599"/>
      <c r="U33" s="599"/>
      <c r="V33" s="599"/>
      <c r="W33" s="599"/>
      <c r="X33" s="599"/>
      <c r="Y33" s="599"/>
      <c r="Z33" s="599"/>
    </row>
    <row r="34" spans="1:26" ht="15.75" customHeight="1">
      <c r="A34" s="595"/>
      <c r="B34" s="595"/>
      <c r="C34" s="595"/>
      <c r="D34" s="595"/>
      <c r="E34" s="699" t="s">
        <v>242</v>
      </c>
      <c r="F34" s="700">
        <f t="shared" si="2"/>
        <v>871.44444444444446</v>
      </c>
      <c r="G34" s="701">
        <f t="shared" si="3"/>
        <v>9102.7154624016439</v>
      </c>
      <c r="H34" s="701">
        <f t="shared" si="4"/>
        <v>673.32657571507502</v>
      </c>
      <c r="I34" s="701">
        <f t="shared" si="5"/>
        <v>273.16950146627562</v>
      </c>
      <c r="J34" s="690"/>
      <c r="K34" s="703">
        <f t="shared" si="6"/>
        <v>597.76212333715841</v>
      </c>
      <c r="L34" s="704">
        <f t="shared" si="7"/>
        <v>0</v>
      </c>
      <c r="M34" s="704" t="str">
        <f t="shared" si="8"/>
        <v/>
      </c>
      <c r="N34" s="705"/>
      <c r="O34" s="595"/>
      <c r="P34" s="595"/>
      <c r="Q34" s="595"/>
      <c r="R34" s="595"/>
      <c r="S34" s="599"/>
      <c r="T34" s="599"/>
      <c r="U34" s="599"/>
      <c r="V34" s="599"/>
      <c r="W34" s="599"/>
      <c r="X34" s="599"/>
      <c r="Y34" s="599"/>
      <c r="Z34" s="599"/>
    </row>
    <row r="35" spans="1:26" ht="15.75" customHeight="1">
      <c r="A35" s="595"/>
      <c r="B35" s="595"/>
      <c r="C35" s="595"/>
      <c r="D35" s="595"/>
      <c r="E35" s="699" t="s">
        <v>243</v>
      </c>
      <c r="F35" s="700">
        <f t="shared" si="2"/>
        <v>927.22222222222217</v>
      </c>
      <c r="G35" s="701">
        <f t="shared" si="3"/>
        <v>3281.5161420572267</v>
      </c>
      <c r="H35" s="701">
        <f t="shared" si="4"/>
        <v>779.80359496704637</v>
      </c>
      <c r="I35" s="701">
        <f t="shared" si="5"/>
        <v>64.924529658478107</v>
      </c>
      <c r="J35" s="690"/>
      <c r="K35" s="703">
        <f t="shared" si="6"/>
        <v>663.21689634511688</v>
      </c>
      <c r="L35" s="704">
        <f t="shared" si="7"/>
        <v>0</v>
      </c>
      <c r="M35" s="704" t="str">
        <f t="shared" si="8"/>
        <v/>
      </c>
      <c r="N35" s="705"/>
      <c r="O35" s="595"/>
      <c r="P35" s="595"/>
      <c r="Q35" s="595"/>
      <c r="R35" s="595"/>
      <c r="S35" s="599"/>
      <c r="T35" s="599"/>
      <c r="U35" s="599"/>
      <c r="V35" s="599"/>
      <c r="W35" s="599"/>
      <c r="X35" s="599"/>
      <c r="Y35" s="599"/>
      <c r="Z35" s="599"/>
    </row>
    <row r="36" spans="1:26" ht="15.75" customHeight="1">
      <c r="A36" s="595"/>
      <c r="B36" s="595"/>
      <c r="C36" s="595"/>
      <c r="D36" s="595"/>
      <c r="E36" s="699" t="s">
        <v>244</v>
      </c>
      <c r="F36" s="700">
        <f t="shared" si="2"/>
        <v>752.35714285714289</v>
      </c>
      <c r="G36" s="701">
        <f t="shared" si="3"/>
        <v>21327.413945654956</v>
      </c>
      <c r="H36" s="701" t="str">
        <f t="shared" si="4"/>
        <v/>
      </c>
      <c r="I36" s="701">
        <f t="shared" si="5"/>
        <v>312.08764834330202</v>
      </c>
      <c r="J36" s="690"/>
      <c r="K36" s="703">
        <f t="shared" si="6"/>
        <v>848.86138801860818</v>
      </c>
      <c r="L36" s="704">
        <f t="shared" si="7"/>
        <v>0</v>
      </c>
      <c r="M36" s="704" t="str">
        <f t="shared" si="8"/>
        <v/>
      </c>
      <c r="N36" s="705"/>
      <c r="O36" s="595"/>
      <c r="P36" s="595"/>
      <c r="Q36" s="595"/>
      <c r="R36" s="595"/>
      <c r="S36" s="599"/>
      <c r="T36" s="599"/>
      <c r="U36" s="599"/>
      <c r="V36" s="599"/>
      <c r="W36" s="599"/>
      <c r="X36" s="599"/>
      <c r="Y36" s="599"/>
      <c r="Z36" s="599"/>
    </row>
    <row r="37" spans="1:26" ht="15.75" customHeight="1">
      <c r="A37" s="595"/>
      <c r="B37" s="595"/>
      <c r="C37" s="595"/>
      <c r="D37" s="595"/>
      <c r="E37" s="699" t="s">
        <v>245</v>
      </c>
      <c r="F37" s="700">
        <f t="shared" si="2"/>
        <v>650.54999999999995</v>
      </c>
      <c r="G37" s="701">
        <f t="shared" si="3"/>
        <v>23508.554246864747</v>
      </c>
      <c r="H37" s="701" t="str">
        <f t="shared" si="4"/>
        <v/>
      </c>
      <c r="I37" s="701" t="str">
        <f t="shared" si="5"/>
        <v/>
      </c>
      <c r="J37" s="690"/>
      <c r="K37" s="703">
        <f t="shared" si="6"/>
        <v>1129.4598416724309</v>
      </c>
      <c r="L37" s="704">
        <f t="shared" si="7"/>
        <v>0</v>
      </c>
      <c r="M37" s="704" t="str">
        <f t="shared" si="8"/>
        <v/>
      </c>
      <c r="N37" s="705"/>
      <c r="O37" s="595"/>
      <c r="P37" s="595"/>
      <c r="Q37" s="595"/>
      <c r="R37" s="595"/>
      <c r="S37" s="599"/>
      <c r="T37" s="599"/>
      <c r="U37" s="599"/>
      <c r="V37" s="599"/>
      <c r="W37" s="599"/>
      <c r="X37" s="599"/>
      <c r="Y37" s="599"/>
      <c r="Z37" s="599"/>
    </row>
    <row r="38" spans="1:26" ht="15.75" customHeight="1">
      <c r="A38" s="595"/>
      <c r="B38" s="595"/>
      <c r="C38" s="595"/>
      <c r="D38" s="595"/>
      <c r="E38" s="699" t="s">
        <v>246</v>
      </c>
      <c r="F38" s="700">
        <f t="shared" si="2"/>
        <v>1017.8333333333334</v>
      </c>
      <c r="G38" s="701">
        <f t="shared" si="3"/>
        <v>7406.0364261451286</v>
      </c>
      <c r="H38" s="701">
        <f t="shared" si="4"/>
        <v>589.41759456361558</v>
      </c>
      <c r="I38" s="701">
        <f t="shared" si="5"/>
        <v>357.35694285246444</v>
      </c>
      <c r="J38" s="690"/>
      <c r="K38" s="703">
        <f t="shared" si="6"/>
        <v>528.03942197478295</v>
      </c>
      <c r="L38" s="704">
        <f t="shared" si="7"/>
        <v>0</v>
      </c>
      <c r="M38" s="704" t="str">
        <f t="shared" si="8"/>
        <v/>
      </c>
      <c r="N38" s="705"/>
      <c r="O38" s="595"/>
      <c r="P38" s="595"/>
      <c r="Q38" s="595"/>
      <c r="R38" s="595"/>
      <c r="S38" s="599"/>
      <c r="T38" s="599"/>
      <c r="U38" s="599"/>
      <c r="V38" s="599"/>
      <c r="W38" s="599"/>
      <c r="X38" s="599"/>
      <c r="Y38" s="599"/>
      <c r="Z38" s="599"/>
    </row>
    <row r="39" spans="1:26" ht="15.75" customHeight="1">
      <c r="A39" s="595"/>
      <c r="B39" s="595"/>
      <c r="C39" s="595"/>
      <c r="D39" s="595"/>
      <c r="E39" s="699" t="s">
        <v>247</v>
      </c>
      <c r="F39" s="700">
        <f t="shared" si="2"/>
        <v>1180.2222222222222</v>
      </c>
      <c r="G39" s="701">
        <f t="shared" si="3"/>
        <v>3166.6374884132556</v>
      </c>
      <c r="H39" s="701">
        <f t="shared" si="4"/>
        <v>537.68580932655493</v>
      </c>
      <c r="I39" s="701">
        <f t="shared" si="5"/>
        <v>159.82844410970938</v>
      </c>
      <c r="J39" s="690"/>
      <c r="K39" s="703">
        <f t="shared" si="6"/>
        <v>422.84202598380716</v>
      </c>
      <c r="L39" s="704">
        <f t="shared" si="7"/>
        <v>0</v>
      </c>
      <c r="M39" s="704" t="str">
        <f t="shared" si="8"/>
        <v/>
      </c>
      <c r="N39" s="705"/>
      <c r="O39" s="595"/>
      <c r="P39" s="595"/>
      <c r="Q39" s="595"/>
      <c r="R39" s="595"/>
      <c r="S39" s="599"/>
      <c r="T39" s="599"/>
      <c r="U39" s="599"/>
      <c r="V39" s="599"/>
      <c r="W39" s="599"/>
      <c r="X39" s="599"/>
      <c r="Y39" s="599"/>
      <c r="Z39" s="599"/>
    </row>
    <row r="40" spans="1:26" ht="15.75" customHeight="1">
      <c r="A40" s="595"/>
      <c r="B40" s="595"/>
      <c r="C40" s="595"/>
      <c r="D40" s="595"/>
      <c r="E40" s="699" t="s">
        <v>248</v>
      </c>
      <c r="F40" s="700">
        <f t="shared" si="2"/>
        <v>641.52380952380952</v>
      </c>
      <c r="G40" s="701">
        <f t="shared" si="3"/>
        <v>16219.844760211266</v>
      </c>
      <c r="H40" s="701" t="str">
        <f t="shared" si="4"/>
        <v/>
      </c>
      <c r="I40" s="701" t="str">
        <f t="shared" si="5"/>
        <v/>
      </c>
      <c r="J40" s="690"/>
      <c r="K40" s="703">
        <f t="shared" si="6"/>
        <v>342.63813836104509</v>
      </c>
      <c r="L40" s="704">
        <f t="shared" si="7"/>
        <v>0</v>
      </c>
      <c r="M40" s="704" t="str">
        <f t="shared" si="8"/>
        <v/>
      </c>
      <c r="N40" s="705"/>
      <c r="O40" s="595"/>
      <c r="P40" s="595"/>
      <c r="Q40" s="595"/>
      <c r="R40" s="595"/>
      <c r="S40" s="599"/>
      <c r="T40" s="599"/>
      <c r="U40" s="599"/>
      <c r="V40" s="599"/>
      <c r="W40" s="599"/>
      <c r="X40" s="599"/>
      <c r="Y40" s="599"/>
      <c r="Z40" s="599"/>
    </row>
    <row r="41" spans="1:26" ht="15.75" customHeight="1">
      <c r="A41" s="595"/>
      <c r="B41" s="595"/>
      <c r="C41" s="595"/>
      <c r="D41" s="595"/>
      <c r="E41" s="706" t="s">
        <v>249</v>
      </c>
      <c r="F41" s="707">
        <f t="shared" si="2"/>
        <v>597.41176470588232</v>
      </c>
      <c r="G41" s="708">
        <f t="shared" si="3"/>
        <v>16031.536239787523</v>
      </c>
      <c r="H41" s="708" t="str">
        <f t="shared" si="4"/>
        <v/>
      </c>
      <c r="I41" s="708" t="str">
        <f t="shared" si="5"/>
        <v/>
      </c>
      <c r="J41" s="709"/>
      <c r="K41" s="710">
        <f t="shared" si="6"/>
        <v>421.46130366285939</v>
      </c>
      <c r="L41" s="711">
        <f t="shared" si="7"/>
        <v>0</v>
      </c>
      <c r="M41" s="711" t="str">
        <f t="shared" si="8"/>
        <v/>
      </c>
      <c r="N41" s="712"/>
      <c r="O41" s="595"/>
      <c r="P41" s="713"/>
      <c r="Q41" s="595"/>
      <c r="R41" s="714"/>
      <c r="S41" s="599"/>
      <c r="T41" s="599"/>
      <c r="U41" s="599"/>
      <c r="V41" s="599"/>
      <c r="W41" s="599"/>
      <c r="X41" s="599"/>
      <c r="Y41" s="599"/>
      <c r="Z41" s="599"/>
    </row>
    <row r="42" spans="1:26" ht="15.75" customHeight="1">
      <c r="A42" s="595"/>
      <c r="B42" s="595"/>
      <c r="C42" s="595"/>
      <c r="D42" s="595"/>
      <c r="E42" s="715" t="s">
        <v>235</v>
      </c>
      <c r="F42" s="716">
        <f t="shared" ref="F42:I42" si="9">AVERAGE(F30:F41)</f>
        <v>851.25212645221609</v>
      </c>
      <c r="G42" s="716">
        <f t="shared" si="9"/>
        <v>10539.379315352538</v>
      </c>
      <c r="H42" s="716">
        <f t="shared" si="9"/>
        <v>739.99376859805432</v>
      </c>
      <c r="I42" s="716">
        <f t="shared" si="9"/>
        <v>254.44287660825759</v>
      </c>
      <c r="J42" s="717"/>
      <c r="K42" s="718">
        <f t="shared" ref="K42:M42" si="10">AVERAGE(K30:K41)</f>
        <v>654.35980772076516</v>
      </c>
      <c r="L42" s="716">
        <f t="shared" si="10"/>
        <v>2.0908578532722326</v>
      </c>
      <c r="M42" s="719" t="e">
        <f t="shared" si="10"/>
        <v>#DIV/0!</v>
      </c>
      <c r="N42" s="720"/>
      <c r="O42" s="593"/>
      <c r="P42" s="593"/>
      <c r="Q42" s="595"/>
      <c r="R42" s="595"/>
      <c r="S42" s="599"/>
      <c r="T42" s="599"/>
      <c r="U42" s="599"/>
      <c r="V42" s="599"/>
      <c r="W42" s="599"/>
      <c r="X42" s="599"/>
      <c r="Y42" s="599"/>
      <c r="Z42" s="599"/>
    </row>
    <row r="43" spans="1:26" ht="15.75" customHeight="1">
      <c r="A43" s="595"/>
      <c r="B43" s="595"/>
      <c r="C43" s="595"/>
      <c r="D43" s="595"/>
      <c r="E43" s="721"/>
      <c r="F43" s="722"/>
      <c r="G43" s="722"/>
      <c r="H43" s="722"/>
      <c r="I43" s="722"/>
      <c r="J43" s="723"/>
      <c r="K43" s="722"/>
      <c r="L43" s="722"/>
      <c r="M43" s="723"/>
      <c r="N43" s="723"/>
      <c r="O43" s="593"/>
      <c r="P43" s="593"/>
      <c r="Q43" s="595"/>
      <c r="R43" s="595"/>
      <c r="S43" s="599"/>
      <c r="T43" s="599"/>
      <c r="U43" s="599"/>
      <c r="V43" s="599"/>
      <c r="W43" s="599"/>
      <c r="X43" s="599"/>
      <c r="Y43" s="599"/>
      <c r="Z43" s="599"/>
    </row>
    <row r="44" spans="1:26" ht="15.75" customHeight="1">
      <c r="A44" s="595"/>
      <c r="B44" s="595"/>
      <c r="C44" s="595"/>
      <c r="D44" s="595"/>
      <c r="E44" s="684"/>
      <c r="F44" s="685"/>
      <c r="G44" s="685"/>
      <c r="H44" s="685"/>
      <c r="I44" s="685"/>
      <c r="J44" s="724"/>
      <c r="K44" s="724"/>
      <c r="L44" s="724"/>
      <c r="M44" s="724"/>
      <c r="N44" s="724"/>
      <c r="O44" s="593"/>
      <c r="P44" s="595"/>
      <c r="Q44" s="595"/>
      <c r="R44" s="595"/>
      <c r="S44" s="599"/>
      <c r="T44" s="599"/>
      <c r="U44" s="599"/>
      <c r="V44" s="599"/>
      <c r="W44" s="599"/>
      <c r="X44" s="599"/>
      <c r="Y44" s="599"/>
      <c r="Z44" s="599"/>
    </row>
    <row r="45" spans="1:26" ht="15.75" customHeight="1">
      <c r="A45" s="1542"/>
      <c r="B45" s="1543"/>
      <c r="C45" s="725"/>
      <c r="D45" s="725"/>
      <c r="E45" s="593"/>
      <c r="F45" s="593"/>
      <c r="G45" s="593"/>
      <c r="H45" s="593"/>
      <c r="I45" s="593"/>
      <c r="J45" s="593"/>
      <c r="K45" s="593"/>
      <c r="L45" s="595"/>
      <c r="M45" s="593"/>
      <c r="N45" s="593"/>
      <c r="O45" s="593"/>
      <c r="P45" s="726" t="str">
        <f>$P$1</f>
        <v>Année</v>
      </c>
      <c r="Q45" s="727">
        <f>$Q$1</f>
        <v>2019</v>
      </c>
      <c r="R45" s="593"/>
      <c r="S45" s="599"/>
      <c r="T45" s="599"/>
      <c r="U45" s="599"/>
      <c r="V45" s="599"/>
      <c r="W45" s="599"/>
      <c r="X45" s="599"/>
      <c r="Y45" s="599"/>
      <c r="Z45" s="599"/>
    </row>
    <row r="46" spans="1:26" ht="15.75" customHeight="1">
      <c r="A46" s="1544"/>
      <c r="B46" s="1545"/>
      <c r="C46" s="728"/>
      <c r="D46" s="728"/>
      <c r="E46" s="593"/>
      <c r="F46" s="593"/>
      <c r="G46" s="1547" t="str">
        <f>G3</f>
        <v>BILAN ANNUEL -  STATION DEGREMONT</v>
      </c>
      <c r="H46" s="1420"/>
      <c r="I46" s="1420"/>
      <c r="J46" s="1420"/>
      <c r="K46" s="1420"/>
      <c r="L46" s="1420"/>
      <c r="M46" s="1420"/>
      <c r="N46" s="1420"/>
      <c r="O46" s="1421"/>
      <c r="P46" s="593"/>
      <c r="Q46" s="593"/>
      <c r="R46" s="593"/>
      <c r="S46" s="599"/>
      <c r="T46" s="599"/>
      <c r="U46" s="599"/>
      <c r="V46" s="599"/>
      <c r="W46" s="599"/>
      <c r="X46" s="599"/>
      <c r="Y46" s="599"/>
      <c r="Z46" s="599"/>
    </row>
    <row r="47" spans="1:26" ht="15.75" customHeight="1">
      <c r="A47" s="601" t="s">
        <v>217</v>
      </c>
      <c r="B47" s="601"/>
      <c r="C47" s="728"/>
      <c r="D47" s="728"/>
      <c r="E47" s="593"/>
      <c r="F47" s="595"/>
      <c r="G47" s="595"/>
      <c r="H47" s="595"/>
      <c r="I47" s="595"/>
      <c r="J47" s="595"/>
      <c r="K47" s="595"/>
      <c r="L47" s="595"/>
      <c r="M47" s="595"/>
      <c r="N47" s="595"/>
      <c r="O47" s="595"/>
      <c r="P47" s="593"/>
      <c r="Q47" s="593"/>
      <c r="R47" s="593"/>
      <c r="S47" s="599"/>
      <c r="T47" s="599"/>
      <c r="U47" s="599"/>
      <c r="V47" s="599"/>
      <c r="W47" s="599"/>
      <c r="X47" s="599"/>
      <c r="Y47" s="599"/>
      <c r="Z47" s="599"/>
    </row>
    <row r="48" spans="1:26" ht="15.75" customHeight="1">
      <c r="A48" s="1531" t="s">
        <v>219</v>
      </c>
      <c r="B48" s="1532"/>
      <c r="C48" s="595"/>
      <c r="D48" s="595"/>
      <c r="E48" s="595"/>
      <c r="F48" s="595"/>
      <c r="G48" s="1541" t="s">
        <v>250</v>
      </c>
      <c r="H48" s="1520"/>
      <c r="I48" s="1520"/>
      <c r="J48" s="1520"/>
      <c r="K48" s="1520"/>
      <c r="L48" s="1520"/>
      <c r="M48" s="1520"/>
      <c r="N48" s="1520"/>
      <c r="O48" s="1522"/>
      <c r="P48" s="593"/>
      <c r="Q48" s="593"/>
      <c r="R48" s="593"/>
      <c r="S48" s="599"/>
      <c r="T48" s="599"/>
      <c r="U48" s="599"/>
      <c r="V48" s="599"/>
      <c r="W48" s="599"/>
      <c r="X48" s="599"/>
      <c r="Y48" s="599"/>
      <c r="Z48" s="599"/>
    </row>
    <row r="49" spans="1:26" ht="15.75" customHeight="1">
      <c r="A49" s="595"/>
      <c r="B49" s="595"/>
      <c r="C49" s="595"/>
      <c r="D49" s="595"/>
      <c r="E49" s="595"/>
      <c r="F49" s="595"/>
      <c r="G49" s="595"/>
      <c r="H49" s="595"/>
      <c r="I49" s="595"/>
      <c r="J49" s="595"/>
      <c r="K49" s="595"/>
      <c r="L49" s="595"/>
      <c r="M49" s="595"/>
      <c r="N49" s="595"/>
      <c r="O49" s="595"/>
      <c r="P49" s="595"/>
      <c r="Q49" s="595"/>
      <c r="R49" s="595"/>
      <c r="S49" s="599"/>
      <c r="T49" s="599"/>
      <c r="U49" s="599"/>
      <c r="V49" s="599"/>
      <c r="W49" s="599"/>
      <c r="X49" s="599"/>
      <c r="Y49" s="599"/>
      <c r="Z49" s="599"/>
    </row>
    <row r="50" spans="1:26" ht="15.75" customHeight="1">
      <c r="A50" s="595"/>
      <c r="B50" s="593"/>
      <c r="C50" s="1524" t="s">
        <v>221</v>
      </c>
      <c r="D50" s="1420"/>
      <c r="E50" s="1420"/>
      <c r="F50" s="1420"/>
      <c r="G50" s="1420"/>
      <c r="H50" s="1420"/>
      <c r="I50" s="1421"/>
      <c r="J50" s="1524" t="s">
        <v>222</v>
      </c>
      <c r="K50" s="1420"/>
      <c r="L50" s="1420"/>
      <c r="M50" s="1420"/>
      <c r="N50" s="1420"/>
      <c r="O50" s="1420"/>
      <c r="P50" s="1421"/>
      <c r="Q50" s="595"/>
      <c r="R50" s="595"/>
      <c r="S50" s="599"/>
      <c r="T50" s="599"/>
      <c r="U50" s="599"/>
      <c r="V50" s="599"/>
      <c r="W50" s="599"/>
      <c r="X50" s="599"/>
      <c r="Y50" s="599"/>
      <c r="Z50" s="599"/>
    </row>
    <row r="51" spans="1:26" ht="15.75" customHeight="1">
      <c r="A51" s="595"/>
      <c r="B51" s="593"/>
      <c r="C51" s="593"/>
      <c r="D51" s="593"/>
      <c r="E51" s="593"/>
      <c r="F51" s="593"/>
      <c r="G51" s="593"/>
      <c r="H51" s="593"/>
      <c r="I51" s="729"/>
      <c r="J51" s="593"/>
      <c r="K51" s="593"/>
      <c r="L51" s="593"/>
      <c r="M51" s="595"/>
      <c r="N51" s="595"/>
      <c r="O51" s="595"/>
      <c r="P51" s="595"/>
      <c r="Q51" s="595"/>
      <c r="R51" s="595"/>
      <c r="S51" s="599"/>
      <c r="T51" s="599"/>
      <c r="U51" s="599"/>
      <c r="V51" s="599"/>
      <c r="W51" s="599"/>
      <c r="X51" s="599"/>
      <c r="Y51" s="599"/>
      <c r="Z51" s="599"/>
    </row>
    <row r="52" spans="1:26" ht="15.75" customHeight="1">
      <c r="A52" s="595"/>
      <c r="B52" s="1529" t="s">
        <v>223</v>
      </c>
      <c r="C52" s="730" t="s">
        <v>156</v>
      </c>
      <c r="D52" s="731" t="s">
        <v>163</v>
      </c>
      <c r="E52" s="731" t="s">
        <v>161</v>
      </c>
      <c r="F52" s="731" t="s">
        <v>157</v>
      </c>
      <c r="G52" s="732" t="s">
        <v>251</v>
      </c>
      <c r="H52" s="731" t="s">
        <v>155</v>
      </c>
      <c r="I52" s="733" t="s">
        <v>162</v>
      </c>
      <c r="J52" s="730" t="s">
        <v>156</v>
      </c>
      <c r="K52" s="731" t="s">
        <v>163</v>
      </c>
      <c r="L52" s="731" t="s">
        <v>161</v>
      </c>
      <c r="M52" s="731" t="s">
        <v>157</v>
      </c>
      <c r="N52" s="731" t="s">
        <v>251</v>
      </c>
      <c r="O52" s="731" t="s">
        <v>155</v>
      </c>
      <c r="P52" s="733" t="s">
        <v>162</v>
      </c>
      <c r="Q52" s="595"/>
      <c r="R52" s="595"/>
      <c r="S52" s="599"/>
      <c r="T52" s="599"/>
      <c r="U52" s="599"/>
      <c r="V52" s="599"/>
      <c r="W52" s="599"/>
      <c r="X52" s="599"/>
      <c r="Y52" s="599"/>
      <c r="Z52" s="599"/>
    </row>
    <row r="53" spans="1:26" ht="15.75" customHeight="1">
      <c r="A53" s="595"/>
      <c r="B53" s="1516"/>
      <c r="C53" s="734" t="s">
        <v>231</v>
      </c>
      <c r="D53" s="735" t="s">
        <v>231</v>
      </c>
      <c r="E53" s="735" t="s">
        <v>231</v>
      </c>
      <c r="F53" s="735" t="s">
        <v>231</v>
      </c>
      <c r="G53" s="736" t="s">
        <v>231</v>
      </c>
      <c r="H53" s="735" t="s">
        <v>231</v>
      </c>
      <c r="I53" s="737" t="s">
        <v>231</v>
      </c>
      <c r="J53" s="738" t="s">
        <v>231</v>
      </c>
      <c r="K53" s="735" t="s">
        <v>231</v>
      </c>
      <c r="L53" s="735" t="s">
        <v>231</v>
      </c>
      <c r="M53" s="735" t="s">
        <v>231</v>
      </c>
      <c r="N53" s="735" t="s">
        <v>231</v>
      </c>
      <c r="O53" s="735" t="s">
        <v>231</v>
      </c>
      <c r="P53" s="737" t="s">
        <v>231</v>
      </c>
      <c r="Q53" s="739"/>
      <c r="R53" s="739"/>
      <c r="S53" s="740"/>
      <c r="T53" s="599"/>
      <c r="U53" s="599"/>
      <c r="V53" s="599"/>
      <c r="W53" s="599"/>
      <c r="X53" s="599"/>
      <c r="Y53" s="599"/>
      <c r="Z53" s="599"/>
    </row>
    <row r="54" spans="1:26" ht="15.75" customHeight="1">
      <c r="A54" s="595"/>
      <c r="B54" s="741">
        <v>43466</v>
      </c>
      <c r="C54" s="742">
        <f>AVERAGEIFS('Degrémont Entrée'!$AQ$14:$AQ$379,'Degrémont Entrée'!$AQ$14:$AQ$379,"&lt;&gt;0",'Degrémont Entrée'!$A$14:$A$379,"&gt;="&amp;A11,'Degrémont Entrée'!$A$14:$A$379,"&lt;="&amp;EOMONTH(A11,0))</f>
        <v>1526.2896799999999</v>
      </c>
      <c r="D54" s="743">
        <f>AVERAGEIFS('Degrémont Entrée'!$AZ$14:$AZ$379,'Degrémont Entrée'!$AZ$14:$AZ$379,"&lt;&gt;0",'Degrémont Entrée'!$A$14:$A$379,"&gt;="&amp;A11,'Degrémont Entrée'!$A$14:$A$379,"&lt;="&amp;EOMONTH(A11,0))</f>
        <v>2086.64597</v>
      </c>
      <c r="E54" s="743">
        <f>AVERAGEIFS('Degrémont Entrée'!$BC$14:$BC$379,'Degrémont Entrée'!$BC$14:$BC$379,"&lt;&gt;0",'Degrémont Entrée'!$A$14:$A$379,"&gt;="&amp;A11,'Degrémont Entrée'!$A$14:$A$379,"&lt;="&amp;EOMONTH(A11,0))</f>
        <v>38.579307500000006</v>
      </c>
      <c r="F54" s="743">
        <f>AVERAGEIFS('Degrémont Entrée'!$AW$14:$AW$379,'Degrémont Entrée'!$AW$14:$AW$379,"&lt;&gt;0",'Degrémont Entrée'!$A$14:$A$379,"&gt;="&amp;A11,'Degrémont Entrée'!$A$14:$A$379,"&lt;="&amp;EOMONTH(A11,0))</f>
        <v>195.04997750000001</v>
      </c>
      <c r="G54" s="744" t="e">
        <f>AVERAGEIFS('Degrémont Entrée'!$AQ$14:$AQ$379,'Degrémont Entrée'!$AQ$14:$AQ$379,"&lt;&gt;0",'Degrémont Entrée'!$A$14:$A$379,"&gt;="&amp;F54,'Degrémont Entrée'!$A$14:$A$379,"&lt;="&amp;EOMONTH(F54,0))</f>
        <v>#DIV/0!</v>
      </c>
      <c r="H54" s="743">
        <f>AVERAGEIFS('Degrémont Entrée'!$AN$14:$AN$379,'Degrémont Entrée'!$AN$14:$AN$379,"&lt;&gt;0",'Degrémont Entrée'!$A$14:$A$379,"&gt;="&amp;A11,'Degrémont Entrée'!$A$14:$A$379,"&lt;="&amp;EOMONTH(A11,0))</f>
        <v>392.14749999999998</v>
      </c>
      <c r="I54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54" s="743">
        <f>AVERAGEIFS('Degrémont sortie'!$AK$14:$AK$379,'Degrémont sortie'!$AK$14:$AK$379,"&lt;&gt;0",'Degrémont Entrée'!$A$14:$A$379,"&gt;="&amp;A11,'Degrémont Entrée'!$A$14:$A$379,"&lt;="&amp;EOMONTH(A11,0))</f>
        <v>0.69521749999999993</v>
      </c>
      <c r="K54" s="743">
        <f>AVERAGEIFS('Degrémont sortie'!$AT$14:$AT$379,'Degrémont sortie'!$AT$14:$AT$379,"&lt;&gt;0",'Degrémont Entrée'!$A$14:$A$379,"&gt;="&amp;A11,'Degrémont Entrée'!$A$14:$A$379,"&lt;="&amp;EOMONTH(A11,0))</f>
        <v>0.57682750000000005</v>
      </c>
      <c r="L54" s="743">
        <f>AVERAGEIFS('Degrémont sortie'!$AW$14:$AW$379,'Degrémont sortie'!$AW$14:$AW$379,"&lt;&gt;0",'Degrémont Entrée'!$A$14:$A$379,"&gt;="&amp;A11,'Degrémont Entrée'!$A$14:$A$379,"&lt;="&amp;EOMONTH(A11,0))</f>
        <v>9.3296249999999997E-2</v>
      </c>
      <c r="M54" s="743">
        <f>AVERAGEIFS('Degrémont sortie'!$AQ$14:$AQ$379,'Degrémont sortie'!$AQ$14:$AQ$379,"&lt;&gt;0",'Degrémont Entrée'!$A$14:$A$379,"&gt;="&amp;A11,'Degrémont Entrée'!$A$14:$A$379,"&lt;="&amp;EOMONTH(A11,0))</f>
        <v>0.17929249999999999</v>
      </c>
      <c r="N54" s="743" t="e">
        <f>AVERAGEIFS('Degrémont sortie'!$AE$14:$AE$379,'Degrémont sortie'!$AE$14:$AE$379,"&lt;&gt;0",'Degrémont Entrée'!$A$14:$A$379,"&gt;="&amp;A11,'Degrémont Entrée'!$A$14:$A$379,"&lt;="&amp;EOMONTH(A11,0))</f>
        <v>#DIV/0!</v>
      </c>
      <c r="O54" s="743">
        <f>AVERAGEIFS('Degrémont sortie'!$AH$14:$AH$379,'Degrémont sortie'!$AH$14:$AH$379,"&lt;&gt;0",'Degrémont Entrée'!$A$14:$A$379,"&gt;="&amp;A11,'Degrémont Entrée'!$A$14:$A$379,"&lt;="&amp;EOMONTH(A11,0))</f>
        <v>2.0684175000000002</v>
      </c>
      <c r="P54" s="743">
        <f>AVERAGEIFS('Degrémont sortie'!$AZ$14:$AZ$379,'Degrémont sortie'!$AZ$14:$AZ$379,"&lt;&gt;0",'Degrémont Entrée'!$A$14:$A$379,"&gt;="&amp;A11,'Degrémont Entrée'!$A$14:$A$379,"&lt;="&amp;EOMONTH(A11,0))</f>
        <v>7.6748750000000004E-2</v>
      </c>
      <c r="Q54" s="745" t="s">
        <v>252</v>
      </c>
      <c r="R54" s="739"/>
      <c r="S54" s="740"/>
      <c r="T54" s="599"/>
      <c r="U54" s="599"/>
      <c r="V54" s="599"/>
      <c r="W54" s="599"/>
      <c r="X54" s="599"/>
      <c r="Y54" s="599"/>
      <c r="Z54" s="599"/>
    </row>
    <row r="55" spans="1:26" ht="15.75" customHeight="1">
      <c r="A55" s="595"/>
      <c r="B55" s="746">
        <f t="shared" ref="B55:B65" si="11">EDATE(B54,1)</f>
        <v>43497</v>
      </c>
      <c r="C55" s="742">
        <f>AVERAGEIFS('Degrémont Entrée'!$AQ$14:$AQ$379,'Degrémont Entrée'!$AQ$14:$AQ$379,"&lt;&gt;0",'Degrémont Entrée'!$A$14:$A$379,"&gt;="&amp;A12,'Degrémont Entrée'!$A$14:$A$379,"&lt;="&amp;EOMONTH(A12,0))</f>
        <v>304.44436000000002</v>
      </c>
      <c r="D55" s="743">
        <f>AVERAGEIFS('Degrémont Entrée'!$AZ$14:$AZ$379,'Degrémont Entrée'!$AZ$14:$AZ$379,"&lt;&gt;0",'Degrémont Entrée'!$A$14:$A$379,"&gt;="&amp;A12,'Degrémont Entrée'!$A$14:$A$379,"&lt;="&amp;EOMONTH(A12,0))</f>
        <v>1585.2552500000002</v>
      </c>
      <c r="E55" s="743">
        <f>AVERAGEIFS('Degrémont Entrée'!$BC$14:$BC$379,'Degrémont Entrée'!$BC$14:$BC$379,"&lt;&gt;0",'Degrémont Entrée'!$A$14:$A$379,"&gt;="&amp;A12,'Degrémont Entrée'!$A$14:$A$379,"&lt;="&amp;EOMONTH(A12,0))</f>
        <v>8.4314700000000009</v>
      </c>
      <c r="F55" s="743">
        <f>AVERAGEIFS('Degrémont Entrée'!$AW$14:$AW$379,'Degrémont Entrée'!$AW$14:$AW$379,"&lt;&gt;0",'Degrémont Entrée'!$A$14:$A$379,"&gt;="&amp;A12,'Degrémont Entrée'!$A$14:$A$379,"&lt;="&amp;EOMONTH(A12,0))</f>
        <v>163.39652750000002</v>
      </c>
      <c r="G55" s="747" t="e">
        <v>#DIV/0!</v>
      </c>
      <c r="H55" s="743">
        <f>AVERAGEIFS('Degrémont Entrée'!$AN$14:$AN$379,'Degrémont Entrée'!$AN$14:$AN$379,"&lt;&gt;0",'Degrémont Entrée'!$A$14:$A$379,"&gt;="&amp;A12,'Degrémont Entrée'!$A$14:$A$379,"&lt;="&amp;EOMONTH(A12,0))</f>
        <v>267.0385</v>
      </c>
      <c r="I55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55" s="743">
        <f>AVERAGEIFS('Degrémont sortie'!$AK$14:$AK$379,'Degrémont sortie'!$AK$14:$AK$379,"&lt;&gt;0",'Degrémont Entrée'!$A$14:$A$379,"&gt;="&amp;A12,'Degrémont Entrée'!$A$14:$A$379,"&lt;="&amp;EOMONTH(A12,0))</f>
        <v>0.44183749999999999</v>
      </c>
      <c r="K55" s="743">
        <f>AVERAGEIFS('Degrémont sortie'!$AT$14:$AT$379,'Degrémont sortie'!$AT$14:$AT$379,"&lt;&gt;0",'Degrémont Entrée'!$A$14:$A$379,"&gt;="&amp;A12,'Degrémont Entrée'!$A$14:$A$379,"&lt;="&amp;EOMONTH(A12,0))</f>
        <v>0.35766750000000003</v>
      </c>
      <c r="L55" s="743">
        <f>AVERAGEIFS('Degrémont sortie'!$AW$14:$AW$379,'Degrémont sortie'!$AW$14:$AW$379,"&lt;&gt;0",'Degrémont Entrée'!$A$14:$A$379,"&gt;="&amp;A12,'Degrémont Entrée'!$A$14:$A$379,"&lt;="&amp;EOMONTH(A12,0))</f>
        <v>7.3781249999999993E-2</v>
      </c>
      <c r="M55" s="743">
        <f>AVERAGEIFS('Degrémont sortie'!$AQ$14:$AQ$379,'Degrémont sortie'!$AQ$14:$AQ$379,"&lt;&gt;0",'Degrémont Entrée'!$A$14:$A$379,"&gt;="&amp;A12,'Degrémont Entrée'!$A$14:$A$379,"&lt;="&amp;EOMONTH(A12,0))</f>
        <v>0.17054750000000002</v>
      </c>
      <c r="N55" s="743" t="e">
        <f>AVERAGEIFS('Degrémont sortie'!$AE$14:$AE$379,'Degrémont sortie'!$AE$14:$AE$379,"&lt;&gt;0",'Degrémont Entrée'!$A$14:$A$379,"&gt;="&amp;A12,'Degrémont Entrée'!$A$14:$A$379,"&lt;="&amp;EOMONTH(A12,0))</f>
        <v>#DIV/0!</v>
      </c>
      <c r="O55" s="743">
        <f>AVERAGEIFS('Degrémont sortie'!$AH$14:$AH$379,'Degrémont sortie'!$AH$14:$AH$379,"&lt;&gt;0",'Degrémont Entrée'!$A$14:$A$379,"&gt;="&amp;A12,'Degrémont Entrée'!$A$14:$A$379,"&lt;="&amp;EOMONTH(A12,0))</f>
        <v>2.1416374999999999</v>
      </c>
      <c r="P55" s="743">
        <f>AVERAGEIFS('Degrémont sortie'!$AZ$14:$AZ$379,'Degrémont sortie'!$AZ$14:$AZ$379,"&lt;&gt;0",'Degrémont Entrée'!$A$14:$A$379,"&gt;="&amp;A12,'Degrémont Entrée'!$A$14:$A$379,"&lt;="&amp;EOMONTH(A12,0))</f>
        <v>6.3943750000000008E-2</v>
      </c>
      <c r="Q55" s="739"/>
      <c r="R55" s="739"/>
      <c r="S55" s="740"/>
      <c r="T55" s="599"/>
      <c r="U55" s="599"/>
      <c r="V55" s="599"/>
      <c r="W55" s="599"/>
      <c r="X55" s="599"/>
      <c r="Y55" s="599"/>
      <c r="Z55" s="599"/>
    </row>
    <row r="56" spans="1:26" ht="15.75" customHeight="1">
      <c r="A56" s="595"/>
      <c r="B56" s="746">
        <f t="shared" si="11"/>
        <v>43525</v>
      </c>
      <c r="C56" s="742">
        <f>AVERAGEIFS('Degrémont Entrée'!$AQ$14:$AQ$379,'Degrémont Entrée'!$AQ$14:$AQ$379,"&lt;&gt;0",'Degrémont Entrée'!$A$14:$A$379,"&gt;="&amp;A13,'Degrémont Entrée'!$A$14:$A$379,"&lt;="&amp;EOMONTH(A13,0))</f>
        <v>447.11592250000001</v>
      </c>
      <c r="D56" s="743">
        <f>AVERAGEIFS('Degrémont Entrée'!$AZ$14:$AZ$379,'Degrémont Entrée'!$AZ$14:$AZ$379,"&lt;&gt;0",'Degrémont Entrée'!$A$14:$A$379,"&gt;="&amp;A13,'Degrémont Entrée'!$A$14:$A$379,"&lt;="&amp;EOMONTH(A13,0))</f>
        <v>749.32135749999998</v>
      </c>
      <c r="E56" s="743">
        <f>AVERAGEIFS('Degrémont Entrée'!$BC$14:$BC$379,'Degrémont Entrée'!$BC$14:$BC$379,"&lt;&gt;0",'Degrémont Entrée'!$A$14:$A$379,"&gt;="&amp;A13,'Degrémont Entrée'!$A$14:$A$379,"&lt;="&amp;EOMONTH(A13,0))</f>
        <v>1.8498574999999997</v>
      </c>
      <c r="F56" s="743">
        <f>AVERAGEIFS('Degrémont Entrée'!$AW$14:$AW$379,'Degrémont Entrée'!$AW$14:$AW$379,"&lt;&gt;0",'Degrémont Entrée'!$A$14:$A$379,"&gt;="&amp;A13,'Degrémont Entrée'!$A$14:$A$379,"&lt;="&amp;EOMONTH(A13,0))</f>
        <v>72.145434999999992</v>
      </c>
      <c r="G56" s="747" t="e">
        <v>#DIV/0!</v>
      </c>
      <c r="H56" s="743">
        <f>AVERAGEIFS('Degrémont Entrée'!$AN$14:$AN$379,'Degrémont Entrée'!$AN$14:$AN$379,"&lt;&gt;0",'Degrémont Entrée'!$A$14:$A$379,"&gt;="&amp;A13,'Degrémont Entrée'!$A$14:$A$379,"&lt;="&amp;EOMONTH(A13,0))</f>
        <v>186.61564999999999</v>
      </c>
      <c r="I56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56" s="743">
        <f>AVERAGEIFS('Degrémont sortie'!$AK$14:$AK$379,'Degrémont sortie'!$AK$14:$AK$379,"&lt;&gt;0",'Degrémont Entrée'!$A$14:$A$379,"&gt;="&amp;A13,'Degrémont Entrée'!$A$14:$A$379,"&lt;="&amp;EOMONTH(A13,0))</f>
        <v>0.59386749999999999</v>
      </c>
      <c r="K56" s="743">
        <f>AVERAGEIFS('Degrémont sortie'!$AT$14:$AT$379,'Degrémont sortie'!$AT$14:$AT$379,"&lt;&gt;0",'Degrémont Entrée'!$A$14:$A$379,"&gt;="&amp;A13,'Degrémont Entrée'!$A$14:$A$379,"&lt;="&amp;EOMONTH(A13,0))</f>
        <v>0.42820000000000003</v>
      </c>
      <c r="L56" s="743">
        <f>AVERAGEIFS('Degrémont sortie'!$AW$14:$AW$379,'Degrémont sortie'!$AW$14:$AW$379,"&lt;&gt;0",'Degrémont Entrée'!$A$14:$A$379,"&gt;="&amp;A13,'Degrémont Entrée'!$A$14:$A$379,"&lt;="&amp;EOMONTH(A13,0))</f>
        <v>8.0381249999999987E-2</v>
      </c>
      <c r="M56" s="743">
        <f>AVERAGEIFS('Degrémont sortie'!$AQ$14:$AQ$379,'Degrémont sortie'!$AQ$14:$AQ$379,"&lt;&gt;0",'Degrémont Entrée'!$A$14:$A$379,"&gt;="&amp;A13,'Degrémont Entrée'!$A$14:$A$379,"&lt;="&amp;EOMONTH(A13,0))</f>
        <v>0.27998499999999998</v>
      </c>
      <c r="N56" s="743" t="e">
        <f>AVERAGEIFS('Degrémont sortie'!$AE$14:$AE$379,'Degrémont sortie'!$AE$14:$AE$379,"&lt;&gt;0",'Degrémont Entrée'!$A$14:$A$379,"&gt;="&amp;A13,'Degrémont Entrée'!$A$14:$A$379,"&lt;="&amp;EOMONTH(A13,0))</f>
        <v>#DIV/0!</v>
      </c>
      <c r="O56" s="743">
        <f>AVERAGEIFS('Degrémont sortie'!$AH$14:$AH$379,'Degrémont sortie'!$AH$14:$AH$379,"&lt;&gt;0",'Degrémont Entrée'!$A$14:$A$379,"&gt;="&amp;A13,'Degrémont Entrée'!$A$14:$A$379,"&lt;="&amp;EOMONTH(A13,0))</f>
        <v>3.4378275</v>
      </c>
      <c r="P56" s="743">
        <f>AVERAGEIFS('Degrémont sortie'!$AZ$14:$AZ$379,'Degrémont sortie'!$AZ$14:$AZ$379,"&lt;&gt;0",'Degrémont Entrée'!$A$14:$A$379,"&gt;="&amp;A13,'Degrémont Entrée'!$A$14:$A$379,"&lt;="&amp;EOMONTH(A13,0))</f>
        <v>6.9663749999999997E-2</v>
      </c>
      <c r="Q56" s="595"/>
      <c r="R56" s="595"/>
      <c r="S56" s="599"/>
      <c r="T56" s="599"/>
      <c r="U56" s="599"/>
      <c r="V56" s="599"/>
      <c r="W56" s="599"/>
      <c r="X56" s="599"/>
      <c r="Y56" s="599"/>
      <c r="Z56" s="599"/>
    </row>
    <row r="57" spans="1:26" ht="15.75" customHeight="1">
      <c r="A57" s="595"/>
      <c r="B57" s="746">
        <f t="shared" si="11"/>
        <v>43556</v>
      </c>
      <c r="C57" s="742">
        <f>AVERAGEIFS('Degrémont Entrée'!$AQ$14:$AQ$379,'Degrémont Entrée'!$AQ$14:$AQ$379,"&lt;&gt;0",'Degrémont Entrée'!$A$14:$A$379,"&gt;="&amp;A14,'Degrémont Entrée'!$A$14:$A$379,"&lt;="&amp;EOMONTH(A14,0))</f>
        <v>1122.0016799999999</v>
      </c>
      <c r="D57" s="743">
        <f>AVERAGEIFS('Degrémont Entrée'!$AZ$14:$AZ$379,'Degrémont Entrée'!$AZ$14:$AZ$379,"&lt;&gt;0",'Degrémont Entrée'!$A$14:$A$379,"&gt;="&amp;A14,'Degrémont Entrée'!$A$14:$A$379,"&lt;="&amp;EOMONTH(A14,0))</f>
        <v>1648.1580860000001</v>
      </c>
      <c r="E57" s="743">
        <f>AVERAGEIFS('Degrémont Entrée'!$BC$14:$BC$379,'Degrémont Entrée'!$BC$14:$BC$379,"&lt;&gt;0",'Degrémont Entrée'!$A$14:$A$379,"&gt;="&amp;A14,'Degrémont Entrée'!$A$14:$A$379,"&lt;="&amp;EOMONTH(A14,0))</f>
        <v>0.50194499999999997</v>
      </c>
      <c r="F57" s="743">
        <f>AVERAGEIFS('Degrémont Entrée'!$AW$14:$AW$379,'Degrémont Entrée'!$AW$14:$AW$379,"&lt;&gt;0",'Degrémont Entrée'!$A$14:$A$379,"&gt;="&amp;A14,'Degrémont Entrée'!$A$14:$A$379,"&lt;="&amp;EOMONTH(A14,0))</f>
        <v>232.10187400000001</v>
      </c>
      <c r="G57" s="747" t="e">
        <v>#DIV/0!</v>
      </c>
      <c r="H57" s="743">
        <f>AVERAGEIFS('Degrémont Entrée'!$AN$14:$AN$379,'Degrémont Entrée'!$AN$14:$AN$379,"&lt;&gt;0",'Degrémont Entrée'!$A$14:$A$379,"&gt;="&amp;A14,'Degrémont Entrée'!$A$14:$A$379,"&lt;="&amp;EOMONTH(A14,0))</f>
        <v>579.40260000000001</v>
      </c>
      <c r="I57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57" s="743">
        <f>AVERAGEIFS('Degrémont sortie'!$AK$14:$AK$379,'Degrémont sortie'!$AK$14:$AK$379,"&lt;&gt;0",'Degrémont Entrée'!$A$14:$A$379,"&gt;="&amp;A14,'Degrémont Entrée'!$A$14:$A$379,"&lt;="&amp;EOMONTH(A14,0))</f>
        <v>1.0158739999999999</v>
      </c>
      <c r="K57" s="743">
        <f>AVERAGEIFS('Degrémont sortie'!$AT$14:$AT$379,'Degrémont sortie'!$AT$14:$AT$379,"&lt;&gt;0",'Degrémont Entrée'!$A$14:$A$379,"&gt;="&amp;A14,'Degrémont Entrée'!$A$14:$A$379,"&lt;="&amp;EOMONTH(A14,0))</f>
        <v>0.969754</v>
      </c>
      <c r="L57" s="743">
        <f>AVERAGEIFS('Degrémont sortie'!$AW$14:$AW$379,'Degrémont sortie'!$AW$14:$AW$379,"&lt;&gt;0",'Degrémont Entrée'!$A$14:$A$379,"&gt;="&amp;A14,'Degrémont Entrée'!$A$14:$A$379,"&lt;="&amp;EOMONTH(A14,0))</f>
        <v>6.8549999999999986E-2</v>
      </c>
      <c r="M57" s="743">
        <f>AVERAGEIFS('Degrémont sortie'!$AQ$14:$AQ$379,'Degrémont sortie'!$AQ$14:$AQ$379,"&lt;&gt;0",'Degrémont Entrée'!$A$14:$A$379,"&gt;="&amp;A14,'Degrémont Entrée'!$A$14:$A$379,"&lt;="&amp;EOMONTH(A14,0))</f>
        <v>0.31819000000000003</v>
      </c>
      <c r="N57" s="743" t="e">
        <f>AVERAGEIFS('Degrémont sortie'!$AE$14:$AE$379,'Degrémont sortie'!$AE$14:$AE$379,"&lt;&gt;0",'Degrémont Entrée'!$A$14:$A$379,"&gt;="&amp;A14,'Degrémont Entrée'!$A$14:$A$379,"&lt;="&amp;EOMONTH(A14,0))</f>
        <v>#DIV/0!</v>
      </c>
      <c r="O57" s="743">
        <f>AVERAGEIFS('Degrémont sortie'!$AH$14:$AH$379,'Degrémont sortie'!$AH$14:$AH$379,"&lt;&gt;0",'Degrémont Entrée'!$A$14:$A$379,"&gt;="&amp;A14,'Degrémont Entrée'!$A$14:$A$379,"&lt;="&amp;EOMONTH(A14,0))</f>
        <v>6.9738220000000011</v>
      </c>
      <c r="P57" s="743">
        <f>AVERAGEIFS('Degrémont sortie'!$AZ$14:$AZ$379,'Degrémont sortie'!$AZ$14:$AZ$379,"&lt;&gt;0",'Degrémont Entrée'!$A$14:$A$379,"&gt;="&amp;A14,'Degrémont Entrée'!$A$14:$A$379,"&lt;="&amp;EOMONTH(A14,0))</f>
        <v>5.9410000000000004E-2</v>
      </c>
      <c r="Q57" s="595"/>
      <c r="R57" s="595"/>
      <c r="S57" s="599"/>
      <c r="T57" s="599"/>
      <c r="U57" s="599"/>
      <c r="V57" s="599"/>
      <c r="W57" s="599"/>
      <c r="X57" s="599"/>
      <c r="Y57" s="599"/>
      <c r="Z57" s="599"/>
    </row>
    <row r="58" spans="1:26" ht="15.75" customHeight="1">
      <c r="A58" s="595"/>
      <c r="B58" s="746">
        <f t="shared" si="11"/>
        <v>43586</v>
      </c>
      <c r="C58" s="742">
        <f>AVERAGEIFS('Degrémont Entrée'!$AQ$14:$AQ$379,'Degrémont Entrée'!$AQ$14:$AQ$379,"&lt;&gt;0",'Degrémont Entrée'!$A$14:$A$379,"&gt;="&amp;A15,'Degrémont Entrée'!$A$14:$A$379,"&lt;="&amp;EOMONTH(A15,0))</f>
        <v>1679.77999</v>
      </c>
      <c r="D58" s="743">
        <f>AVERAGEIFS('Degrémont Entrée'!$AZ$14:$AZ$379,'Degrémont Entrée'!$AZ$14:$AZ$379,"&lt;&gt;0",'Degrémont Entrée'!$A$14:$A$379,"&gt;="&amp;A15,'Degrémont Entrée'!$A$14:$A$379,"&lt;="&amp;EOMONTH(A15,0))</f>
        <v>2297.5295900000001</v>
      </c>
      <c r="E58" s="743">
        <f>AVERAGEIFS('Degrémont Entrée'!$BC$14:$BC$379,'Degrémont Entrée'!$BC$14:$BC$379,"&lt;&gt;0",'Degrémont Entrée'!$A$14:$A$379,"&gt;="&amp;A15,'Degrémont Entrée'!$A$14:$A$379,"&lt;="&amp;EOMONTH(A15,0))</f>
        <v>5.4651800000000001</v>
      </c>
      <c r="F58" s="743">
        <f>AVERAGEIFS('Degrémont Entrée'!$AW$14:$AW$379,'Degrémont Entrée'!$AW$14:$AW$379,"&lt;&gt;0",'Degrémont Entrée'!$A$14:$A$379,"&gt;="&amp;A15,'Degrémont Entrée'!$A$14:$A$379,"&lt;="&amp;EOMONTH(A15,0))</f>
        <v>228.11154500000004</v>
      </c>
      <c r="G58" s="747" t="e">
        <v>#DIV/0!</v>
      </c>
      <c r="H58" s="743">
        <f>AVERAGEIFS('Degrémont Entrée'!$AN$14:$AN$379,'Degrémont Entrée'!$AN$14:$AN$379,"&lt;&gt;0",'Degrémont Entrée'!$A$14:$A$379,"&gt;="&amp;A15,'Degrémont Entrée'!$A$14:$A$379,"&lt;="&amp;EOMONTH(A15,0))</f>
        <v>388.55369999999999</v>
      </c>
      <c r="I58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58" s="743">
        <f>AVERAGEIFS('Degrémont sortie'!$AK$14:$AK$379,'Degrémont sortie'!$AK$14:$AK$379,"&lt;&gt;0",'Degrémont Entrée'!$A$14:$A$379,"&gt;="&amp;A15,'Degrémont Entrée'!$A$14:$A$379,"&lt;="&amp;EOMONTH(A15,0))</f>
        <v>2.0346666666666668</v>
      </c>
      <c r="K58" s="743">
        <f>AVERAGEIFS('Degrémont sortie'!$AT$14:$AT$379,'Degrémont sortie'!$AT$14:$AT$379,"&lt;&gt;0",'Degrémont Entrée'!$A$14:$A$379,"&gt;="&amp;A15,'Degrémont Entrée'!$A$14:$A$379,"&lt;="&amp;EOMONTH(A15,0))</f>
        <v>2.7028907142857141</v>
      </c>
      <c r="L58" s="743">
        <f>AVERAGEIFS('Degrémont sortie'!$AW$14:$AW$379,'Degrémont sortie'!$AW$14:$AW$379,"&lt;&gt;0",'Degrémont Entrée'!$A$14:$A$379,"&gt;="&amp;A15,'Degrémont Entrée'!$A$14:$A$379,"&lt;="&amp;EOMONTH(A15,0))</f>
        <v>7.1906250000000005E-2</v>
      </c>
      <c r="M58" s="743">
        <f>AVERAGEIFS('Degrémont sortie'!$AQ$14:$AQ$379,'Degrémont sortie'!$AQ$14:$AQ$379,"&lt;&gt;0",'Degrémont Entrée'!$A$14:$A$379,"&gt;="&amp;A15,'Degrémont Entrée'!$A$14:$A$379,"&lt;="&amp;EOMONTH(A15,0))</f>
        <v>0.25661499999999998</v>
      </c>
      <c r="N58" s="743" t="e">
        <f>AVERAGEIFS('Degrémont sortie'!$AE$14:$AE$379,'Degrémont sortie'!$AE$14:$AE$379,"&lt;&gt;0",'Degrémont Entrée'!$A$14:$A$379,"&gt;="&amp;A15,'Degrémont Entrée'!$A$14:$A$379,"&lt;="&amp;EOMONTH(A15,0))</f>
        <v>#DIV/0!</v>
      </c>
      <c r="O58" s="743">
        <f>AVERAGEIFS('Degrémont sortie'!$AH$14:$AH$379,'Degrémont sortie'!$AH$14:$AH$379,"&lt;&gt;0",'Degrémont Entrée'!$A$14:$A$379,"&gt;="&amp;A15,'Degrémont Entrée'!$A$14:$A$379,"&lt;="&amp;EOMONTH(A15,0))</f>
        <v>4.0097174999999998</v>
      </c>
      <c r="P58" s="743">
        <f>AVERAGEIFS('Degrémont sortie'!$AZ$14:$AZ$379,'Degrémont sortie'!$AZ$14:$AZ$379,"&lt;&gt;0",'Degrémont Entrée'!$A$14:$A$379,"&gt;="&amp;A15,'Degrémont Entrée'!$A$14:$A$379,"&lt;="&amp;EOMONTH(A15,0))</f>
        <v>6.2318750000000006E-2</v>
      </c>
      <c r="Q58" s="595"/>
      <c r="R58" s="595"/>
      <c r="S58" s="599"/>
      <c r="T58" s="599"/>
      <c r="U58" s="599"/>
      <c r="V58" s="599"/>
      <c r="W58" s="599"/>
      <c r="X58" s="599"/>
      <c r="Y58" s="599"/>
      <c r="Z58" s="599"/>
    </row>
    <row r="59" spans="1:26" ht="15.75" customHeight="1">
      <c r="A59" s="595"/>
      <c r="B59" s="746">
        <f t="shared" si="11"/>
        <v>43617</v>
      </c>
      <c r="C59" s="742">
        <f>AVERAGEIFS('Degrémont Entrée'!$AQ$14:$AQ$379,'Degrémont Entrée'!$AQ$14:$AQ$379,"&lt;&gt;0",'Degrémont Entrée'!$A$14:$A$379,"&gt;="&amp;A16,'Degrémont Entrée'!$A$14:$A$379,"&lt;="&amp;EOMONTH(A16,0))</f>
        <v>244.11239</v>
      </c>
      <c r="D59" s="743">
        <f>AVERAGEIFS('Degrémont Entrée'!$AZ$14:$AZ$379,'Degrémont Entrée'!$AZ$14:$AZ$379,"&lt;&gt;0",'Degrémont Entrée'!$A$14:$A$379,"&gt;="&amp;A16,'Degrémont Entrée'!$A$14:$A$379,"&lt;="&amp;EOMONTH(A16,0))</f>
        <v>361.66492</v>
      </c>
      <c r="E59" s="743">
        <f>AVERAGEIFS('Degrémont Entrée'!$BC$14:$BC$379,'Degrémont Entrée'!$BC$14:$BC$379,"&lt;&gt;0",'Degrémont Entrée'!$A$14:$A$379,"&gt;="&amp;A16,'Degrémont Entrée'!$A$14:$A$379,"&lt;="&amp;EOMONTH(A16,0))</f>
        <v>0.4881375</v>
      </c>
      <c r="F59" s="743">
        <f>AVERAGEIFS('Degrémont Entrée'!$AW$14:$AW$379,'Degrémont Entrée'!$AW$14:$AW$379,"&lt;&gt;0",'Degrémont Entrée'!$A$14:$A$379,"&gt;="&amp;A16,'Degrémont Entrée'!$A$14:$A$379,"&lt;="&amp;EOMONTH(A16,0))</f>
        <v>38.119275000000002</v>
      </c>
      <c r="G59" s="747" t="e">
        <v>#DIV/0!</v>
      </c>
      <c r="H59" s="743">
        <f>AVERAGEIFS('Degrémont Entrée'!$AN$14:$AN$379,'Degrémont Entrée'!$AN$14:$AN$379,"&lt;&gt;0",'Degrémont Entrée'!$A$14:$A$379,"&gt;="&amp;A16,'Degrémont Entrée'!$A$14:$A$379,"&lt;="&amp;EOMONTH(A16,0))</f>
        <v>144.761</v>
      </c>
      <c r="I59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59" s="743">
        <f>AVERAGEIFS('Degrémont sortie'!$AK$14:$AK$379,'Degrémont sortie'!$AK$14:$AK$379,"&lt;&gt;0",'Degrémont Entrée'!$A$14:$A$379,"&gt;="&amp;A16,'Degrémont Entrée'!$A$14:$A$379,"&lt;="&amp;EOMONTH(A16,0))</f>
        <v>0.37594666666666665</v>
      </c>
      <c r="K59" s="743">
        <f>AVERAGEIFS('Degrémont sortie'!$AT$14:$AT$379,'Degrémont sortie'!$AT$14:$AT$379,"&lt;&gt;0",'Degrémont Entrée'!$A$14:$A$379,"&gt;="&amp;A16,'Degrémont Entrée'!$A$14:$A$379,"&lt;="&amp;EOMONTH(A16,0))</f>
        <v>0.38842000000000004</v>
      </c>
      <c r="L59" s="743">
        <f>AVERAGEIFS('Degrémont sortie'!$AW$14:$AW$379,'Degrémont sortie'!$AW$14:$AW$379,"&lt;&gt;0",'Degrémont Entrée'!$A$14:$A$379,"&gt;="&amp;A16,'Degrémont Entrée'!$A$14:$A$379,"&lt;="&amp;EOMONTH(A16,0))</f>
        <v>7.1599999999999997E-2</v>
      </c>
      <c r="M59" s="743">
        <f>AVERAGEIFS('Degrémont sortie'!$AQ$14:$AQ$379,'Degrémont sortie'!$AQ$14:$AQ$379,"&lt;&gt;0",'Degrémont Entrée'!$A$14:$A$379,"&gt;="&amp;A16,'Degrémont Entrée'!$A$14:$A$379,"&lt;="&amp;EOMONTH(A16,0))</f>
        <v>0.20937333333333333</v>
      </c>
      <c r="N59" s="743" t="e">
        <f>AVERAGEIFS('Degrémont sortie'!$AE$14:$AE$379,'Degrémont sortie'!$AE$14:$AE$379,"&lt;&gt;0",'Degrémont Entrée'!$A$14:$A$379,"&gt;="&amp;A16,'Degrémont Entrée'!$A$14:$A$379,"&lt;="&amp;EOMONTH(A16,0))</f>
        <v>#DIV/0!</v>
      </c>
      <c r="O59" s="743">
        <f>AVERAGEIFS('Degrémont sortie'!$AH$14:$AH$379,'Degrémont sortie'!$AH$14:$AH$379,"&lt;&gt;0",'Degrémont Entrée'!$A$14:$A$379,"&gt;="&amp;A16,'Degrémont Entrée'!$A$14:$A$379,"&lt;="&amp;EOMONTH(A16,0))</f>
        <v>2.1852199999999997</v>
      </c>
      <c r="P59" s="743">
        <f>AVERAGEIFS('Degrémont sortie'!$AZ$14:$AZ$379,'Degrémont sortie'!$AZ$14:$AZ$379,"&lt;&gt;0",'Degrémont Entrée'!$A$14:$A$379,"&gt;="&amp;A16,'Degrémont Entrée'!$A$14:$A$379,"&lt;="&amp;EOMONTH(A16,0))</f>
        <v>6.2053333333333328E-2</v>
      </c>
      <c r="Q59" s="595"/>
      <c r="R59" s="595"/>
      <c r="S59" s="599"/>
      <c r="T59" s="599"/>
      <c r="U59" s="599"/>
      <c r="V59" s="599"/>
      <c r="W59" s="599"/>
      <c r="X59" s="599"/>
      <c r="Y59" s="599"/>
      <c r="Z59" s="599"/>
    </row>
    <row r="60" spans="1:26" ht="15.75" customHeight="1">
      <c r="A60" s="595"/>
      <c r="B60" s="746">
        <f t="shared" si="11"/>
        <v>43647</v>
      </c>
      <c r="C60" s="742">
        <f>AVERAGEIFS('Degrémont Entrée'!$AQ$14:$AQ$379,'Degrémont Entrée'!$AQ$14:$AQ$379,"&lt;&gt;0",'Degrémont Entrée'!$A$14:$A$379,"&gt;="&amp;A17,'Degrémont Entrée'!$A$14:$A$379,"&lt;="&amp;EOMONTH(A17,0))</f>
        <v>1197.0329266666665</v>
      </c>
      <c r="D60" s="743">
        <f>AVERAGEIFS('Degrémont Entrée'!$AZ$14:$AZ$379,'Degrémont Entrée'!$AZ$14:$AZ$379,"&lt;&gt;0",'Degrémont Entrée'!$A$14:$A$379,"&gt;="&amp;A17,'Degrémont Entrée'!$A$14:$A$379,"&lt;="&amp;EOMONTH(A17,0))</f>
        <v>1597.8460933333333</v>
      </c>
      <c r="E60" s="743">
        <f>AVERAGEIFS('Degrémont Entrée'!$BC$14:$BC$379,'Degrémont Entrée'!$BC$14:$BC$379,"&lt;&gt;0",'Degrémont Entrée'!$A$14:$A$379,"&gt;="&amp;A17,'Degrémont Entrée'!$A$14:$A$379,"&lt;="&amp;EOMONTH(A17,0))</f>
        <v>0.37145</v>
      </c>
      <c r="F60" s="743">
        <f>AVERAGEIFS('Degrémont Entrée'!$AW$14:$AW$379,'Degrémont Entrée'!$AW$14:$AW$379,"&lt;&gt;0",'Degrémont Entrée'!$A$14:$A$379,"&gt;="&amp;A17,'Degrémont Entrée'!$A$14:$A$379,"&lt;="&amp;EOMONTH(A17,0))</f>
        <v>165.74296666666666</v>
      </c>
      <c r="G60" s="747" t="e">
        <v>#DIV/0!</v>
      </c>
      <c r="H60" s="743">
        <f>AVERAGEIFS('Degrémont Entrée'!$AN$14:$AN$379,'Degrémont Entrée'!$AN$14:$AN$379,"&lt;&gt;0",'Degrémont Entrée'!$A$14:$A$379,"&gt;="&amp;A17,'Degrémont Entrée'!$A$14:$A$379,"&lt;="&amp;EOMONTH(A17,0))</f>
        <v>514.9</v>
      </c>
      <c r="I60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60" s="743">
        <f>AVERAGEIFS('Degrémont sortie'!$AK$14:$AK$379,'Degrémont sortie'!$AK$14:$AK$379,"&lt;&gt;0",'Degrémont Entrée'!$A$14:$A$379,"&gt;="&amp;A17,'Degrémont Entrée'!$A$14:$A$379,"&lt;="&amp;EOMONTH(A17,0))</f>
        <v>0.50709666666666664</v>
      </c>
      <c r="K60" s="743">
        <f>AVERAGEIFS('Degrémont sortie'!$AT$14:$AT$379,'Degrémont sortie'!$AT$14:$AT$379,"&lt;&gt;0",'Degrémont Entrée'!$A$14:$A$379,"&gt;="&amp;A17,'Degrémont Entrée'!$A$14:$A$379,"&lt;="&amp;EOMONTH(A17,0))</f>
        <v>0.23818333333333339</v>
      </c>
      <c r="L60" s="743">
        <f>AVERAGEIFS('Degrémont sortie'!$AW$14:$AW$379,'Degrémont sortie'!$AW$14:$AW$379,"&lt;&gt;0",'Degrémont Entrée'!$A$14:$A$379,"&gt;="&amp;A17,'Degrémont Entrée'!$A$14:$A$379,"&lt;="&amp;EOMONTH(A17,0))</f>
        <v>5.9074999999999996E-2</v>
      </c>
      <c r="M60" s="743">
        <f>AVERAGEIFS('Degrémont sortie'!$AQ$14:$AQ$379,'Degrémont sortie'!$AQ$14:$AQ$379,"&lt;&gt;0",'Degrémont Entrée'!$A$14:$A$379,"&gt;="&amp;A17,'Degrémont Entrée'!$A$14:$A$379,"&lt;="&amp;EOMONTH(A17,0))</f>
        <v>0.20710666666666666</v>
      </c>
      <c r="N60" s="743" t="e">
        <f>AVERAGEIFS('Degrémont sortie'!$AE$14:$AE$379,'Degrémont sortie'!$AE$14:$AE$379,"&lt;&gt;0",'Degrémont Entrée'!$A$14:$A$379,"&gt;="&amp;A17,'Degrémont Entrée'!$A$14:$A$379,"&lt;="&amp;EOMONTH(A17,0))</f>
        <v>#DIV/0!</v>
      </c>
      <c r="O60" s="743">
        <f>AVERAGEIFS('Degrémont sortie'!$AH$14:$AH$379,'Degrémont sortie'!$AH$14:$AH$379,"&lt;&gt;0",'Degrémont Entrée'!$A$14:$A$379,"&gt;="&amp;A17,'Degrémont Entrée'!$A$14:$A$379,"&lt;="&amp;EOMONTH(A17,0))</f>
        <v>1.8770100000000001</v>
      </c>
      <c r="P60" s="743">
        <f>AVERAGEIFS('Degrémont sortie'!$AZ$14:$AZ$379,'Degrémont sortie'!$AZ$14:$AZ$379,"&lt;&gt;0",'Degrémont Entrée'!$A$14:$A$379,"&gt;="&amp;A17,'Degrémont Entrée'!$A$14:$A$379,"&lt;="&amp;EOMONTH(A17,0))</f>
        <v>5.1198333333333339E-2</v>
      </c>
      <c r="Q60" s="595"/>
      <c r="R60" s="595"/>
      <c r="S60" s="599"/>
      <c r="T60" s="599"/>
      <c r="U60" s="599"/>
      <c r="V60" s="599"/>
      <c r="W60" s="599"/>
      <c r="X60" s="599"/>
      <c r="Y60" s="599"/>
      <c r="Z60" s="599"/>
    </row>
    <row r="61" spans="1:26" ht="15.75" customHeight="1">
      <c r="A61" s="595"/>
      <c r="B61" s="746">
        <f t="shared" si="11"/>
        <v>43678</v>
      </c>
      <c r="C61" s="742">
        <f>AVERAGEIFS('Degrémont Entrée'!$AQ$14:$AQ$379,'Degrémont Entrée'!$AQ$14:$AQ$379,"&lt;&gt;0",'Degrémont Entrée'!$A$14:$A$379,"&gt;="&amp;A18,'Degrémont Entrée'!$A$14:$A$379,"&lt;="&amp;EOMONTH(A18,0))</f>
        <v>847.5293825</v>
      </c>
      <c r="D61" s="743">
        <f>AVERAGEIFS('Degrémont Entrée'!$AZ$14:$AZ$379,'Degrémont Entrée'!$AZ$14:$AZ$379,"&lt;&gt;0",'Degrémont Entrée'!$A$14:$A$379,"&gt;="&amp;A18,'Degrémont Entrée'!$A$14:$A$379,"&lt;="&amp;EOMONTH(A18,0))</f>
        <v>857.96061250000002</v>
      </c>
      <c r="E61" s="743">
        <f>AVERAGEIFS('Degrémont Entrée'!$BC$14:$BC$379,'Degrémont Entrée'!$BC$14:$BC$379,"&lt;&gt;0",'Degrémont Entrée'!$A$14:$A$379,"&gt;="&amp;A18,'Degrémont Entrée'!$A$14:$A$379,"&lt;="&amp;EOMONTH(A18,0))</f>
        <v>50.238396249999994</v>
      </c>
      <c r="F61" s="743">
        <f>AVERAGEIFS('Degrémont Entrée'!$AW$14:$AW$379,'Degrémont Entrée'!$AW$14:$AW$379,"&lt;&gt;0",'Degrémont Entrée'!$A$14:$A$379,"&gt;="&amp;A18,'Degrémont Entrée'!$A$14:$A$379,"&lt;="&amp;EOMONTH(A18,0))</f>
        <v>42.679267499999995</v>
      </c>
      <c r="G61" s="747" t="e">
        <v>#DIV/0!</v>
      </c>
      <c r="H61" s="743">
        <f>AVERAGEIFS('Degrémont Entrée'!$AN$14:$AN$379,'Degrémont Entrée'!$AN$14:$AN$379,"&lt;&gt;0",'Degrémont Entrée'!$A$14:$A$379,"&gt;="&amp;A18,'Degrémont Entrée'!$A$14:$A$379,"&lt;="&amp;EOMONTH(A18,0))</f>
        <v>468.90625</v>
      </c>
      <c r="I61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61" s="743">
        <f>AVERAGEIFS('Degrémont sortie'!$AK$14:$AK$379,'Degrémont sortie'!$AK$14:$AK$379,"&lt;&gt;0",'Degrémont Entrée'!$A$14:$A$379,"&gt;="&amp;A18,'Degrémont Entrée'!$A$14:$A$379,"&lt;="&amp;EOMONTH(A18,0))</f>
        <v>0.46578999999999998</v>
      </c>
      <c r="K61" s="743">
        <f>AVERAGEIFS('Degrémont sortie'!$AT$14:$AT$379,'Degrémont sortie'!$AT$14:$AT$379,"&lt;&gt;0",'Degrémont Entrée'!$A$14:$A$379,"&gt;="&amp;A18,'Degrémont Entrée'!$A$14:$A$379,"&lt;="&amp;EOMONTH(A18,0))</f>
        <v>0.36349666666666663</v>
      </c>
      <c r="L61" s="743">
        <f>AVERAGEIFS('Degrémont sortie'!$AW$14:$AW$379,'Degrémont sortie'!$AW$14:$AW$379,"&lt;&gt;0",'Degrémont Entrée'!$A$14:$A$379,"&gt;="&amp;A18,'Degrémont Entrée'!$A$14:$A$379,"&lt;="&amp;EOMONTH(A18,0))</f>
        <v>3.9600000000000003E-2</v>
      </c>
      <c r="M61" s="743">
        <f>AVERAGEIFS('Degrémont sortie'!$AQ$14:$AQ$379,'Degrémont sortie'!$AQ$14:$AQ$379,"&lt;&gt;0",'Degrémont Entrée'!$A$14:$A$379,"&gt;="&amp;A18,'Degrémont Entrée'!$A$14:$A$379,"&lt;="&amp;EOMONTH(A18,0))</f>
        <v>4.4853333333333335E-2</v>
      </c>
      <c r="N61" s="743" t="e">
        <f>AVERAGEIFS('Degrémont sortie'!$AE$14:$AE$379,'Degrémont sortie'!$AE$14:$AE$379,"&lt;&gt;0",'Degrémont Entrée'!$A$14:$A$379,"&gt;="&amp;A18,'Degrémont Entrée'!$A$14:$A$379,"&lt;="&amp;EOMONTH(A18,0))</f>
        <v>#DIV/0!</v>
      </c>
      <c r="O61" s="743">
        <f>AVERAGEIFS('Degrémont sortie'!$AH$14:$AH$379,'Degrémont sortie'!$AH$14:$AH$379,"&lt;&gt;0",'Degrémont Entrée'!$A$14:$A$379,"&gt;="&amp;A18,'Degrémont Entrée'!$A$14:$A$379,"&lt;="&amp;EOMONTH(A18,0))</f>
        <v>2.2695725000000002</v>
      </c>
      <c r="P61" s="743">
        <f>AVERAGEIFS('Degrémont sortie'!$AZ$14:$AZ$379,'Degrémont sortie'!$AZ$14:$AZ$379,"&lt;&gt;0",'Degrémont Entrée'!$A$14:$A$379,"&gt;="&amp;A18,'Degrémont Entrée'!$A$14:$A$379,"&lt;="&amp;EOMONTH(A18,0))</f>
        <v>3.5486666666666666E-2</v>
      </c>
      <c r="Q61" s="595"/>
      <c r="R61" s="595"/>
      <c r="S61" s="599"/>
      <c r="T61" s="599"/>
      <c r="U61" s="599"/>
      <c r="V61" s="599"/>
      <c r="W61" s="599"/>
      <c r="X61" s="599"/>
      <c r="Y61" s="599"/>
      <c r="Z61" s="599"/>
    </row>
    <row r="62" spans="1:26" ht="15.75" customHeight="1">
      <c r="A62" s="595"/>
      <c r="B62" s="746">
        <f t="shared" si="11"/>
        <v>43709</v>
      </c>
      <c r="C62" s="742">
        <f>AVERAGEIFS('Degrémont Entrée'!$AQ$14:$AQ$379,'Degrémont Entrée'!$AQ$14:$AQ$379,"&lt;&gt;0",'Degrémont Entrée'!$A$14:$A$379,"&gt;="&amp;A19,'Degrémont Entrée'!$A$14:$A$379,"&lt;="&amp;EOMONTH(A19,0))</f>
        <v>1008.6787775</v>
      </c>
      <c r="D62" s="743">
        <f>AVERAGEIFS('Degrémont Entrée'!$AZ$14:$AZ$379,'Degrémont Entrée'!$AZ$14:$AZ$379,"&lt;&gt;0",'Degrémont Entrée'!$A$14:$A$379,"&gt;="&amp;A19,'Degrémont Entrée'!$A$14:$A$379,"&lt;="&amp;EOMONTH(A19,0))</f>
        <v>1520.3081124999999</v>
      </c>
      <c r="E62" s="743">
        <f>AVERAGEIFS('Degrémont Entrée'!$BC$14:$BC$379,'Degrémont Entrée'!$BC$14:$BC$379,"&lt;&gt;0",'Degrémont Entrée'!$A$14:$A$379,"&gt;="&amp;A19,'Degrémont Entrée'!$A$14:$A$379,"&lt;="&amp;EOMONTH(A19,0))</f>
        <v>2.5094475000000003</v>
      </c>
      <c r="F62" s="743">
        <f>AVERAGEIFS('Degrémont Entrée'!$AW$14:$AW$379,'Degrémont Entrée'!$AW$14:$AW$379,"&lt;&gt;0",'Degrémont Entrée'!$A$14:$A$379,"&gt;="&amp;A19,'Degrémont Entrée'!$A$14:$A$379,"&lt;="&amp;EOMONTH(A19,0))</f>
        <v>139.70912499999997</v>
      </c>
      <c r="G62" s="747" t="e">
        <v>#DIV/0!</v>
      </c>
      <c r="H62" s="743">
        <f>AVERAGEIFS('Degrémont Entrée'!$AN$14:$AN$379,'Degrémont Entrée'!$AN$14:$AN$379,"&lt;&gt;0",'Degrémont Entrée'!$A$14:$A$379,"&gt;="&amp;A19,'Degrémont Entrée'!$A$14:$A$379,"&lt;="&amp;EOMONTH(A19,0))</f>
        <v>496.19333333333333</v>
      </c>
      <c r="I62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62" s="743">
        <f>AVERAGEIFS('Degrémont sortie'!$AK$14:$AK$379,'Degrémont sortie'!$AK$14:$AK$379,"&lt;&gt;0",'Degrémont Entrée'!$A$14:$A$379,"&gt;="&amp;A19,'Degrémont Entrée'!$A$14:$A$379,"&lt;="&amp;EOMONTH(A19,0))</f>
        <v>0.99260749999999986</v>
      </c>
      <c r="K62" s="743">
        <f>AVERAGEIFS('Degrémont sortie'!$AT$14:$AT$379,'Degrémont sortie'!$AT$14:$AT$379,"&lt;&gt;0",'Degrémont Entrée'!$A$14:$A$379,"&gt;="&amp;A19,'Degrémont Entrée'!$A$14:$A$379,"&lt;="&amp;EOMONTH(A19,0))</f>
        <v>0.72144000000000008</v>
      </c>
      <c r="L62" s="743">
        <f>AVERAGEIFS('Degrémont sortie'!$AW$14:$AW$379,'Degrémont sortie'!$AW$14:$AW$379,"&lt;&gt;0",'Degrémont Entrée'!$A$14:$A$379,"&gt;="&amp;A19,'Degrémont Entrée'!$A$14:$A$379,"&lt;="&amp;EOMONTH(A19,0))</f>
        <v>8.1262499999999988E-2</v>
      </c>
      <c r="M62" s="743">
        <f>AVERAGEIFS('Degrémont sortie'!$AQ$14:$AQ$379,'Degrémont sortie'!$AQ$14:$AQ$379,"&lt;&gt;0",'Degrémont Entrée'!$A$14:$A$379,"&gt;="&amp;A19,'Degrémont Entrée'!$A$14:$A$379,"&lt;="&amp;EOMONTH(A19,0))</f>
        <v>0.112265</v>
      </c>
      <c r="N62" s="743" t="e">
        <f>AVERAGEIFS('Degrémont sortie'!$AE$14:$AE$379,'Degrémont sortie'!$AE$14:$AE$379,"&lt;&gt;0",'Degrémont Entrée'!$A$14:$A$379,"&gt;="&amp;A19,'Degrémont Entrée'!$A$14:$A$379,"&lt;="&amp;EOMONTH(A19,0))</f>
        <v>#DIV/0!</v>
      </c>
      <c r="O62" s="743">
        <f>AVERAGEIFS('Degrémont sortie'!$AH$14:$AH$379,'Degrémont sortie'!$AH$14:$AH$379,"&lt;&gt;0",'Degrémont Entrée'!$A$14:$A$379,"&gt;="&amp;A19,'Degrémont Entrée'!$A$14:$A$379,"&lt;="&amp;EOMONTH(A19,0))</f>
        <v>2.059005</v>
      </c>
      <c r="P62" s="743">
        <f>AVERAGEIFS('Degrémont sortie'!$AZ$14:$AZ$379,'Degrémont sortie'!$AZ$14:$AZ$379,"&lt;&gt;0",'Degrémont Entrée'!$A$14:$A$379,"&gt;="&amp;A19,'Degrémont Entrée'!$A$14:$A$379,"&lt;="&amp;EOMONTH(A19,0))</f>
        <v>7.0427500000000004E-2</v>
      </c>
      <c r="Q62" s="595"/>
      <c r="R62" s="595"/>
      <c r="S62" s="599"/>
      <c r="T62" s="599"/>
      <c r="U62" s="599"/>
      <c r="V62" s="599"/>
      <c r="W62" s="599"/>
      <c r="X62" s="599"/>
      <c r="Y62" s="599"/>
      <c r="Z62" s="599"/>
    </row>
    <row r="63" spans="1:26" ht="15.75" customHeight="1">
      <c r="A63" s="595"/>
      <c r="B63" s="746">
        <f t="shared" si="11"/>
        <v>43739</v>
      </c>
      <c r="C63" s="742">
        <f>AVERAGEIFS('Degrémont Entrée'!$AQ$14:$AQ$379,'Degrémont Entrée'!$AQ$14:$AQ$379,"&lt;&gt;0",'Degrémont Entrée'!$A$14:$A$379,"&gt;="&amp;A20,'Degrémont Entrée'!$A$14:$A$379,"&lt;="&amp;EOMONTH(A20,0))</f>
        <v>619.43906399999992</v>
      </c>
      <c r="D63" s="743">
        <f>AVERAGEIFS('Degrémont Entrée'!$AZ$14:$AZ$379,'Degrémont Entrée'!$AZ$14:$AZ$379,"&lt;&gt;0",'Degrémont Entrée'!$A$14:$A$379,"&gt;="&amp;A20,'Degrémont Entrée'!$A$14:$A$379,"&lt;="&amp;EOMONTH(A20,0))</f>
        <v>1347.796578</v>
      </c>
      <c r="E63" s="743">
        <f>AVERAGEIFS('Degrémont Entrée'!$BC$14:$BC$379,'Degrémont Entrée'!$BC$14:$BC$379,"&lt;&gt;0",'Degrémont Entrée'!$A$14:$A$379,"&gt;="&amp;A20,'Degrémont Entrée'!$A$14:$A$379,"&lt;="&amp;EOMONTH(A20,0))</f>
        <v>2.2122160000000002</v>
      </c>
      <c r="F63" s="743">
        <f>AVERAGEIFS('Degrémont Entrée'!$AW$14:$AW$379,'Degrémont Entrée'!$AW$14:$AW$379,"&lt;&gt;0",'Degrémont Entrée'!$A$14:$A$379,"&gt;="&amp;A20,'Degrémont Entrée'!$A$14:$A$379,"&lt;="&amp;EOMONTH(A20,0))</f>
        <v>159.99555599999999</v>
      </c>
      <c r="G63" s="747" t="e">
        <v>#DIV/0!</v>
      </c>
      <c r="H63" s="743">
        <f>AVERAGEIFS('Degrémont Entrée'!$AN$14:$AN$379,'Degrémont Entrée'!$AN$14:$AN$379,"&lt;&gt;0",'Degrémont Entrée'!$A$14:$A$379,"&gt;="&amp;A20,'Degrémont Entrée'!$A$14:$A$379,"&lt;="&amp;EOMONTH(A20,0))</f>
        <v>228.02264800000003</v>
      </c>
      <c r="I63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63" s="743">
        <f>AVERAGEIFS('Degrémont sortie'!$AK$14:$AK$379,'Degrémont sortie'!$AK$14:$AK$379,"&lt;&gt;0",'Degrémont Entrée'!$A$14:$A$379,"&gt;="&amp;A20,'Degrémont Entrée'!$A$14:$A$379,"&lt;="&amp;EOMONTH(A20,0))</f>
        <v>0.43422400000000005</v>
      </c>
      <c r="K63" s="743">
        <f>AVERAGEIFS('Degrémont sortie'!$AT$14:$AT$379,'Degrémont sortie'!$AT$14:$AT$379,"&lt;&gt;0",'Degrémont Entrée'!$A$14:$A$379,"&gt;="&amp;A20,'Degrémont Entrée'!$A$14:$A$379,"&lt;="&amp;EOMONTH(A20,0))</f>
        <v>0.106264</v>
      </c>
      <c r="L63" s="743">
        <f>AVERAGEIFS('Degrémont sortie'!$AW$14:$AW$379,'Degrémont sortie'!$AW$14:$AW$379,"&lt;&gt;0",'Degrémont Entrée'!$A$14:$A$379,"&gt;="&amp;A20,'Degrémont Entrée'!$A$14:$A$379,"&lt;="&amp;EOMONTH(A20,0))</f>
        <v>0.11010299999999999</v>
      </c>
      <c r="M63" s="743">
        <f>AVERAGEIFS('Degrémont sortie'!$AQ$14:$AQ$379,'Degrémont sortie'!$AQ$14:$AQ$379,"&lt;&gt;0",'Degrémont Entrée'!$A$14:$A$379,"&gt;="&amp;A20,'Degrémont Entrée'!$A$14:$A$379,"&lt;="&amp;EOMONTH(A20,0))</f>
        <v>0.14272000000000001</v>
      </c>
      <c r="N63" s="743">
        <f>AVERAGEIFS('Degrémont sortie'!$AE$14:$AE$379,'Degrémont sortie'!$AE$14:$AE$379,"&lt;&gt;0",'Degrémont Entrée'!$A$14:$A$379,"&gt;="&amp;A20,'Degrémont Entrée'!$A$14:$A$379,"&lt;="&amp;EOMONTH(A20,0))</f>
        <v>1.6672500000000003E-2</v>
      </c>
      <c r="O63" s="743">
        <f>AVERAGEIFS('Degrémont sortie'!$AH$14:$AH$379,'Degrémont sortie'!$AH$14:$AH$379,"&lt;&gt;0",'Degrémont Entrée'!$A$14:$A$379,"&gt;="&amp;A20,'Degrémont Entrée'!$A$14:$A$379,"&lt;="&amp;EOMONTH(A20,0))</f>
        <v>2.9861219999999995</v>
      </c>
      <c r="P63" s="743">
        <f>AVERAGEIFS('Degrémont sortie'!$AZ$14:$AZ$379,'Degrémont sortie'!$AZ$14:$AZ$379,"&lt;&gt;0",'Degrémont Entrée'!$A$14:$A$379,"&gt;="&amp;A20,'Degrémont Entrée'!$A$14:$A$379,"&lt;="&amp;EOMONTH(A20,0))</f>
        <v>3.4910000000000004E-2</v>
      </c>
      <c r="Q63" s="595"/>
      <c r="R63" s="595"/>
      <c r="S63" s="599"/>
      <c r="T63" s="599"/>
      <c r="U63" s="599"/>
      <c r="V63" s="599"/>
      <c r="W63" s="599"/>
      <c r="X63" s="599"/>
      <c r="Y63" s="599"/>
      <c r="Z63" s="599"/>
    </row>
    <row r="64" spans="1:26" ht="15.75" customHeight="1">
      <c r="A64" s="595"/>
      <c r="B64" s="746">
        <f t="shared" si="11"/>
        <v>43770</v>
      </c>
      <c r="C64" s="742">
        <f>AVERAGEIFS('Degrémont Entrée'!$AQ$14:$AQ$379,'Degrémont Entrée'!$AQ$14:$AQ$379,"&lt;&gt;0",'Degrémont Entrée'!$A$14:$A$379,"&gt;="&amp;A21,'Degrémont Entrée'!$A$14:$A$379,"&lt;="&amp;EOMONTH(A21,0))</f>
        <v>986.64842499999997</v>
      </c>
      <c r="D64" s="743">
        <f>AVERAGEIFS('Degrémont Entrée'!$AZ$14:$AZ$379,'Degrémont Entrée'!$AZ$14:$AZ$379,"&lt;&gt;0",'Degrémont Entrée'!$A$14:$A$379,"&gt;="&amp;A21,'Degrémont Entrée'!$A$14:$A$379,"&lt;="&amp;EOMONTH(A21,0))</f>
        <v>1374.517595</v>
      </c>
      <c r="E64" s="743">
        <f>AVERAGEIFS('Degrémont Entrée'!$BC$14:$BC$379,'Degrémont Entrée'!$BC$14:$BC$379,"&lt;&gt;0",'Degrémont Entrée'!$A$14:$A$379,"&gt;="&amp;A21,'Degrémont Entrée'!$A$14:$A$379,"&lt;="&amp;EOMONTH(A21,0))</f>
        <v>2.8719400000000004</v>
      </c>
      <c r="F64" s="743">
        <f>AVERAGEIFS('Degrémont Entrée'!$AW$14:$AW$379,'Degrémont Entrée'!$AW$14:$AW$379,"&lt;&gt;0",'Degrémont Entrée'!$A$14:$A$379,"&gt;="&amp;A21,'Degrémont Entrée'!$A$14:$A$379,"&lt;="&amp;EOMONTH(A21,0))</f>
        <v>103.5971875</v>
      </c>
      <c r="G64" s="747" t="e">
        <v>#DIV/0!</v>
      </c>
      <c r="H64" s="743">
        <f>AVERAGEIFS('Degrémont Entrée'!$AN$14:$AN$379,'Degrémont Entrée'!$AN$14:$AN$379,"&lt;&gt;0",'Degrémont Entrée'!$A$14:$A$379,"&gt;="&amp;A21,'Degrémont Entrée'!$A$14:$A$379,"&lt;="&amp;EOMONTH(A21,0))</f>
        <v>541.92925000000002</v>
      </c>
      <c r="I64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64" s="743">
        <f>AVERAGEIFS('Degrémont sortie'!$AK$14:$AK$379,'Degrémont sortie'!$AK$14:$AK$379,"&lt;&gt;0",'Degrémont Entrée'!$A$14:$A$379,"&gt;="&amp;A21,'Degrémont Entrée'!$A$14:$A$379,"&lt;="&amp;EOMONTH(A21,0))</f>
        <v>0.17297333333333334</v>
      </c>
      <c r="K64" s="743">
        <f>AVERAGEIFS('Degrémont sortie'!$AT$14:$AT$379,'Degrémont sortie'!$AT$14:$AT$379,"&lt;&gt;0",'Degrémont Entrée'!$A$14:$A$379,"&gt;="&amp;A21,'Degrémont Entrée'!$A$14:$A$379,"&lt;="&amp;EOMONTH(A21,0))</f>
        <v>6.3411999999999996E-2</v>
      </c>
      <c r="L64" s="743">
        <f>AVERAGEIFS('Degrémont sortie'!$AW$14:$AW$379,'Degrémont sortie'!$AW$14:$AW$379,"&lt;&gt;0",'Degrémont Entrée'!$A$14:$A$379,"&gt;="&amp;A21,'Degrémont Entrée'!$A$14:$A$379,"&lt;="&amp;EOMONTH(A21,0))</f>
        <v>3.0036666666666673E-2</v>
      </c>
      <c r="M64" s="743">
        <f>AVERAGEIFS('Degrémont sortie'!$AQ$14:$AQ$379,'Degrémont sortie'!$AQ$14:$AQ$379,"&lt;&gt;0",'Degrémont Entrée'!$A$14:$A$379,"&gt;="&amp;A21,'Degrémont Entrée'!$A$14:$A$379,"&lt;="&amp;EOMONTH(A21,0))</f>
        <v>6.3036666666666671E-2</v>
      </c>
      <c r="N64" s="743">
        <f>AVERAGEIFS('Degrémont sortie'!$AE$14:$AE$379,'Degrémont sortie'!$AE$14:$AE$379,"&lt;&gt;0",'Degrémont Entrée'!$A$14:$A$379,"&gt;="&amp;A21,'Degrémont Entrée'!$A$14:$A$379,"&lt;="&amp;EOMONTH(A21,0))</f>
        <v>1.2431875E-2</v>
      </c>
      <c r="O64" s="743">
        <f>AVERAGEIFS('Degrémont sortie'!$AH$14:$AH$379,'Degrémont sortie'!$AH$14:$AH$379,"&lt;&gt;0",'Degrémont Entrée'!$A$14:$A$379,"&gt;="&amp;A21,'Degrémont Entrée'!$A$14:$A$379,"&lt;="&amp;EOMONTH(A21,0))</f>
        <v>1.3891074999999999</v>
      </c>
      <c r="P64" s="743">
        <f>AVERAGEIFS('Degrémont sortie'!$AZ$14:$AZ$379,'Degrémont sortie'!$AZ$14:$AZ$379,"&lt;&gt;0",'Degrémont Entrée'!$A$14:$A$379,"&gt;="&amp;A21,'Degrémont Entrée'!$A$14:$A$379,"&lt;="&amp;EOMONTH(A21,0))</f>
        <v>1.8923333333333333E-3</v>
      </c>
      <c r="Q64" s="595"/>
      <c r="R64" s="595"/>
      <c r="S64" s="599"/>
      <c r="T64" s="599"/>
      <c r="U64" s="599"/>
      <c r="V64" s="599"/>
      <c r="W64" s="599"/>
      <c r="X64" s="599"/>
      <c r="Y64" s="599"/>
      <c r="Z64" s="599"/>
    </row>
    <row r="65" spans="1:26" ht="15.75" customHeight="1">
      <c r="A65" s="595"/>
      <c r="B65" s="746">
        <f t="shared" si="11"/>
        <v>43800</v>
      </c>
      <c r="C65" s="742">
        <f>AVERAGEIFS('Degrémont Entrée'!$AQ$14:$AQ$379,'Degrémont Entrée'!$AQ$14:$AQ$379,"&lt;&gt;0",'Degrémont Entrée'!$A$14:$A$379,"&gt;="&amp;A22,'Degrémont Entrée'!$A$14:$A$379,"&lt;="&amp;EOMONTH(A22,0))</f>
        <v>1598.9182499999999</v>
      </c>
      <c r="D65" s="743">
        <f>AVERAGEIFS('Degrémont Entrée'!$AZ$14:$AZ$379,'Degrémont Entrée'!$AZ$14:$AZ$379,"&lt;&gt;0",'Degrémont Entrée'!$A$14:$A$379,"&gt;="&amp;A22,'Degrémont Entrée'!$A$14:$A$379,"&lt;="&amp;EOMONTH(A22,0))</f>
        <v>2283.92625</v>
      </c>
      <c r="E65" s="743">
        <f>AVERAGEIFS('Degrémont Entrée'!$BC$14:$BC$379,'Degrémont Entrée'!$BC$14:$BC$379,"&lt;&gt;0",'Degrémont Entrée'!$A$14:$A$379,"&gt;="&amp;A22,'Degrémont Entrée'!$A$14:$A$379,"&lt;="&amp;EOMONTH(A22,0))</f>
        <v>4.1993602500000007</v>
      </c>
      <c r="F65" s="743">
        <f>AVERAGEIFS('Degrémont Entrée'!$AW$14:$AW$379,'Degrémont Entrée'!$AW$14:$AW$379,"&lt;&gt;0",'Degrémont Entrée'!$A$14:$A$379,"&gt;="&amp;A22,'Degrémont Entrée'!$A$14:$A$379,"&lt;="&amp;EOMONTH(A22,0))</f>
        <v>141.565575</v>
      </c>
      <c r="G65" s="748" t="e">
        <v>#DIV/0!</v>
      </c>
      <c r="H65" s="743">
        <f>AVERAGEIFS('Degrémont Entrée'!$AN$14:$AN$379,'Degrémont Entrée'!$AN$14:$AN$379,"&lt;&gt;0",'Degrémont Entrée'!$A$14:$A$379,"&gt;="&amp;A22,'Degrémont Entrée'!$A$14:$A$379,"&lt;="&amp;EOMONTH(A22,0))</f>
        <v>561.96652499999993</v>
      </c>
      <c r="I65" s="743" t="e">
        <f>AVERAGEIFS('Degrémont Entrée'!$BF$14:$BF$379,'Degrémont Entrée'!$BF$14:$BF$379,"&lt;&gt;0'Degrémont Entrée'!$A$14:$A$379;"&gt;="&amp;A11;'Degrémont Entrée'!$A$14:$A$379;"&lt;="&amp;FIN.MOIS(A11;0))")</f>
        <v>#DIV/0!</v>
      </c>
      <c r="J65" s="743">
        <f>AVERAGEIFS('Degrémont sortie'!$AK$14:$AK$379,'Degrémont sortie'!$AK$14:$AK$379,"&lt;&gt;0",'Degrémont Entrée'!$A$14:$A$379,"&gt;="&amp;A22,'Degrémont Entrée'!$A$14:$A$379,"&lt;="&amp;EOMONTH(A22,0))</f>
        <v>4.6506666666666668E-2</v>
      </c>
      <c r="K65" s="743">
        <f>AVERAGEIFS('Degrémont sortie'!$AT$14:$AT$379,'Degrémont sortie'!$AT$14:$AT$379,"&lt;&gt;0",'Degrémont Entrée'!$A$14:$A$379,"&gt;="&amp;A22,'Degrémont Entrée'!$A$14:$A$379,"&lt;="&amp;EOMONTH(A22,0))</f>
        <v>3.7401333333333335E-2</v>
      </c>
      <c r="L65" s="743">
        <f>AVERAGEIFS('Degrémont sortie'!$AW$14:$AW$379,'Degrémont sortie'!$AW$14:$AW$379,"&lt;&gt;0",'Degrémont Entrée'!$A$14:$A$379,"&gt;="&amp;A22,'Degrémont Entrée'!$A$14:$A$379,"&lt;="&amp;EOMONTH(A22,0))</f>
        <v>3.4493333333333333E-3</v>
      </c>
      <c r="M65" s="743">
        <f>AVERAGEIFS('Degrémont sortie'!$AQ$14:$AQ$379,'Degrémont sortie'!$AQ$14:$AQ$379,"&lt;&gt;0",'Degrémont Entrée'!$A$14:$A$379,"&gt;="&amp;A22,'Degrémont Entrée'!$A$14:$A$379,"&lt;="&amp;EOMONTH(A22,0))</f>
        <v>5.0359999999999995E-2</v>
      </c>
      <c r="N65" s="743">
        <f>AVERAGEIFS('Degrémont sortie'!$AE$14:$AE$379,'Degrémont sortie'!$AE$14:$AE$379,"&lt;&gt;0",'Degrémont Entrée'!$A$14:$A$379,"&gt;="&amp;A22,'Degrémont Entrée'!$A$14:$A$379,"&lt;="&amp;EOMONTH(A22,0))</f>
        <v>1.0971875000000001E-2</v>
      </c>
      <c r="O65" s="743">
        <f>AVERAGEIFS('Degrémont sortie'!$AH$14:$AH$379,'Degrémont sortie'!$AH$14:$AH$379,"&lt;&gt;0",'Degrémont Entrée'!$A$14:$A$379,"&gt;="&amp;A22,'Degrémont Entrée'!$A$14:$A$379,"&lt;="&amp;EOMONTH(A22,0))</f>
        <v>1.02504</v>
      </c>
      <c r="P65" s="743">
        <f>AVERAGEIFS('Degrémont sortie'!$AZ$14:$AZ$379,'Degrémont sortie'!$AZ$14:$AZ$379,"&lt;&gt;0",'Degrémont Entrée'!$A$14:$A$379,"&gt;="&amp;A22,'Degrémont Entrée'!$A$14:$A$379,"&lt;="&amp;EOMONTH(A22,0))</f>
        <v>5.5866666666666662E-4</v>
      </c>
      <c r="Q65" s="595"/>
      <c r="R65" s="595"/>
      <c r="S65" s="599"/>
      <c r="T65" s="599"/>
      <c r="U65" s="599"/>
      <c r="V65" s="599"/>
      <c r="W65" s="599"/>
      <c r="X65" s="599"/>
      <c r="Y65" s="599"/>
      <c r="Z65" s="599"/>
    </row>
    <row r="66" spans="1:26" ht="15.75" customHeight="1">
      <c r="A66" s="595"/>
      <c r="B66" s="715" t="s">
        <v>235</v>
      </c>
      <c r="C66" s="749">
        <f t="shared" ref="C66:P66" si="12">IF(COUNT(C54:C65),AVERAGE(C54:C65),"")</f>
        <v>965.16590401388885</v>
      </c>
      <c r="D66" s="749">
        <f t="shared" si="12"/>
        <v>1475.9108679027777</v>
      </c>
      <c r="E66" s="749">
        <f t="shared" si="12"/>
        <v>9.8098922916666655</v>
      </c>
      <c r="F66" s="749">
        <f t="shared" si="12"/>
        <v>140.18452597222225</v>
      </c>
      <c r="G66" s="749" t="str">
        <f t="shared" si="12"/>
        <v/>
      </c>
      <c r="H66" s="749">
        <f t="shared" si="12"/>
        <v>397.53641302777777</v>
      </c>
      <c r="I66" s="750" t="str">
        <f t="shared" si="12"/>
        <v/>
      </c>
      <c r="J66" s="749">
        <f t="shared" si="12"/>
        <v>0.64805066666666666</v>
      </c>
      <c r="K66" s="749">
        <f t="shared" si="12"/>
        <v>0.57949642063492057</v>
      </c>
      <c r="L66" s="749">
        <f t="shared" si="12"/>
        <v>6.5253458333333333E-2</v>
      </c>
      <c r="M66" s="749">
        <f t="shared" si="12"/>
        <v>0.16952875000000003</v>
      </c>
      <c r="N66" s="749" t="e">
        <f t="shared" si="12"/>
        <v>#DIV/0!</v>
      </c>
      <c r="O66" s="749">
        <f t="shared" si="12"/>
        <v>2.7018749166666662</v>
      </c>
      <c r="P66" s="749">
        <f t="shared" si="12"/>
        <v>4.9050986111111118E-2</v>
      </c>
      <c r="Q66" s="595"/>
      <c r="R66" s="595"/>
      <c r="S66" s="599"/>
      <c r="T66" s="599"/>
      <c r="U66" s="599"/>
      <c r="V66" s="599"/>
      <c r="W66" s="599"/>
      <c r="X66" s="599"/>
      <c r="Y66" s="599"/>
      <c r="Z66" s="599"/>
    </row>
    <row r="67" spans="1:26" ht="15.75" customHeight="1">
      <c r="A67" s="595"/>
      <c r="B67" s="595"/>
      <c r="C67" s="595"/>
      <c r="D67" s="595"/>
      <c r="E67" s="595"/>
      <c r="F67" s="595"/>
      <c r="G67" s="595"/>
      <c r="H67" s="595"/>
      <c r="I67" s="595"/>
      <c r="J67" s="595"/>
      <c r="K67" s="595"/>
      <c r="L67" s="595"/>
      <c r="M67" s="595"/>
      <c r="N67" s="595"/>
      <c r="O67" s="595"/>
      <c r="P67" s="595"/>
      <c r="Q67" s="595"/>
      <c r="R67" s="595"/>
      <c r="S67" s="599"/>
      <c r="T67" s="599"/>
      <c r="U67" s="599"/>
      <c r="V67" s="599"/>
      <c r="W67" s="599"/>
      <c r="X67" s="599"/>
      <c r="Y67" s="599"/>
      <c r="Z67" s="599"/>
    </row>
    <row r="68" spans="1:26" ht="15.75" customHeight="1">
      <c r="A68" s="595"/>
      <c r="B68" s="595"/>
      <c r="C68" s="595"/>
      <c r="D68" s="595"/>
      <c r="E68" s="595"/>
      <c r="F68" s="595"/>
      <c r="G68" s="1541" t="s">
        <v>253</v>
      </c>
      <c r="H68" s="1520"/>
      <c r="I68" s="1520"/>
      <c r="J68" s="1520"/>
      <c r="K68" s="1520"/>
      <c r="L68" s="1520"/>
      <c r="M68" s="1520"/>
      <c r="N68" s="1520"/>
      <c r="O68" s="1522"/>
      <c r="P68" s="595"/>
      <c r="Q68" s="595"/>
      <c r="R68" s="595"/>
      <c r="S68" s="599"/>
      <c r="T68" s="599"/>
      <c r="U68" s="599"/>
      <c r="V68" s="599"/>
      <c r="W68" s="599"/>
      <c r="X68" s="599"/>
      <c r="Y68" s="599"/>
      <c r="Z68" s="599"/>
    </row>
    <row r="69" spans="1:26" ht="15.75" customHeight="1">
      <c r="A69" s="595"/>
      <c r="B69" s="595"/>
      <c r="C69" s="595"/>
      <c r="D69" s="595"/>
      <c r="E69" s="595"/>
      <c r="F69" s="595"/>
      <c r="G69" s="595"/>
      <c r="H69" s="595"/>
      <c r="I69" s="595"/>
      <c r="J69" s="595"/>
      <c r="K69" s="595"/>
      <c r="L69" s="595"/>
      <c r="M69" s="595"/>
      <c r="N69" s="595"/>
      <c r="O69" s="595"/>
      <c r="P69" s="595"/>
      <c r="Q69" s="595"/>
      <c r="R69" s="595"/>
      <c r="S69" s="599"/>
      <c r="T69" s="599"/>
      <c r="U69" s="599"/>
      <c r="V69" s="599"/>
      <c r="W69" s="599"/>
      <c r="X69" s="599"/>
      <c r="Y69" s="599"/>
      <c r="Z69" s="599"/>
    </row>
    <row r="70" spans="1:26" ht="15.75" customHeight="1">
      <c r="A70" s="595"/>
      <c r="B70" s="593"/>
      <c r="C70" s="1524" t="s">
        <v>221</v>
      </c>
      <c r="D70" s="1420"/>
      <c r="E70" s="1420"/>
      <c r="F70" s="1420"/>
      <c r="G70" s="1420"/>
      <c r="H70" s="1420"/>
      <c r="I70" s="1421"/>
      <c r="J70" s="1524" t="s">
        <v>222</v>
      </c>
      <c r="K70" s="1420"/>
      <c r="L70" s="1420"/>
      <c r="M70" s="1420"/>
      <c r="N70" s="1420"/>
      <c r="O70" s="1420"/>
      <c r="P70" s="1421"/>
      <c r="Q70" s="595"/>
      <c r="R70" s="595"/>
      <c r="S70" s="599"/>
      <c r="T70" s="599"/>
      <c r="U70" s="599"/>
      <c r="V70" s="599"/>
      <c r="W70" s="599"/>
      <c r="X70" s="599"/>
      <c r="Y70" s="599"/>
      <c r="Z70" s="599"/>
    </row>
    <row r="71" spans="1:26" ht="15.75" customHeight="1">
      <c r="A71" s="595"/>
      <c r="B71" s="593"/>
      <c r="C71" s="593"/>
      <c r="D71" s="593"/>
      <c r="E71" s="593"/>
      <c r="F71" s="593"/>
      <c r="G71" s="593"/>
      <c r="H71" s="593"/>
      <c r="I71" s="729"/>
      <c r="J71" s="593"/>
      <c r="K71" s="593"/>
      <c r="L71" s="593"/>
      <c r="M71" s="593"/>
      <c r="N71" s="593"/>
      <c r="O71" s="595"/>
      <c r="P71" s="595"/>
      <c r="Q71" s="595"/>
      <c r="R71" s="595"/>
      <c r="S71" s="599"/>
      <c r="T71" s="599"/>
      <c r="U71" s="599"/>
      <c r="V71" s="599"/>
      <c r="W71" s="599"/>
      <c r="X71" s="599"/>
      <c r="Y71" s="599"/>
      <c r="Z71" s="599"/>
    </row>
    <row r="72" spans="1:26" ht="15.75" customHeight="1">
      <c r="A72" s="595"/>
      <c r="B72" s="1529" t="s">
        <v>223</v>
      </c>
      <c r="C72" s="751" t="s">
        <v>156</v>
      </c>
      <c r="D72" s="731" t="s">
        <v>163</v>
      </c>
      <c r="E72" s="731" t="s">
        <v>161</v>
      </c>
      <c r="F72" s="731" t="s">
        <v>157</v>
      </c>
      <c r="G72" s="731" t="s">
        <v>251</v>
      </c>
      <c r="H72" s="731" t="s">
        <v>155</v>
      </c>
      <c r="I72" s="733" t="s">
        <v>162</v>
      </c>
      <c r="J72" s="730" t="s">
        <v>156</v>
      </c>
      <c r="K72" s="731" t="s">
        <v>163</v>
      </c>
      <c r="L72" s="731" t="s">
        <v>161</v>
      </c>
      <c r="M72" s="731" t="s">
        <v>157</v>
      </c>
      <c r="N72" s="731" t="s">
        <v>251</v>
      </c>
      <c r="O72" s="731" t="s">
        <v>155</v>
      </c>
      <c r="P72" s="733" t="s">
        <v>162</v>
      </c>
      <c r="Q72" s="595"/>
      <c r="R72" s="595"/>
      <c r="S72" s="599"/>
      <c r="T72" s="599"/>
      <c r="U72" s="599"/>
      <c r="V72" s="599"/>
      <c r="W72" s="599"/>
      <c r="X72" s="599"/>
      <c r="Y72" s="599"/>
      <c r="Z72" s="599"/>
    </row>
    <row r="73" spans="1:26" ht="15.75" customHeight="1">
      <c r="A73" s="595"/>
      <c r="B73" s="1516"/>
      <c r="C73" s="734" t="s">
        <v>230</v>
      </c>
      <c r="D73" s="735" t="s">
        <v>230</v>
      </c>
      <c r="E73" s="735" t="s">
        <v>230</v>
      </c>
      <c r="F73" s="735" t="s">
        <v>230</v>
      </c>
      <c r="G73" s="735" t="s">
        <v>232</v>
      </c>
      <c r="H73" s="735" t="s">
        <v>230</v>
      </c>
      <c r="I73" s="737" t="s">
        <v>230</v>
      </c>
      <c r="J73" s="738" t="s">
        <v>230</v>
      </c>
      <c r="K73" s="735" t="s">
        <v>230</v>
      </c>
      <c r="L73" s="735" t="s">
        <v>230</v>
      </c>
      <c r="M73" s="735" t="s">
        <v>230</v>
      </c>
      <c r="N73" s="735" t="s">
        <v>232</v>
      </c>
      <c r="O73" s="735" t="s">
        <v>230</v>
      </c>
      <c r="P73" s="737" t="s">
        <v>230</v>
      </c>
      <c r="Q73" s="595"/>
      <c r="R73" s="595"/>
      <c r="S73" s="599"/>
      <c r="T73" s="599"/>
      <c r="U73" s="599"/>
      <c r="V73" s="599"/>
      <c r="W73" s="599"/>
      <c r="X73" s="599"/>
      <c r="Y73" s="599"/>
      <c r="Z73" s="599"/>
    </row>
    <row r="74" spans="1:26" ht="15.75" customHeight="1">
      <c r="A74" s="595"/>
      <c r="B74" s="692" t="s">
        <v>238</v>
      </c>
      <c r="C74" s="742">
        <f>SUMIFS('Degrémont Entrée'!$AQ$14:$AQ$379,'Degrémont Entrée'!$AQ$14:$AQ$379,"&lt;&gt;0",'Degrémont Entrée'!$A$14:$A$379,"&gt;="&amp;A11,'Degrémont Entrée'!$A$14:$A$379,"&lt;="&amp;EOMONTH(A11,0))</f>
        <v>6105.1587199999994</v>
      </c>
      <c r="D74" s="743">
        <f>SUMIFS('Degrémont Entrée'!$AZ$14:$AZ$379,'Degrémont Entrée'!$AZ$14:$AZ$379,"&lt;&gt;0",'Degrémont Entrée'!$A$14:$A$379,"&gt;="&amp;A11,'Degrémont Entrée'!$A$14:$A$379,"&lt;="&amp;EOMONTH(A11,0))</f>
        <v>8346.5838800000001</v>
      </c>
      <c r="E74" s="743">
        <f>SUMIFS('Degrémont Entrée'!$BC$14:$BC$379,'Degrémont Entrée'!$BC$14:$BC$379,"&lt;&gt;0",'Degrémont Entrée'!$A$14:$A$379,"&gt;="&amp;A11,'Degrémont Entrée'!$A$14:$A$379,"&lt;="&amp;EOMONTH(A11,0))</f>
        <v>154.31723000000002</v>
      </c>
      <c r="F74" s="743">
        <f>SUMIFS('Degrémont Entrée'!$AW$14:$AW$379,'Degrémont Entrée'!$AW$14:$AW$379,"&lt;&gt;0",'Degrémont Entrée'!$A$14:$A$379,"&gt;="&amp;A11,'Degrémont Entrée'!$A$14:$A$379,"&lt;="&amp;EOMONTH(A11,0))</f>
        <v>780.19991000000005</v>
      </c>
      <c r="G74" s="744" t="e">
        <f>AVERAGEIFS('Degrémont Entrée'!$AQ$14:$AQ$379,'Degrémont Entrée'!$AQ$14:$AQ$379,"&lt;&gt;",'Degrémont Entrée'!$A$14:$A$379,"&gt;="&amp;F74,'Degrémont Entrée'!$A$14:$A$379,"&lt;="&amp;EOMONTH(F74,0))</f>
        <v>#DIV/0!</v>
      </c>
      <c r="H74" s="743">
        <f>SUMIFS('Degrémont Entrée'!$AN$14:$AN$379,'Degrémont Entrée'!$AN$14:$AN$379,"&lt;&gt;0",'Degrémont Entrée'!$A$14:$A$379,"&gt;="&amp;A11,'Degrémont Entrée'!$A$14:$A$379,"&lt;="&amp;EOMONTH(A11,0))</f>
        <v>1568.59</v>
      </c>
      <c r="I74" s="743">
        <f>SUMIFS('Degrémont Entrée'!$BF$14:$BF$379,'Degrémont Entrée'!$BF$14:$BF$379,"&lt;&gt;0",'Degrémont Entrée'!$A$14:$A$379,"&gt;="&amp;A11,'Degrémont Entrée'!$A$14:$A$379,"&lt;="&amp;EOMONTH(A11,0))</f>
        <v>3.9207600000000005</v>
      </c>
      <c r="J74" s="743">
        <f>SUMIFS('Degrémont sortie'!$AK$14:$AK$379,'Degrémont sortie'!$AK$14:$AK$379,"&lt;&gt;0",'Degrémont Entrée'!$A$14:$A$379,"&gt;="&amp;A11,'Degrémont Entrée'!$A$14:$A$379,"&lt;="&amp;EOMONTH(A11,0))</f>
        <v>2.7808699999999997</v>
      </c>
      <c r="K74" s="743">
        <f>SUMIFS('Degrémont sortie'!$AT$14:$AT$379,'Degrémont sortie'!$AT$14:$AT$379,"&lt;&gt;0",'Degrémont Entrée'!$A$14:$A$379,"&gt;="&amp;A11,'Degrémont Entrée'!$A$14:$A$379,"&lt;="&amp;EOMONTH(A11,0))</f>
        <v>2.3073100000000002</v>
      </c>
      <c r="L74" s="743">
        <f>SUMIFS('Degrémont sortie'!$AW$14:$AW$379,'Degrémont sortie'!$AW$14:$AW$379,"&lt;&gt;0",'Degrémont Entrée'!$A$14:$A$379,"&gt;="&amp;A11,'Degrémont Entrée'!$A$14:$A$379,"&lt;="&amp;EOMONTH(A11,0))</f>
        <v>0.37318499999999999</v>
      </c>
      <c r="M74" s="743">
        <f>SUMIFS('Degrémont sortie'!$AQ$14:$AQ$379,'Degrémont sortie'!$AQ$14:$AQ$379,"&lt;&gt;0",'Degrémont Entrée'!$A$14:$A$379,"&gt;="&amp;A11,'Degrémont Entrée'!$A$14:$A$379,"&lt;="&amp;EOMONTH(A11,0))</f>
        <v>0.71716999999999997</v>
      </c>
      <c r="N74" s="743">
        <f>SUMIFS('Degrémont sortie'!$AE$14:$AE$379,'Degrémont sortie'!$AE$14:$AE$379,"&lt;&gt;0",'Degrémont Entrée'!$A$14:$A$379,"&gt;="&amp;A11,'Degrémont Entrée'!$A$14:$A$379,"&lt;="&amp;EOMONTH(A11,0))</f>
        <v>0</v>
      </c>
      <c r="O74" s="743">
        <f>SUMIFS('Degrémont sortie'!$AH$14:$AH$379,'Degrémont sortie'!$AH$14:$AH$379,"&lt;&gt;0",'Degrémont Entrée'!$A$14:$A$379,"&gt;="&amp;A11,'Degrémont Entrée'!$A$14:$A$379,"&lt;="&amp;EOMONTH(A11,0))</f>
        <v>8.273670000000001</v>
      </c>
      <c r="P74" s="743">
        <f>SUMIFS('Degrémont sortie'!$AZ$14:$AZ$379,'Degrémont sortie'!$AZ$14:$AZ$379,"&lt;&gt;0",'Degrémont Entrée'!$A$14:$A$379,"&gt;="&amp;A11,'Degrémont Entrée'!$A$14:$A$379,"&lt;="&amp;EOMONTH(A11,0))</f>
        <v>0.30699500000000002</v>
      </c>
      <c r="Q74" s="595"/>
      <c r="R74" s="595"/>
      <c r="S74" s="599"/>
      <c r="T74" s="599"/>
      <c r="U74" s="599"/>
      <c r="V74" s="599"/>
      <c r="W74" s="599"/>
      <c r="X74" s="599"/>
      <c r="Y74" s="599"/>
      <c r="Z74" s="599"/>
    </row>
    <row r="75" spans="1:26" ht="15.75" customHeight="1">
      <c r="A75" s="595"/>
      <c r="B75" s="699" t="s">
        <v>239</v>
      </c>
      <c r="C75" s="742">
        <f>SUMIFS('Degrémont Entrée'!$AQ$14:$AQ$379,'Degrémont Entrée'!$AQ$14:$AQ$379,"&lt;&gt;0",'Degrémont Entrée'!$A$14:$A$379,"&gt;="&amp;A12,'Degrémont Entrée'!$A$14:$A$379,"&lt;="&amp;EOMONTH(A12,0))</f>
        <v>1217.7774400000001</v>
      </c>
      <c r="D75" s="743">
        <f>SUMIFS('Degrémont Entrée'!$AZ$14:$AZ$379,'Degrémont Entrée'!$AZ$14:$AZ$379,"&lt;&gt;0",'Degrémont Entrée'!$A$14:$A$379,"&gt;="&amp;A12,'Degrémont Entrée'!$A$14:$A$379,"&lt;="&amp;EOMONTH(A12,0))</f>
        <v>6341.0210000000006</v>
      </c>
      <c r="E75" s="743">
        <f>SUMIFS('Degrémont Entrée'!$BC$14:$BC$379,'Degrémont Entrée'!$BC$14:$BC$379,"&lt;&gt;0",'Degrémont Entrée'!$A$14:$A$379,"&gt;="&amp;A12,'Degrémont Entrée'!$A$14:$A$379,"&lt;="&amp;EOMONTH(A12,0))</f>
        <v>33.725880000000004</v>
      </c>
      <c r="F75" s="743">
        <f>SUMIFS('Degrémont Entrée'!$AW$14:$AW$379,'Degrémont Entrée'!$AW$14:$AW$379,"&lt;&gt;0",'Degrémont Entrée'!$A$14:$A$379,"&gt;="&amp;A12,'Degrémont Entrée'!$A$14:$A$379,"&lt;="&amp;EOMONTH(A12,0))</f>
        <v>653.58611000000008</v>
      </c>
      <c r="G75" s="747" t="e">
        <v>#DIV/0!</v>
      </c>
      <c r="H75" s="743">
        <f>SUMIFS('Degrémont Entrée'!$AN$14:$AN$379,'Degrémont Entrée'!$AN$14:$AN$379,"&lt;&gt;0",'Degrémont Entrée'!$A$14:$A$379,"&gt;="&amp;A12,'Degrémont Entrée'!$A$14:$A$379,"&lt;="&amp;EOMONTH(A12,0))</f>
        <v>1068.154</v>
      </c>
      <c r="I75" s="743">
        <f>SUMIFS('Degrémont Entrée'!$BF$14:$BF$379,'Degrémont Entrée'!$BF$14:$BF$379,"&lt;&gt;0",'Degrémont Entrée'!$A$14:$A$379,"&gt;="&amp;A12,'Degrémont Entrée'!$A$14:$A$379,"&lt;="&amp;EOMONTH(A12,0))</f>
        <v>1.9674200000000002</v>
      </c>
      <c r="J75" s="743">
        <f>SUMIFS('Degrémont sortie'!$AK$14:$AK$379,'Degrémont sortie'!$AK$14:$AK$379,"&lt;&gt;0",'Degrémont Entrée'!$A$14:$A$379,"&gt;="&amp;A12,'Degrémont Entrée'!$A$14:$A$379,"&lt;="&amp;EOMONTH(A12,0))</f>
        <v>1.76735</v>
      </c>
      <c r="K75" s="743">
        <f>SUMIFS('Degrémont sortie'!$AT$14:$AT$379,'Degrémont sortie'!$AT$14:$AT$379,"&lt;&gt;0",'Degrémont Entrée'!$A$14:$A$379,"&gt;="&amp;A12,'Degrémont Entrée'!$A$14:$A$379,"&lt;="&amp;EOMONTH(A12,0))</f>
        <v>1.4306700000000001</v>
      </c>
      <c r="L75" s="743">
        <f>SUMIFS('Degrémont sortie'!$AW$14:$AW$379,'Degrémont sortie'!$AW$14:$AW$379,"&lt;&gt;0",'Degrémont Entrée'!$A$14:$A$379,"&gt;="&amp;A12,'Degrémont Entrée'!$A$14:$A$379,"&lt;="&amp;EOMONTH(A12,0))</f>
        <v>0.29512499999999997</v>
      </c>
      <c r="M75" s="743">
        <f>SUMIFS('Degrémont sortie'!$AQ$14:$AQ$379,'Degrémont sortie'!$AQ$14:$AQ$379,"&lt;&gt;0",'Degrémont Entrée'!$A$14:$A$379,"&gt;="&amp;A12,'Degrémont Entrée'!$A$14:$A$379,"&lt;="&amp;EOMONTH(A12,0))</f>
        <v>0.68219000000000007</v>
      </c>
      <c r="N75" s="743">
        <f>SUMIFS('Degrémont sortie'!$AE$14:$AE$379,'Degrémont sortie'!$AE$14:$AE$379,"&lt;&gt;0",'Degrémont Entrée'!$A$14:$A$379,"&gt;="&amp;A12,'Degrémont Entrée'!$A$14:$A$379,"&lt;="&amp;EOMONTH(A12,0))</f>
        <v>0</v>
      </c>
      <c r="O75" s="743">
        <f>SUMIFS('Degrémont sortie'!$AH$14:$AH$379,'Degrémont sortie'!$AH$14:$AH$379,"&lt;&gt;0",'Degrémont Entrée'!$A$14:$A$379,"&gt;="&amp;A12,'Degrémont Entrée'!$A$14:$A$379,"&lt;="&amp;EOMONTH(A12,0))</f>
        <v>8.5665499999999994</v>
      </c>
      <c r="P75" s="743">
        <f>SUMIFS('Degrémont sortie'!$AZ$14:$AZ$379,'Degrémont sortie'!$AZ$14:$AZ$379,"&lt;&gt;0",'Degrémont Entrée'!$A$14:$A$379,"&gt;="&amp;A12,'Degrémont Entrée'!$A$14:$A$379,"&lt;="&amp;EOMONTH(A12,0))</f>
        <v>0.25577500000000003</v>
      </c>
      <c r="Q75" s="595"/>
      <c r="R75" s="595"/>
      <c r="S75" s="599"/>
      <c r="T75" s="599"/>
      <c r="U75" s="599"/>
      <c r="V75" s="599"/>
      <c r="W75" s="599"/>
      <c r="X75" s="599"/>
      <c r="Y75" s="599"/>
      <c r="Z75" s="599"/>
    </row>
    <row r="76" spans="1:26" ht="15.75" customHeight="1">
      <c r="A76" s="595"/>
      <c r="B76" s="699" t="s">
        <v>240</v>
      </c>
      <c r="C76" s="742">
        <f>SUMIFS('Degrémont Entrée'!$AQ$14:$AQ$379,'Degrémont Entrée'!$AQ$14:$AQ$379,"&lt;&gt;0",'Degrémont Entrée'!$A$14:$A$379,"&gt;="&amp;A13,'Degrémont Entrée'!$A$14:$A$379,"&lt;="&amp;EOMONTH(A13,0))</f>
        <v>1788.46369</v>
      </c>
      <c r="D76" s="743">
        <f>SUMIFS('Degrémont Entrée'!$AZ$14:$AZ$379,'Degrémont Entrée'!$AZ$14:$AZ$379,"&lt;&gt;0",'Degrémont Entrée'!$A$14:$A$379,"&gt;="&amp;A13,'Degrémont Entrée'!$A$14:$A$379,"&lt;="&amp;EOMONTH(A13,0))</f>
        <v>2997.2854299999999</v>
      </c>
      <c r="E76" s="743">
        <f>SUMIFS('Degrémont Entrée'!$BC$14:$BC$379,'Degrémont Entrée'!$BC$14:$BC$379,"&lt;&gt;0",'Degrémont Entrée'!$A$14:$A$379,"&gt;="&amp;A13,'Degrémont Entrée'!$A$14:$A$379,"&lt;="&amp;EOMONTH(A13,0))</f>
        <v>7.3994299999999988</v>
      </c>
      <c r="F76" s="743">
        <f>SUMIFS('Degrémont Entrée'!$AW$14:$AW$379,'Degrémont Entrée'!$AW$14:$AW$379,"&lt;&gt;0",'Degrémont Entrée'!$A$14:$A$379,"&gt;="&amp;A13,'Degrémont Entrée'!$A$14:$A$379,"&lt;="&amp;EOMONTH(A13,0))</f>
        <v>288.58173999999997</v>
      </c>
      <c r="G76" s="747" t="e">
        <v>#DIV/0!</v>
      </c>
      <c r="H76" s="743">
        <f>SUMIFS('Degrémont Entrée'!$AN$14:$AN$379,'Degrémont Entrée'!$AN$14:$AN$379,"&lt;&gt;0",'Degrémont Entrée'!$A$14:$A$379,"&gt;="&amp;A13,'Degrémont Entrée'!$A$14:$A$379,"&lt;="&amp;EOMONTH(A13,0))</f>
        <v>746.46259999999995</v>
      </c>
      <c r="I76" s="743">
        <f>SUMIFS('Degrémont Entrée'!$BF$14:$BF$379,'Degrémont Entrée'!$BF$14:$BF$379,"&lt;&gt;0",'Degrémont Entrée'!$A$14:$A$379,"&gt;="&amp;A13,'Degrémont Entrée'!$A$14:$A$379,"&lt;="&amp;EOMONTH(A13,0))</f>
        <v>2.0333950000000001</v>
      </c>
      <c r="J76" s="743">
        <f>SUMIFS('Degrémont sortie'!$AK$14:$AK$379,'Degrémont sortie'!$AK$14:$AK$379,"&lt;&gt;0",'Degrémont Entrée'!$A$14:$A$379,"&gt;="&amp;A13,'Degrémont Entrée'!$A$14:$A$379,"&lt;="&amp;EOMONTH(A13,0))</f>
        <v>2.37547</v>
      </c>
      <c r="K76" s="743">
        <f>SUMIFS('Degrémont sortie'!$AT$14:$AT$379,'Degrémont sortie'!$AT$14:$AT$379,"&lt;&gt;0",'Degrémont Entrée'!$A$14:$A$379,"&gt;="&amp;A13,'Degrémont Entrée'!$A$14:$A$379,"&lt;="&amp;EOMONTH(A13,0))</f>
        <v>1.7128000000000001</v>
      </c>
      <c r="L76" s="743">
        <f>SUMIFS('Degrémont sortie'!$AW$14:$AW$379,'Degrémont sortie'!$AW$14:$AW$379,"&lt;&gt;0",'Degrémont Entrée'!$A$14:$A$379,"&gt;="&amp;A13,'Degrémont Entrée'!$A$14:$A$379,"&lt;="&amp;EOMONTH(A13,0))</f>
        <v>0.32152499999999995</v>
      </c>
      <c r="M76" s="743">
        <f>SUMIFS('Degrémont sortie'!$AQ$14:$AQ$379,'Degrémont sortie'!$AQ$14:$AQ$379,"&lt;&gt;0",'Degrémont Entrée'!$A$14:$A$379,"&gt;="&amp;A13,'Degrémont Entrée'!$A$14:$A$379,"&lt;="&amp;EOMONTH(A13,0))</f>
        <v>1.1199399999999999</v>
      </c>
      <c r="N76" s="743">
        <f>SUMIFS('Degrémont sortie'!$AE$14:$AE$379,'Degrémont sortie'!$AE$14:$AE$379,"&lt;&gt;0",'Degrémont Entrée'!$A$14:$A$379,"&gt;="&amp;A13,'Degrémont Entrée'!$A$14:$A$379,"&lt;="&amp;EOMONTH(A13,0))</f>
        <v>0</v>
      </c>
      <c r="O76" s="743">
        <f>SUMIFS('Degrémont sortie'!$AH$14:$AH$379,'Degrémont sortie'!$AH$14:$AH$379,"&lt;&gt;0",'Degrémont Entrée'!$A$14:$A$379,"&gt;="&amp;A13,'Degrémont Entrée'!$A$14:$A$379,"&lt;="&amp;EOMONTH(A13,0))</f>
        <v>13.75131</v>
      </c>
      <c r="P76" s="743">
        <f>SUMIFS('Degrémont sortie'!$AZ$14:$AZ$379,'Degrémont sortie'!$AZ$14:$AZ$379,"&lt;&gt;0",'Degrémont Entrée'!$A$14:$A$379,"&gt;="&amp;A13,'Degrémont Entrée'!$A$14:$A$379,"&lt;="&amp;EOMONTH(A13,0))</f>
        <v>0.27865499999999999</v>
      </c>
      <c r="Q76" s="595"/>
      <c r="R76" s="595"/>
      <c r="S76" s="599"/>
      <c r="T76" s="599"/>
      <c r="U76" s="599"/>
      <c r="V76" s="599"/>
      <c r="W76" s="599"/>
      <c r="X76" s="599"/>
      <c r="Y76" s="599"/>
      <c r="Z76" s="599"/>
    </row>
    <row r="77" spans="1:26" ht="15.75" customHeight="1">
      <c r="A77" s="595"/>
      <c r="B77" s="699" t="s">
        <v>241</v>
      </c>
      <c r="C77" s="742">
        <f>SUMIFS('Degrémont Entrée'!$AQ$14:$AQ$379,'Degrémont Entrée'!$AQ$14:$AQ$379,"&lt;&gt;0",'Degrémont Entrée'!$A$14:$A$379,"&gt;="&amp;A14,'Degrémont Entrée'!$A$14:$A$379,"&lt;="&amp;EOMONTH(A14,0))</f>
        <v>5610.0083999999997</v>
      </c>
      <c r="D77" s="743">
        <f>SUMIFS('Degrémont Entrée'!$AZ$14:$AZ$379,'Degrémont Entrée'!$AZ$14:$AZ$379,"&lt;&gt;0",'Degrémont Entrée'!$A$14:$A$379,"&gt;="&amp;A14,'Degrémont Entrée'!$A$14:$A$379,"&lt;="&amp;EOMONTH(A14,0))</f>
        <v>8240.7904300000009</v>
      </c>
      <c r="E77" s="743">
        <f>SUMIFS('Degrémont Entrée'!$BC$14:$BC$379,'Degrémont Entrée'!$BC$14:$BC$379,"&lt;&gt;0",'Degrémont Entrée'!$A$14:$A$379,"&gt;="&amp;A14,'Degrémont Entrée'!$A$14:$A$379,"&lt;="&amp;EOMONTH(A14,0))</f>
        <v>2.509725</v>
      </c>
      <c r="F77" s="743">
        <f>SUMIFS('Degrémont Entrée'!$AW$14:$AW$379,'Degrémont Entrée'!$AW$14:$AW$379,"&lt;&gt;0",'Degrémont Entrée'!$A$14:$A$379,"&gt;="&amp;A14,'Degrémont Entrée'!$A$14:$A$379,"&lt;="&amp;EOMONTH(A14,0))</f>
        <v>1160.50937</v>
      </c>
      <c r="G77" s="747" t="e">
        <v>#DIV/0!</v>
      </c>
      <c r="H77" s="743">
        <f>SUMIFS('Degrémont Entrée'!$AN$14:$AN$379,'Degrémont Entrée'!$AN$14:$AN$379,"&lt;&gt;0",'Degrémont Entrée'!$A$14:$A$379,"&gt;="&amp;A14,'Degrémont Entrée'!$A$14:$A$379,"&lt;="&amp;EOMONTH(A14,0))</f>
        <v>2897.0129999999999</v>
      </c>
      <c r="I77" s="743">
        <f>SUMIFS('Degrémont Entrée'!$BF$14:$BF$379,'Degrémont Entrée'!$BF$14:$BF$379,"&lt;&gt;0",'Degrémont Entrée'!$A$14:$A$379,"&gt;="&amp;A14,'Degrémont Entrée'!$A$14:$A$379,"&lt;="&amp;EOMONTH(A14,0))</f>
        <v>2.1750950000000002</v>
      </c>
      <c r="J77" s="743">
        <f>SUMIFS('Degrémont sortie'!$AK$14:$AK$379,'Degrémont sortie'!$AK$14:$AK$379,"&lt;&gt;0",'Degrémont Entrée'!$A$14:$A$379,"&gt;="&amp;A14,'Degrémont Entrée'!$A$14:$A$379,"&lt;="&amp;EOMONTH(A14,0))</f>
        <v>5.0793699999999999</v>
      </c>
      <c r="K77" s="743">
        <f>SUMIFS('Degrémont sortie'!$AT$14:$AT$379,'Degrémont sortie'!$AT$14:$AT$379,"&lt;&gt;0",'Degrémont Entrée'!$A$14:$A$379,"&gt;="&amp;A14,'Degrémont Entrée'!$A$14:$A$379,"&lt;="&amp;EOMONTH(A14,0))</f>
        <v>4.84877</v>
      </c>
      <c r="L77" s="743">
        <f>SUMIFS('Degrémont sortie'!$AW$14:$AW$379,'Degrémont sortie'!$AW$14:$AW$379,"&lt;&gt;0",'Degrémont Entrée'!$A$14:$A$379,"&gt;="&amp;A14,'Degrémont Entrée'!$A$14:$A$379,"&lt;="&amp;EOMONTH(A14,0))</f>
        <v>0.34274999999999994</v>
      </c>
      <c r="M77" s="743">
        <f>SUMIFS('Degrémont sortie'!$AQ$14:$AQ$379,'Degrémont sortie'!$AQ$14:$AQ$379,"&lt;&gt;0",'Degrémont Entrée'!$A$14:$A$379,"&gt;="&amp;A14,'Degrémont Entrée'!$A$14:$A$379,"&lt;="&amp;EOMONTH(A14,0))</f>
        <v>1.5909500000000001</v>
      </c>
      <c r="N77" s="743">
        <f>SUMIFS('Degrémont sortie'!$AE$14:$AE$379,'Degrémont sortie'!$AE$14:$AE$379,"&lt;&gt;0",'Degrémont Entrée'!$A$14:$A$379,"&gt;="&amp;A14,'Degrémont Entrée'!$A$14:$A$379,"&lt;="&amp;EOMONTH(A14,0))</f>
        <v>0</v>
      </c>
      <c r="O77" s="743">
        <f>SUMIFS('Degrémont sortie'!$AH$14:$AH$379,'Degrémont sortie'!$AH$14:$AH$379,"&lt;&gt;0",'Degrémont Entrée'!$A$14:$A$379,"&gt;="&amp;A14,'Degrémont Entrée'!$A$14:$A$379,"&lt;="&amp;EOMONTH(A14,0))</f>
        <v>34.869110000000006</v>
      </c>
      <c r="P77" s="743">
        <f>SUMIFS('Degrémont sortie'!$AZ$14:$AZ$379,'Degrémont sortie'!$AZ$14:$AZ$379,"&lt;&gt;0",'Degrémont Entrée'!$A$14:$A$379,"&gt;="&amp;A14,'Degrémont Entrée'!$A$14:$A$379,"&lt;="&amp;EOMONTH(A14,0))</f>
        <v>0.29705000000000004</v>
      </c>
      <c r="Q77" s="595"/>
      <c r="R77" s="595"/>
      <c r="S77" s="599"/>
      <c r="T77" s="599"/>
      <c r="U77" s="599"/>
      <c r="V77" s="599"/>
      <c r="W77" s="599"/>
      <c r="X77" s="599"/>
      <c r="Y77" s="599"/>
      <c r="Z77" s="599"/>
    </row>
    <row r="78" spans="1:26" ht="15.75" customHeight="1">
      <c r="A78" s="595"/>
      <c r="B78" s="699" t="s">
        <v>242</v>
      </c>
      <c r="C78" s="742">
        <f>SUMIFS('Degrémont Entrée'!$AQ$14:$AQ$379,'Degrémont Entrée'!$AQ$14:$AQ$379,"&lt;&gt;0",'Degrémont Entrée'!$A$14:$A$379,"&gt;="&amp;A15,'Degrémont Entrée'!$A$14:$A$379,"&lt;="&amp;EOMONTH(A15,0))</f>
        <v>6719.11996</v>
      </c>
      <c r="D78" s="743">
        <f>SUMIFS('Degrémont Entrée'!$AZ$14:$AZ$379,'Degrémont Entrée'!$AZ$14:$AZ$379,"&lt;&gt;0",'Degrémont Entrée'!$A$14:$A$379,"&gt;="&amp;A15,'Degrémont Entrée'!$A$14:$A$379,"&lt;="&amp;EOMONTH(A15,0))</f>
        <v>9190.1183600000004</v>
      </c>
      <c r="E78" s="743">
        <f>SUMIFS('Degrémont Entrée'!$BC$14:$BC$379,'Degrémont Entrée'!$BC$14:$BC$379,"&lt;&gt;0",'Degrémont Entrée'!$A$14:$A$379,"&gt;="&amp;A15,'Degrémont Entrée'!$A$14:$A$379,"&lt;="&amp;EOMONTH(A15,0))</f>
        <v>21.860720000000001</v>
      </c>
      <c r="F78" s="743">
        <f>SUMIFS('Degrémont Entrée'!$AW$14:$AW$379,'Degrémont Entrée'!$AW$14:$AW$379,"&lt;&gt;0",'Degrémont Entrée'!$A$14:$A$379,"&gt;="&amp;A15,'Degrémont Entrée'!$A$14:$A$379,"&lt;="&amp;EOMONTH(A15,0))</f>
        <v>912.44618000000014</v>
      </c>
      <c r="G78" s="747" t="e">
        <v>#DIV/0!</v>
      </c>
      <c r="H78" s="743">
        <f>SUMIFS('Degrémont Entrée'!$AN$14:$AN$379,'Degrémont Entrée'!$AN$14:$AN$379,"&lt;&gt;0",'Degrémont Entrée'!$A$14:$A$379,"&gt;="&amp;A15,'Degrémont Entrée'!$A$14:$A$379,"&lt;="&amp;EOMONTH(A15,0))</f>
        <v>1554.2148</v>
      </c>
      <c r="I78" s="743">
        <f>SUMIFS('Degrémont Entrée'!$BF$14:$BF$379,'Degrémont Entrée'!$BF$14:$BF$379,"&lt;&gt;0",'Degrémont Entrée'!$A$14:$A$379,"&gt;="&amp;A15,'Degrémont Entrée'!$A$14:$A$379,"&lt;="&amp;EOMONTH(A15,0))</f>
        <v>1.8743400000000001</v>
      </c>
      <c r="J78" s="743">
        <f>SUMIFS('Degrémont sortie'!$AK$14:$AK$379,'Degrémont sortie'!$AK$14:$AK$379,"&lt;&gt;0",'Degrémont Entrée'!$A$14:$A$379,"&gt;="&amp;A15,'Degrémont Entrée'!$A$14:$A$379,"&lt;="&amp;EOMONTH(A15,0))</f>
        <v>12.208</v>
      </c>
      <c r="K78" s="743">
        <f>SUMIFS('Degrémont sortie'!$AT$14:$AT$379,'Degrémont sortie'!$AT$14:$AT$379,"&lt;&gt;0",'Degrémont Entrée'!$A$14:$A$379,"&gt;="&amp;A15,'Degrémont Entrée'!$A$14:$A$379,"&lt;="&amp;EOMONTH(A15,0))</f>
        <v>18.920234999999998</v>
      </c>
      <c r="L78" s="743">
        <f>SUMIFS('Degrémont sortie'!$AW$14:$AW$379,'Degrémont sortie'!$AW$14:$AW$379,"&lt;&gt;0",'Degrémont Entrée'!$A$14:$A$379,"&gt;="&amp;A15,'Degrémont Entrée'!$A$14:$A$379,"&lt;="&amp;EOMONTH(A15,0))</f>
        <v>0.28762500000000002</v>
      </c>
      <c r="M78" s="743">
        <f>SUMIFS('Degrémont sortie'!$AQ$14:$AQ$379,'Degrémont sortie'!$AQ$14:$AQ$379,"&lt;&gt;0",'Degrémont Entrée'!$A$14:$A$379,"&gt;="&amp;A15,'Degrémont Entrée'!$A$14:$A$379,"&lt;="&amp;EOMONTH(A15,0))</f>
        <v>1.0264599999999999</v>
      </c>
      <c r="N78" s="743">
        <f>SUMIFS('Degrémont sortie'!$AE$14:$AE$379,'Degrémont sortie'!$AE$14:$AE$379,"&lt;&gt;0",'Degrémont Entrée'!$A$14:$A$379,"&gt;="&amp;A15,'Degrémont Entrée'!$A$14:$A$379,"&lt;="&amp;EOMONTH(A15,0))</f>
        <v>0</v>
      </c>
      <c r="O78" s="743">
        <f>SUMIFS('Degrémont sortie'!$AH$14:$AH$379,'Degrémont sortie'!$AH$14:$AH$379,"&lt;&gt;0",'Degrémont Entrée'!$A$14:$A$379,"&gt;="&amp;A15,'Degrémont Entrée'!$A$14:$A$379,"&lt;="&amp;EOMONTH(A15,0))</f>
        <v>16.038869999999999</v>
      </c>
      <c r="P78" s="743">
        <f>SUMIFS('Degrémont sortie'!$AZ$14:$AZ$379,'Degrémont sortie'!$AZ$14:$AZ$379,"&lt;&gt;0",'Degrémont Entrée'!$A$14:$A$379,"&gt;="&amp;A15,'Degrémont Entrée'!$A$14:$A$379,"&lt;="&amp;EOMONTH(A15,0))</f>
        <v>0.24927500000000002</v>
      </c>
      <c r="Q78" s="595"/>
      <c r="R78" s="595"/>
      <c r="S78" s="599"/>
      <c r="T78" s="599"/>
      <c r="U78" s="599"/>
      <c r="V78" s="599"/>
      <c r="W78" s="599"/>
      <c r="X78" s="599"/>
      <c r="Y78" s="599"/>
      <c r="Z78" s="599"/>
    </row>
    <row r="79" spans="1:26" ht="15.75" customHeight="1">
      <c r="A79" s="595"/>
      <c r="B79" s="699" t="s">
        <v>243</v>
      </c>
      <c r="C79" s="742">
        <f>SUMIFS('Degrémont Entrée'!$AQ$14:$AQ$379,'Degrémont Entrée'!$AQ$14:$AQ$379,"&lt;&gt;0",'Degrémont Entrée'!$A$14:$A$379,"&gt;="&amp;A16,'Degrémont Entrée'!$A$14:$A$379,"&lt;="&amp;EOMONTH(A16,0))</f>
        <v>976.44956000000002</v>
      </c>
      <c r="D79" s="743">
        <f>SUMIFS('Degrémont Entrée'!$AZ$14:$AZ$379,'Degrémont Entrée'!$AZ$14:$AZ$379,"&lt;&gt;0",'Degrémont Entrée'!$A$14:$A$379,"&gt;="&amp;A16,'Degrémont Entrée'!$A$14:$A$379,"&lt;="&amp;EOMONTH(A16,0))</f>
        <v>1446.65968</v>
      </c>
      <c r="E79" s="743">
        <f>SUMIFS('Degrémont Entrée'!$BC$14:$BC$379,'Degrémont Entrée'!$BC$14:$BC$379,"&lt;&gt;0",'Degrémont Entrée'!$A$14:$A$379,"&gt;="&amp;A16,'Degrémont Entrée'!$A$14:$A$379,"&lt;="&amp;EOMONTH(A16,0))</f>
        <v>1.95255</v>
      </c>
      <c r="F79" s="743">
        <f>SUMIFS('Degrémont Entrée'!$AW$14:$AW$379,'Degrémont Entrée'!$AW$14:$AW$379,"&lt;&gt;0",'Degrémont Entrée'!$A$14:$A$379,"&gt;="&amp;A16,'Degrémont Entrée'!$A$14:$A$379,"&lt;="&amp;EOMONTH(A16,0))</f>
        <v>152.47710000000001</v>
      </c>
      <c r="G79" s="747" t="e">
        <v>#DIV/0!</v>
      </c>
      <c r="H79" s="743">
        <f>SUMIFS('Degrémont Entrée'!$AN$14:$AN$379,'Degrémont Entrée'!$AN$14:$AN$379,"&lt;&gt;0",'Degrémont Entrée'!$A$14:$A$379,"&gt;="&amp;A16,'Degrémont Entrée'!$A$14:$A$379,"&lt;="&amp;EOMONTH(A16,0))</f>
        <v>289.52199999999999</v>
      </c>
      <c r="I79" s="743">
        <f>SUMIFS('Degrémont Entrée'!$BF$14:$BF$379,'Degrémont Entrée'!$BF$14:$BF$379,"&lt;&gt;0",'Degrémont Entrée'!$A$14:$A$379,"&gt;="&amp;A16,'Degrémont Entrée'!$A$14:$A$379,"&lt;="&amp;EOMONTH(A16,0))</f>
        <v>1.6922100000000002</v>
      </c>
      <c r="J79" s="743">
        <f>SUMIFS('Degrémont sortie'!$AK$14:$AK$379,'Degrémont sortie'!$AK$14:$AK$379,"&lt;&gt;0",'Degrémont Entrée'!$A$14:$A$379,"&gt;="&amp;A16,'Degrémont Entrée'!$A$14:$A$379,"&lt;="&amp;EOMONTH(A16,0))</f>
        <v>1.12784</v>
      </c>
      <c r="K79" s="743">
        <f>SUMIFS('Degrémont sortie'!$AT$14:$AT$379,'Degrémont sortie'!$AT$14:$AT$379,"&lt;&gt;0",'Degrémont Entrée'!$A$14:$A$379,"&gt;="&amp;A16,'Degrémont Entrée'!$A$14:$A$379,"&lt;="&amp;EOMONTH(A16,0))</f>
        <v>1.9421000000000002</v>
      </c>
      <c r="L79" s="743">
        <f>SUMIFS('Degrémont sortie'!$AW$14:$AW$379,'Degrémont sortie'!$AW$14:$AW$379,"&lt;&gt;0",'Degrémont Entrée'!$A$14:$A$379,"&gt;="&amp;A16,'Degrémont Entrée'!$A$14:$A$379,"&lt;="&amp;EOMONTH(A16,0))</f>
        <v>0.21479999999999999</v>
      </c>
      <c r="M79" s="743">
        <f>SUMIFS('Degrémont sortie'!$AQ$14:$AQ$379,'Degrémont sortie'!$AQ$14:$AQ$379,"&lt;&gt;0",'Degrémont Entrée'!$A$14:$A$379,"&gt;="&amp;A16,'Degrémont Entrée'!$A$14:$A$379,"&lt;="&amp;EOMONTH(A16,0))</f>
        <v>0.62812000000000001</v>
      </c>
      <c r="N79" s="743">
        <f>SUMIFS('Degrémont sortie'!$AE$14:$AE$379,'Degrémont sortie'!$AE$14:$AE$379,"&lt;&gt;0",'Degrémont Entrée'!$A$14:$A$379,"&gt;="&amp;A16,'Degrémont Entrée'!$A$14:$A$379,"&lt;="&amp;EOMONTH(A16,0))</f>
        <v>0</v>
      </c>
      <c r="O79" s="743">
        <f>SUMIFS('Degrémont sortie'!$AH$14:$AH$379,'Degrémont sortie'!$AH$14:$AH$379,"&lt;&gt;0",'Degrémont Entrée'!$A$14:$A$379,"&gt;="&amp;A16,'Degrémont Entrée'!$A$14:$A$379,"&lt;="&amp;EOMONTH(A16,0))</f>
        <v>8.7408799999999989</v>
      </c>
      <c r="P79" s="743">
        <f>SUMIFS('Degrémont sortie'!$AZ$14:$AZ$379,'Degrémont sortie'!$AZ$14:$AZ$379,"&lt;&gt;0",'Degrémont Entrée'!$A$14:$A$379,"&gt;="&amp;A16,'Degrémont Entrée'!$A$14:$A$379,"&lt;="&amp;EOMONTH(A16,0))</f>
        <v>0.18615999999999999</v>
      </c>
      <c r="Q79" s="595"/>
      <c r="R79" s="595"/>
      <c r="S79" s="599"/>
      <c r="T79" s="599"/>
      <c r="U79" s="599"/>
      <c r="V79" s="599"/>
      <c r="W79" s="599"/>
      <c r="X79" s="599"/>
      <c r="Y79" s="599"/>
      <c r="Z79" s="599"/>
    </row>
    <row r="80" spans="1:26" ht="15.75" customHeight="1">
      <c r="A80" s="595"/>
      <c r="B80" s="699" t="s">
        <v>244</v>
      </c>
      <c r="C80" s="742">
        <f>SUMIFS('Degrémont Entrée'!$AQ$14:$AQ$379,'Degrémont Entrée'!$AQ$14:$AQ$379,"&lt;&gt;0",'Degrémont Entrée'!$A$14:$A$379,"&gt;="&amp;A17,'Degrémont Entrée'!$A$14:$A$379,"&lt;="&amp;EOMONTH(A17,0))</f>
        <v>3591.0987799999998</v>
      </c>
      <c r="D80" s="743">
        <f>SUMIFS('Degrémont Entrée'!$AZ$14:$AZ$379,'Degrémont Entrée'!$AZ$14:$AZ$379,"&lt;&gt;0",'Degrémont Entrée'!$A$14:$A$379,"&gt;="&amp;A17,'Degrémont Entrée'!$A$14:$A$379,"&lt;="&amp;EOMONTH(A17,0))</f>
        <v>4793.5382799999998</v>
      </c>
      <c r="E80" s="743">
        <f>SUMIFS('Degrémont Entrée'!$BC$14:$BC$379,'Degrémont Entrée'!$BC$14:$BC$379,"&lt;&gt;0",'Degrémont Entrée'!$A$14:$A$379,"&gt;="&amp;A17,'Degrémont Entrée'!$A$14:$A$379,"&lt;="&amp;EOMONTH(A17,0))</f>
        <v>1.11435</v>
      </c>
      <c r="F80" s="743">
        <f>SUMIFS('Degrémont Entrée'!$AW$14:$AW$379,'Degrémont Entrée'!$AW$14:$AW$379,"&lt;&gt;0",'Degrémont Entrée'!$A$14:$A$379,"&gt;="&amp;A17,'Degrémont Entrée'!$A$14:$A$379,"&lt;="&amp;EOMONTH(A17,0))</f>
        <v>497.22890000000001</v>
      </c>
      <c r="G80" s="747" t="e">
        <v>#DIV/0!</v>
      </c>
      <c r="H80" s="743">
        <f>SUMIFS('Degrémont Entrée'!$AN$14:$AN$379,'Degrémont Entrée'!$AN$14:$AN$379,"&lt;&gt;0",'Degrémont Entrée'!$A$14:$A$379,"&gt;="&amp;A17,'Degrémont Entrée'!$A$14:$A$379,"&lt;="&amp;EOMONTH(A17,0))</f>
        <v>1029.8</v>
      </c>
      <c r="I80" s="743">
        <f>SUMIFS('Degrémont Entrée'!$BF$14:$BF$379,'Degrémont Entrée'!$BF$14:$BF$379,"&lt;&gt;0",'Degrémont Entrée'!$A$14:$A$379,"&gt;="&amp;A17,'Degrémont Entrée'!$A$14:$A$379,"&lt;="&amp;EOMONTH(A17,0))</f>
        <v>0.96577000000000002</v>
      </c>
      <c r="J80" s="743">
        <f>SUMIFS('Degrémont sortie'!$AK$14:$AK$379,'Degrémont sortie'!$AK$14:$AK$379,"&lt;&gt;0",'Degrémont Entrée'!$A$14:$A$379,"&gt;="&amp;A17,'Degrémont Entrée'!$A$14:$A$379,"&lt;="&amp;EOMONTH(A17,0))</f>
        <v>1.52129</v>
      </c>
      <c r="K80" s="743">
        <f>SUMIFS('Degrémont sortie'!$AT$14:$AT$379,'Degrémont sortie'!$AT$14:$AT$379,"&lt;&gt;0",'Degrémont Entrée'!$A$14:$A$379,"&gt;="&amp;A17,'Degrémont Entrée'!$A$14:$A$379,"&lt;="&amp;EOMONTH(A17,0))</f>
        <v>0.71455000000000013</v>
      </c>
      <c r="L80" s="743">
        <f>SUMIFS('Degrémont sortie'!$AW$14:$AW$379,'Degrémont sortie'!$AW$14:$AW$379,"&lt;&gt;0",'Degrémont Entrée'!$A$14:$A$379,"&gt;="&amp;A17,'Degrémont Entrée'!$A$14:$A$379,"&lt;="&amp;EOMONTH(A17,0))</f>
        <v>0.17722499999999999</v>
      </c>
      <c r="M80" s="743">
        <f>SUMIFS('Degrémont sortie'!$AQ$14:$AQ$379,'Degrémont sortie'!$AQ$14:$AQ$379,"&lt;&gt;0",'Degrémont Entrée'!$A$14:$A$379,"&gt;="&amp;A17,'Degrémont Entrée'!$A$14:$A$379,"&lt;="&amp;EOMONTH(A17,0))</f>
        <v>0.62131999999999998</v>
      </c>
      <c r="N80" s="743">
        <f>SUMIFS('Degrémont sortie'!$AE$14:$AE$379,'Degrémont sortie'!$AE$14:$AE$379,"&lt;&gt;0",'Degrémont Entrée'!$A$14:$A$379,"&gt;="&amp;A17,'Degrémont Entrée'!$A$14:$A$379,"&lt;="&amp;EOMONTH(A17,0))</f>
        <v>0</v>
      </c>
      <c r="O80" s="743">
        <f>SUMIFS('Degrémont sortie'!$AH$14:$AH$379,'Degrémont sortie'!$AH$14:$AH$379,"&lt;&gt;0",'Degrémont Entrée'!$A$14:$A$379,"&gt;="&amp;A17,'Degrémont Entrée'!$A$14:$A$379,"&lt;="&amp;EOMONTH(A17,0))</f>
        <v>5.63103</v>
      </c>
      <c r="P80" s="743">
        <f>SUMIFS('Degrémont sortie'!$AZ$14:$AZ$379,'Degrémont sortie'!$AZ$14:$AZ$379,"&lt;&gt;0",'Degrémont Entrée'!$A$14:$A$379,"&gt;="&amp;A17,'Degrémont Entrée'!$A$14:$A$379,"&lt;="&amp;EOMONTH(A17,0))</f>
        <v>0.15359500000000001</v>
      </c>
      <c r="Q80" s="595"/>
      <c r="R80" s="595"/>
      <c r="S80" s="599"/>
      <c r="T80" s="599"/>
      <c r="U80" s="599"/>
      <c r="V80" s="599"/>
      <c r="W80" s="599"/>
      <c r="X80" s="599"/>
      <c r="Y80" s="599"/>
      <c r="Z80" s="599"/>
    </row>
    <row r="81" spans="1:26" ht="15.75" customHeight="1">
      <c r="A81" s="595"/>
      <c r="B81" s="699" t="s">
        <v>245</v>
      </c>
      <c r="C81" s="742">
        <f>SUMIFS('Degrémont Entrée'!$AQ$14:$AQ$379,'Degrémont Entrée'!$AQ$14:$AQ$379,"&lt;&gt;0",'Degrémont Entrée'!$A$14:$A$379,"&gt;="&amp;A18,'Degrémont Entrée'!$A$14:$A$379,"&lt;="&amp;EOMONTH(A18,0))</f>
        <v>3390.11753</v>
      </c>
      <c r="D81" s="743">
        <f>SUMIFS('Degrémont Entrée'!$AZ$14:$AZ$379,'Degrémont Entrée'!$AZ$14:$AZ$379,"&lt;&gt;0",'Degrémont Entrée'!$A$14:$A$379,"&gt;="&amp;A18,'Degrémont Entrée'!$A$14:$A$379,"&lt;="&amp;EOMONTH(A18,0))</f>
        <v>3431.8424500000001</v>
      </c>
      <c r="E81" s="743">
        <f>SUMIFS('Degrémont Entrée'!$BC$14:$BC$379,'Degrémont Entrée'!$BC$14:$BC$379,"&lt;&gt;0",'Degrémont Entrée'!$A$14:$A$379,"&gt;="&amp;A18,'Degrémont Entrée'!$A$14:$A$379,"&lt;="&amp;EOMONTH(A18,0))</f>
        <v>200.95358499999998</v>
      </c>
      <c r="F81" s="743">
        <f>SUMIFS('Degrémont Entrée'!$AW$14:$AW$379,'Degrémont Entrée'!$AW$14:$AW$379,"&lt;&gt;0",'Degrémont Entrée'!$A$14:$A$379,"&gt;="&amp;A18,'Degrémont Entrée'!$A$14:$A$379,"&lt;="&amp;EOMONTH(A18,0))</f>
        <v>170.71706999999998</v>
      </c>
      <c r="G81" s="747" t="e">
        <v>#DIV/0!</v>
      </c>
      <c r="H81" s="743">
        <f>SUMIFS('Degrémont Entrée'!$AN$14:$AN$379,'Degrémont Entrée'!$AN$14:$AN$379,"&lt;&gt;0",'Degrémont Entrée'!$A$14:$A$379,"&gt;="&amp;A18,'Degrémont Entrée'!$A$14:$A$379,"&lt;="&amp;EOMONTH(A18,0))</f>
        <v>1875.625</v>
      </c>
      <c r="I81" s="743">
        <f>SUMIFS('Degrémont Entrée'!$BF$14:$BF$379,'Degrémont Entrée'!$BF$14:$BF$379,"&lt;&gt;0",'Degrémont Entrée'!$A$14:$A$379,"&gt;="&amp;A18,'Degrémont Entrée'!$A$14:$A$379,"&lt;="&amp;EOMONTH(A18,0))</f>
        <v>109.62274000000001</v>
      </c>
      <c r="J81" s="743">
        <f>SUMIFS('Degrémont sortie'!$AK$14:$AK$379,'Degrémont sortie'!$AK$14:$AK$379,"&lt;&gt;0",'Degrémont Entrée'!$A$14:$A$379,"&gt;="&amp;A18,'Degrémont Entrée'!$A$14:$A$379,"&lt;="&amp;EOMONTH(A18,0))</f>
        <v>1.39737</v>
      </c>
      <c r="K81" s="743">
        <f>SUMIFS('Degrémont sortie'!$AT$14:$AT$379,'Degrémont sortie'!$AT$14:$AT$379,"&lt;&gt;0",'Degrémont Entrée'!$A$14:$A$379,"&gt;="&amp;A18,'Degrémont Entrée'!$A$14:$A$379,"&lt;="&amp;EOMONTH(A18,0))</f>
        <v>1.09049</v>
      </c>
      <c r="L81" s="743">
        <f>SUMIFS('Degrémont sortie'!$AW$14:$AW$379,'Degrémont sortie'!$AW$14:$AW$379,"&lt;&gt;0",'Degrémont Entrée'!$A$14:$A$379,"&gt;="&amp;A18,'Degrémont Entrée'!$A$14:$A$379,"&lt;="&amp;EOMONTH(A18,0))</f>
        <v>0.1188</v>
      </c>
      <c r="M81" s="743">
        <f>SUMIFS('Degrémont sortie'!$AQ$14:$AQ$379,'Degrémont sortie'!$AQ$14:$AQ$379,"&lt;&gt;0",'Degrémont Entrée'!$A$14:$A$379,"&gt;="&amp;A18,'Degrémont Entrée'!$A$14:$A$379,"&lt;="&amp;EOMONTH(A18,0))</f>
        <v>0.13456000000000001</v>
      </c>
      <c r="N81" s="743">
        <f>SUMIFS('Degrémont sortie'!$AE$14:$AE$379,'Degrémont sortie'!$AE$14:$AE$379,"&lt;&gt;0",'Degrémont Entrée'!$A$14:$A$379,"&gt;="&amp;A18,'Degrémont Entrée'!$A$14:$A$379,"&lt;="&amp;EOMONTH(A18,0))</f>
        <v>0</v>
      </c>
      <c r="O81" s="743">
        <f>SUMIFS('Degrémont sortie'!$AH$14:$AH$379,'Degrémont sortie'!$AH$14:$AH$379,"&lt;&gt;0",'Degrémont Entrée'!$A$14:$A$379,"&gt;="&amp;A18,'Degrémont Entrée'!$A$14:$A$379,"&lt;="&amp;EOMONTH(A18,0))</f>
        <v>9.0782900000000009</v>
      </c>
      <c r="P81" s="743">
        <f>SUMIFS('Degrémont sortie'!$AZ$14:$AZ$379,'Degrémont sortie'!$AZ$14:$AZ$379,"&lt;&gt;0",'Degrémont Entrée'!$A$14:$A$379,"&gt;="&amp;A18,'Degrémont Entrée'!$A$14:$A$379,"&lt;="&amp;EOMONTH(A18,0))</f>
        <v>0.10646</v>
      </c>
      <c r="Q81" s="595"/>
      <c r="R81" s="595"/>
      <c r="S81" s="599"/>
      <c r="T81" s="599"/>
      <c r="U81" s="599"/>
      <c r="V81" s="599"/>
      <c r="W81" s="599"/>
      <c r="X81" s="599"/>
      <c r="Y81" s="599"/>
      <c r="Z81" s="599"/>
    </row>
    <row r="82" spans="1:26" ht="15.75" customHeight="1">
      <c r="A82" s="595"/>
      <c r="B82" s="699" t="s">
        <v>246</v>
      </c>
      <c r="C82" s="742">
        <f>SUMIFS('Degrémont Entrée'!$AQ$14:$AQ$379,'Degrémont Entrée'!$AQ$14:$AQ$379,"&lt;&gt;0",'Degrémont Entrée'!$A$14:$A$379,"&gt;="&amp;A19,'Degrémont Entrée'!$A$14:$A$379,"&lt;="&amp;EOMONTH(A19,0))</f>
        <v>4034.7151100000001</v>
      </c>
      <c r="D82" s="743">
        <f>SUMIFS('Degrémont Entrée'!$AZ$14:$AZ$379,'Degrémont Entrée'!$AZ$14:$AZ$379,"&lt;&gt;0",'Degrémont Entrée'!$A$14:$A$379,"&gt;="&amp;A19,'Degrémont Entrée'!$A$14:$A$379,"&lt;="&amp;EOMONTH(A19,0))</f>
        <v>6081.2324499999995</v>
      </c>
      <c r="E82" s="743">
        <f>SUMIFS('Degrémont Entrée'!$BC$14:$BC$379,'Degrémont Entrée'!$BC$14:$BC$379,"&lt;&gt;0",'Degrémont Entrée'!$A$14:$A$379,"&gt;="&amp;A19,'Degrémont Entrée'!$A$14:$A$379,"&lt;="&amp;EOMONTH(A19,0))</f>
        <v>10.037790000000001</v>
      </c>
      <c r="F82" s="743">
        <f>SUMIFS('Degrémont Entrée'!$AW$14:$AW$379,'Degrémont Entrée'!$AW$14:$AW$379,"&lt;&gt;0",'Degrémont Entrée'!$A$14:$A$379,"&gt;="&amp;A19,'Degrémont Entrée'!$A$14:$A$379,"&lt;="&amp;EOMONTH(A19,0))</f>
        <v>558.83649999999989</v>
      </c>
      <c r="G82" s="747" t="e">
        <v>#DIV/0!</v>
      </c>
      <c r="H82" s="743">
        <f>SUMIFS('Degrémont Entrée'!$AN$14:$AN$379,'Degrémont Entrée'!$AN$14:$AN$379,"&lt;&gt;0",'Degrémont Entrée'!$A$14:$A$379,"&gt;="&amp;A19,'Degrémont Entrée'!$A$14:$A$379,"&lt;="&amp;EOMONTH(A19,0))</f>
        <v>1488.58</v>
      </c>
      <c r="I82" s="743">
        <f>SUMIFS('Degrémont Entrée'!$BF$14:$BF$379,'Degrémont Entrée'!$BF$14:$BF$379,"&lt;&gt;0",'Degrémont Entrée'!$A$14:$A$379,"&gt;="&amp;A19,'Degrémont Entrée'!$A$14:$A$379,"&lt;="&amp;EOMONTH(A19,0))</f>
        <v>4.8839600000000001</v>
      </c>
      <c r="J82" s="743">
        <f>SUMIFS('Degrémont sortie'!$AK$14:$AK$379,'Degrémont sortie'!$AK$14:$AK$379,"&lt;&gt;0",'Degrémont Entrée'!$A$14:$A$379,"&gt;="&amp;A19,'Degrémont Entrée'!$A$14:$A$379,"&lt;="&amp;EOMONTH(A19,0))</f>
        <v>3.9704299999999995</v>
      </c>
      <c r="K82" s="743">
        <f>SUMIFS('Degrémont sortie'!$AT$14:$AT$379,'Degrémont sortie'!$AT$14:$AT$379,"&lt;&gt;0",'Degrémont Entrée'!$A$14:$A$379,"&gt;="&amp;A19,'Degrémont Entrée'!$A$14:$A$379,"&lt;="&amp;EOMONTH(A19,0))</f>
        <v>2.8857600000000003</v>
      </c>
      <c r="L82" s="743">
        <f>SUMIFS('Degrémont sortie'!$AW$14:$AW$379,'Degrémont sortie'!$AW$14:$AW$379,"&lt;&gt;0",'Degrémont Entrée'!$A$14:$A$379,"&gt;="&amp;A19,'Degrémont Entrée'!$A$14:$A$379,"&lt;="&amp;EOMONTH(A19,0))</f>
        <v>0.32504999999999995</v>
      </c>
      <c r="M82" s="743">
        <f>SUMIFS('Degrémont sortie'!$AQ$14:$AQ$379,'Degrémont sortie'!$AQ$14:$AQ$379,"&lt;&gt;0",'Degrémont Entrée'!$A$14:$A$379,"&gt;="&amp;A19,'Degrémont Entrée'!$A$14:$A$379,"&lt;="&amp;EOMONTH(A19,0))</f>
        <v>0.44906000000000001</v>
      </c>
      <c r="N82" s="743">
        <f>SUMIFS('Degrémont sortie'!$AE$14:$AE$379,'Degrémont sortie'!$AE$14:$AE$379,"&lt;&gt;0",'Degrémont Entrée'!$A$14:$A$379,"&gt;="&amp;A19,'Degrémont Entrée'!$A$14:$A$379,"&lt;="&amp;EOMONTH(A19,0))</f>
        <v>0</v>
      </c>
      <c r="O82" s="743">
        <f>SUMIFS('Degrémont sortie'!$AH$14:$AH$379,'Degrémont sortie'!$AH$14:$AH$379,"&lt;&gt;0",'Degrémont Entrée'!$A$14:$A$379,"&gt;="&amp;A19,'Degrémont Entrée'!$A$14:$A$379,"&lt;="&amp;EOMONTH(A19,0))</f>
        <v>8.2360199999999999</v>
      </c>
      <c r="P82" s="743">
        <f>SUMIFS('Degrémont sortie'!$AZ$14:$AZ$379,'Degrémont sortie'!$AZ$14:$AZ$379,"&lt;&gt;0",'Degrémont Entrée'!$A$14:$A$379,"&gt;="&amp;A19,'Degrémont Entrée'!$A$14:$A$379,"&lt;="&amp;EOMONTH(A19,0))</f>
        <v>0.28171000000000002</v>
      </c>
      <c r="Q82" s="595"/>
      <c r="R82" s="595"/>
      <c r="S82" s="599"/>
      <c r="T82" s="599"/>
      <c r="U82" s="599"/>
      <c r="V82" s="599"/>
      <c r="W82" s="599"/>
      <c r="X82" s="599"/>
      <c r="Y82" s="599"/>
      <c r="Z82" s="599"/>
    </row>
    <row r="83" spans="1:26" ht="15.75" customHeight="1">
      <c r="A83" s="595"/>
      <c r="B83" s="699" t="s">
        <v>247</v>
      </c>
      <c r="C83" s="742">
        <f>SUMIFS('Degrémont Entrée'!$AQ$14:$AQ$379,'Degrémont Entrée'!$AQ$14:$AQ$379,"&lt;&gt;0",'Degrémont Entrée'!$A$14:$A$379,"&gt;="&amp;A20,'Degrémont Entrée'!$A$14:$A$379,"&lt;="&amp;EOMONTH(A20,0))</f>
        <v>3097.1953199999998</v>
      </c>
      <c r="D83" s="743">
        <f>SUMIFS('Degrémont Entrée'!$AZ$14:$AZ$379,'Degrémont Entrée'!$AZ$14:$AZ$379,"&lt;&gt;0",'Degrémont Entrée'!$A$14:$A$379,"&gt;="&amp;A20,'Degrémont Entrée'!$A$14:$A$379,"&lt;="&amp;EOMONTH(A20,0))</f>
        <v>6738.9828899999993</v>
      </c>
      <c r="E83" s="743">
        <f>SUMIFS('Degrémont Entrée'!$BC$14:$BC$379,'Degrémont Entrée'!$BC$14:$BC$379,"&lt;&gt;0",'Degrémont Entrée'!$A$14:$A$379,"&gt;="&amp;A20,'Degrémont Entrée'!$A$14:$A$379,"&lt;="&amp;EOMONTH(A20,0))</f>
        <v>11.06108</v>
      </c>
      <c r="F83" s="743">
        <f>SUMIFS('Degrémont Entrée'!$AW$14:$AW$379,'Degrémont Entrée'!$AW$14:$AW$379,"&lt;&gt;0",'Degrémont Entrée'!$A$14:$A$379,"&gt;="&amp;A20,'Degrémont Entrée'!$A$14:$A$379,"&lt;="&amp;EOMONTH(A20,0))</f>
        <v>799.97777999999994</v>
      </c>
      <c r="G83" s="747" t="e">
        <v>#DIV/0!</v>
      </c>
      <c r="H83" s="743">
        <f>SUMIFS('Degrémont Entrée'!$AN$14:$AN$379,'Degrémont Entrée'!$AN$14:$AN$379,"&lt;&gt;0",'Degrémont Entrée'!$A$14:$A$379,"&gt;="&amp;A20,'Degrémont Entrée'!$A$14:$A$379,"&lt;="&amp;EOMONTH(A20,0))</f>
        <v>1140.1132400000001</v>
      </c>
      <c r="I83" s="743">
        <f>SUMIFS('Degrémont Entrée'!$BF$14:$BF$379,'Degrémont Entrée'!$BF$14:$BF$379,"&lt;&gt;0",'Degrémont Entrée'!$A$14:$A$379,"&gt;="&amp;A20,'Degrémont Entrée'!$A$14:$A$379,"&lt;="&amp;EOMONTH(A20,0))</f>
        <v>5.5377449999999993</v>
      </c>
      <c r="J83" s="743">
        <f>SUMIFS('Degrémont sortie'!$AK$14:$AK$379,'Degrémont sortie'!$AK$14:$AK$379,"&lt;&gt;0",'Degrémont Entrée'!$A$14:$A$379,"&gt;="&amp;A20,'Degrémont Entrée'!$A$14:$A$379,"&lt;="&amp;EOMONTH(A20,0))</f>
        <v>2.1711200000000002</v>
      </c>
      <c r="K83" s="743">
        <f>SUMIFS('Degrémont sortie'!$AT$14:$AT$379,'Degrémont sortie'!$AT$14:$AT$379,"&lt;&gt;0",'Degrémont Entrée'!$A$14:$A$379,"&gt;="&amp;A20,'Degrémont Entrée'!$A$14:$A$379,"&lt;="&amp;EOMONTH(A20,0))</f>
        <v>0.53132000000000001</v>
      </c>
      <c r="L83" s="743">
        <f>SUMIFS('Degrémont sortie'!$AW$14:$AW$379,'Degrémont sortie'!$AW$14:$AW$379,"&lt;&gt;0",'Degrémont Entrée'!$A$14:$A$379,"&gt;="&amp;A20,'Degrémont Entrée'!$A$14:$A$379,"&lt;="&amp;EOMONTH(A20,0))</f>
        <v>0.55051499999999998</v>
      </c>
      <c r="M83" s="743">
        <f>SUMIFS('Degrémont sortie'!$AQ$14:$AQ$379,'Degrémont sortie'!$AQ$14:$AQ$379,"&lt;&gt;0",'Degrémont Entrée'!$A$14:$A$379,"&gt;="&amp;A20,'Degrémont Entrée'!$A$14:$A$379,"&lt;="&amp;EOMONTH(A20,0))</f>
        <v>0.71360000000000001</v>
      </c>
      <c r="N83" s="743">
        <f>SUMIFS('Degrémont sortie'!$AE$14:$AE$379,'Degrémont sortie'!$AE$14:$AE$379,"&lt;&gt;0",'Degrémont Entrée'!$A$14:$A$379,"&gt;="&amp;A20,'Degrémont Entrée'!$A$14:$A$379,"&lt;="&amp;EOMONTH(A20,0))</f>
        <v>5.0017500000000006E-2</v>
      </c>
      <c r="O83" s="743">
        <f>SUMIFS('Degrémont sortie'!$AH$14:$AH$379,'Degrémont sortie'!$AH$14:$AH$379,"&lt;&gt;0",'Degrémont Entrée'!$A$14:$A$379,"&gt;="&amp;A20,'Degrémont Entrée'!$A$14:$A$379,"&lt;="&amp;EOMONTH(A20,0))</f>
        <v>14.930609999999998</v>
      </c>
      <c r="P83" s="743">
        <f>SUMIFS('Degrémont sortie'!$AZ$14:$AZ$379,'Degrémont sortie'!$AZ$14:$AZ$379,"&lt;&gt;0",'Degrémont Entrée'!$A$14:$A$379,"&gt;="&amp;A20,'Degrémont Entrée'!$A$14:$A$379,"&lt;="&amp;EOMONTH(A20,0))</f>
        <v>0.17455000000000001</v>
      </c>
      <c r="Q83" s="595"/>
      <c r="R83" s="599"/>
      <c r="S83" s="599"/>
      <c r="T83" s="599"/>
      <c r="U83" s="599"/>
      <c r="V83" s="599"/>
      <c r="W83" s="599"/>
      <c r="X83" s="599"/>
      <c r="Y83" s="599"/>
      <c r="Z83" s="599"/>
    </row>
    <row r="84" spans="1:26" ht="15.75" customHeight="1">
      <c r="A84" s="595"/>
      <c r="B84" s="699" t="s">
        <v>248</v>
      </c>
      <c r="C84" s="742">
        <f>SUMIFS('Degrémont Entrée'!$AQ$14:$AQ$379,'Degrémont Entrée'!$AQ$14:$AQ$379,"&lt;&gt;0",'Degrémont Entrée'!$A$14:$A$379,"&gt;="&amp;A21,'Degrémont Entrée'!$A$14:$A$379,"&lt;="&amp;EOMONTH(A21,0))</f>
        <v>3946.5936999999999</v>
      </c>
      <c r="D84" s="743">
        <f>SUMIFS('Degrémont Entrée'!$AZ$14:$AZ$379,'Degrémont Entrée'!$AZ$14:$AZ$379,"&lt;&gt;0",'Degrémont Entrée'!$A$14:$A$379,"&gt;="&amp;A21,'Degrémont Entrée'!$A$14:$A$379,"&lt;="&amp;EOMONTH(A21,0))</f>
        <v>5498.0703800000001</v>
      </c>
      <c r="E84" s="743">
        <f>SUMIFS('Degrémont Entrée'!$BC$14:$BC$379,'Degrémont Entrée'!$BC$14:$BC$379,"&lt;&gt;0",'Degrémont Entrée'!$A$14:$A$379,"&gt;="&amp;A21,'Degrémont Entrée'!$A$14:$A$379,"&lt;="&amp;EOMONTH(A21,0))</f>
        <v>11.487760000000002</v>
      </c>
      <c r="F84" s="743">
        <f>SUMIFS('Degrémont Entrée'!$AW$14:$AW$379,'Degrémont Entrée'!$AW$14:$AW$379,"&lt;&gt;0",'Degrémont Entrée'!$A$14:$A$379,"&gt;="&amp;A21,'Degrémont Entrée'!$A$14:$A$379,"&lt;="&amp;EOMONTH(A21,0))</f>
        <v>414.38875000000002</v>
      </c>
      <c r="G84" s="747" t="e">
        <v>#DIV/0!</v>
      </c>
      <c r="H84" s="743">
        <f>SUMIFS('Degrémont Entrée'!$AN$14:$AN$379,'Degrémont Entrée'!$AN$14:$AN$379,"&lt;&gt;0",'Degrémont Entrée'!$A$14:$A$379,"&gt;="&amp;A21,'Degrémont Entrée'!$A$14:$A$379,"&lt;="&amp;EOMONTH(A21,0))</f>
        <v>2167.7170000000001</v>
      </c>
      <c r="I84" s="743">
        <f>SUMIFS('Degrémont Entrée'!$BF$14:$BF$379,'Degrémont Entrée'!$BF$14:$BF$379,"&lt;&gt;0",'Degrémont Entrée'!$A$14:$A$379,"&gt;="&amp;A21,'Degrémont Entrée'!$A$14:$A$379,"&lt;="&amp;EOMONTH(A21,0))</f>
        <v>2.113785</v>
      </c>
      <c r="J84" s="743">
        <f>SUMIFS('Degrémont sortie'!$AK$14:$AK$379,'Degrémont sortie'!$AK$14:$AK$379,"&lt;&gt;0",'Degrémont Entrée'!$A$14:$A$379,"&gt;="&amp;A21,'Degrémont Entrée'!$A$14:$A$379,"&lt;="&amp;EOMONTH(A21,0))</f>
        <v>0.51892000000000005</v>
      </c>
      <c r="K84" s="743">
        <f>SUMIFS('Degrémont sortie'!$AT$14:$AT$379,'Degrémont sortie'!$AT$14:$AT$379,"&lt;&gt;0",'Degrémont Entrée'!$A$14:$A$379,"&gt;="&amp;A21,'Degrémont Entrée'!$A$14:$A$379,"&lt;="&amp;EOMONTH(A21,0))</f>
        <v>0.31706000000000001</v>
      </c>
      <c r="L84" s="743">
        <f>SUMIFS('Degrémont sortie'!$AW$14:$AW$379,'Degrémont sortie'!$AW$14:$AW$379,"&lt;&gt;0",'Degrémont Entrée'!$A$14:$A$379,"&gt;="&amp;A21,'Degrémont Entrée'!$A$14:$A$379,"&lt;="&amp;EOMONTH(A21,0))</f>
        <v>9.0110000000000023E-2</v>
      </c>
      <c r="M84" s="743">
        <f>SUMIFS('Degrémont sortie'!$AQ$14:$AQ$379,'Degrémont sortie'!$AQ$14:$AQ$379,"&lt;&gt;0",'Degrémont Entrée'!$A$14:$A$379,"&gt;="&amp;A21,'Degrémont Entrée'!$A$14:$A$379,"&lt;="&amp;EOMONTH(A21,0))</f>
        <v>0.18911</v>
      </c>
      <c r="N84" s="743">
        <f>SUMIFS('Degrémont sortie'!$AE$14:$AE$379,'Degrémont sortie'!$AE$14:$AE$379,"&lt;&gt;0",'Degrémont Entrée'!$A$14:$A$379,"&gt;="&amp;A21,'Degrémont Entrée'!$A$14:$A$379,"&lt;="&amp;EOMONTH(A21,0))</f>
        <v>4.9727500000000001E-2</v>
      </c>
      <c r="O84" s="743">
        <f>SUMIFS('Degrémont sortie'!$AH$14:$AH$379,'Degrémont sortie'!$AH$14:$AH$379,"&lt;&gt;0",'Degrémont Entrée'!$A$14:$A$379,"&gt;="&amp;A21,'Degrémont Entrée'!$A$14:$A$379,"&lt;="&amp;EOMONTH(A21,0))</f>
        <v>5.5564299999999998</v>
      </c>
      <c r="P84" s="743">
        <f>SUMIFS('Degrémont sortie'!$AZ$14:$AZ$379,'Degrémont sortie'!$AZ$14:$AZ$379,"&lt;&gt;0",'Degrémont Entrée'!$A$14:$A$379,"&gt;="&amp;A21,'Degrémont Entrée'!$A$14:$A$379,"&lt;="&amp;EOMONTH(A21,0))</f>
        <v>5.6769999999999998E-3</v>
      </c>
      <c r="Q84" s="595"/>
      <c r="R84" s="595"/>
      <c r="S84" s="599"/>
      <c r="T84" s="599"/>
      <c r="U84" s="599"/>
      <c r="V84" s="599"/>
      <c r="W84" s="599"/>
      <c r="X84" s="599"/>
      <c r="Y84" s="599"/>
      <c r="Z84" s="599"/>
    </row>
    <row r="85" spans="1:26" ht="15.75" customHeight="1">
      <c r="A85" s="595"/>
      <c r="B85" s="706" t="s">
        <v>249</v>
      </c>
      <c r="C85" s="742">
        <f>SUMIFS('Degrémont Entrée'!$AQ$14:$AQ$379,'Degrémont Entrée'!$AQ$14:$AQ$379,"&lt;&gt;0",'Degrémont Entrée'!$A$14:$A$379,"&gt;="&amp;A22,'Degrémont Entrée'!$A$14:$A$379,"&lt;="&amp;EOMONTH(A22,0))</f>
        <v>6395.6729999999998</v>
      </c>
      <c r="D85" s="743">
        <f>SUMIFS('Degrémont Entrée'!$AZ$14:$AZ$379,'Degrémont Entrée'!$AZ$14:$AZ$379,"&lt;&gt;0",'Degrémont Entrée'!$A$14:$A$379,"&gt;="&amp;A22,'Degrémont Entrée'!$A$14:$A$379,"&lt;="&amp;EOMONTH(A22,0))</f>
        <v>9135.7049999999999</v>
      </c>
      <c r="E85" s="743">
        <f>SUMIFS('Degrémont Entrée'!$BC$14:$BC$379,'Degrémont Entrée'!$BC$14:$BC$379,"&lt;&gt;0",'Degrémont Entrée'!$A$14:$A$379,"&gt;="&amp;A22,'Degrémont Entrée'!$A$14:$A$379,"&lt;="&amp;EOMONTH(A22,0))</f>
        <v>16.797441000000003</v>
      </c>
      <c r="F85" s="743">
        <f>SUMIFS('Degrémont Entrée'!$AW$14:$AW$379,'Degrémont Entrée'!$AW$14:$AW$379,"&lt;&gt;0",'Degrémont Entrée'!$A$14:$A$379,"&gt;="&amp;A22,'Degrémont Entrée'!$A$14:$A$379,"&lt;="&amp;EOMONTH(A22,0))</f>
        <v>566.26229999999998</v>
      </c>
      <c r="G85" s="748" t="e">
        <v>#DIV/0!</v>
      </c>
      <c r="H85" s="743">
        <f>SUMIFS('Degrémont Entrée'!$AN$14:$AN$379,'Degrémont Entrée'!$AN$14:$AN$379,"&lt;&gt;0",'Degrémont Entrée'!$A$14:$A$379,"&gt;="&amp;A22,'Degrémont Entrée'!$A$14:$A$379,"&lt;="&amp;EOMONTH(A22,0))</f>
        <v>2247.8660999999997</v>
      </c>
      <c r="I85" s="743">
        <f>SUMIFS('Degrémont Entrée'!$BF$14:$BF$379,'Degrémont Entrée'!$BF$14:$BF$379,"&lt;&gt;0",'Degrémont Entrée'!$A$14:$A$379,"&gt;="&amp;A22,'Degrémont Entrée'!$A$14:$A$379,"&lt;="&amp;EOMONTH(A22,0))</f>
        <v>2.9366129999999999</v>
      </c>
      <c r="J85" s="743">
        <f>SUMIFS('Degrémont sortie'!$AK$14:$AK$379,'Degrémont sortie'!$AK$14:$AK$379,"&lt;&gt;0",'Degrémont Entrée'!$A$14:$A$379,"&gt;="&amp;A22,'Degrémont Entrée'!$A$14:$A$379,"&lt;="&amp;EOMONTH(A22,0))</f>
        <v>0.13952000000000001</v>
      </c>
      <c r="K85" s="743">
        <f>SUMIFS('Degrémont sortie'!$AT$14:$AT$379,'Degrémont sortie'!$AT$14:$AT$379,"&lt;&gt;0",'Degrémont Entrée'!$A$14:$A$379,"&gt;="&amp;A22,'Degrémont Entrée'!$A$14:$A$379,"&lt;="&amp;EOMONTH(A22,0))</f>
        <v>0.112204</v>
      </c>
      <c r="L85" s="743">
        <f>SUMIFS('Degrémont sortie'!$AW$14:$AW$379,'Degrémont sortie'!$AW$14:$AW$379,"&lt;&gt;0",'Degrémont Entrée'!$A$14:$A$379,"&gt;="&amp;A22,'Degrémont Entrée'!$A$14:$A$379,"&lt;="&amp;EOMONTH(A22,0))</f>
        <v>1.0348E-2</v>
      </c>
      <c r="M85" s="743">
        <f>SUMIFS('Degrémont sortie'!$AQ$14:$AQ$379,'Degrémont sortie'!$AQ$14:$AQ$379,"&lt;&gt;0",'Degrémont Entrée'!$A$14:$A$379,"&gt;="&amp;A22,'Degrémont Entrée'!$A$14:$A$379,"&lt;="&amp;EOMONTH(A22,0))</f>
        <v>0.15107999999999999</v>
      </c>
      <c r="N85" s="743">
        <f>SUMIFS('Degrémont sortie'!$AE$14:$AE$379,'Degrémont sortie'!$AE$14:$AE$379,"&lt;&gt;0",'Degrémont Entrée'!$A$14:$A$379,"&gt;="&amp;A22,'Degrémont Entrée'!$A$14:$A$379,"&lt;="&amp;EOMONTH(A22,0))</f>
        <v>4.3887500000000003E-2</v>
      </c>
      <c r="O85" s="743">
        <f>SUMIFS('Degrémont sortie'!$AH$14:$AH$379,'Degrémont sortie'!$AH$14:$AH$379,"&lt;&gt;0",'Degrémont Entrée'!$A$14:$A$379,"&gt;="&amp;A22,'Degrémont Entrée'!$A$14:$A$379,"&lt;="&amp;EOMONTH(A22,0))</f>
        <v>4.1001599999999998</v>
      </c>
      <c r="P85" s="743">
        <f>SUMIFS('Degrémont sortie'!$AZ$14:$AZ$379,'Degrémont sortie'!$AZ$14:$AZ$379,"&lt;&gt;0",'Degrémont Entrée'!$A$14:$A$379,"&gt;="&amp;A22,'Degrémont Entrée'!$A$14:$A$379,"&lt;="&amp;EOMONTH(A22,0))</f>
        <v>1.6759999999999998E-3</v>
      </c>
      <c r="Q85" s="595"/>
      <c r="R85" s="595"/>
      <c r="S85" s="599"/>
      <c r="T85" s="599"/>
      <c r="U85" s="599"/>
      <c r="V85" s="599"/>
      <c r="W85" s="599"/>
      <c r="X85" s="599"/>
      <c r="Y85" s="599"/>
      <c r="Z85" s="599"/>
    </row>
    <row r="86" spans="1:26" ht="15.75" customHeight="1">
      <c r="A86" s="595"/>
      <c r="B86" s="715" t="s">
        <v>254</v>
      </c>
      <c r="C86" s="718">
        <f t="shared" ref="C86:P86" si="13">SUM(C74:C85)</f>
        <v>46872.371209999998</v>
      </c>
      <c r="D86" s="716">
        <f t="shared" si="13"/>
        <v>72241.830229999992</v>
      </c>
      <c r="E86" s="716">
        <f t="shared" si="13"/>
        <v>473.21754099999998</v>
      </c>
      <c r="F86" s="716">
        <f t="shared" si="13"/>
        <v>6955.2117100000005</v>
      </c>
      <c r="G86" s="716" t="e">
        <f t="shared" si="13"/>
        <v>#DIV/0!</v>
      </c>
      <c r="H86" s="716">
        <f t="shared" si="13"/>
        <v>18073.657739999999</v>
      </c>
      <c r="I86" s="752">
        <f t="shared" si="13"/>
        <v>139.72383300000001</v>
      </c>
      <c r="J86" s="718">
        <f t="shared" si="13"/>
        <v>35.057549999999999</v>
      </c>
      <c r="K86" s="716">
        <f t="shared" si="13"/>
        <v>36.813268999999991</v>
      </c>
      <c r="L86" s="716">
        <f t="shared" si="13"/>
        <v>3.1070579999999999</v>
      </c>
      <c r="M86" s="716">
        <f t="shared" si="13"/>
        <v>8.0235600000000016</v>
      </c>
      <c r="N86" s="716">
        <f t="shared" si="13"/>
        <v>0.1436325</v>
      </c>
      <c r="O86" s="716">
        <f t="shared" si="13"/>
        <v>137.77293</v>
      </c>
      <c r="P86" s="752">
        <f t="shared" si="13"/>
        <v>2.2975779999999997</v>
      </c>
      <c r="Q86" s="595"/>
      <c r="R86" s="595"/>
      <c r="S86" s="599"/>
      <c r="T86" s="599"/>
      <c r="U86" s="599"/>
      <c r="V86" s="599"/>
      <c r="W86" s="599"/>
      <c r="X86" s="599"/>
      <c r="Y86" s="599"/>
      <c r="Z86" s="599"/>
    </row>
    <row r="87" spans="1:26" ht="15.75" customHeight="1">
      <c r="A87" s="595"/>
      <c r="B87" s="595"/>
      <c r="C87" s="595"/>
      <c r="D87" s="595"/>
      <c r="E87" s="724"/>
      <c r="F87" s="724"/>
      <c r="G87" s="724"/>
      <c r="H87" s="724"/>
      <c r="I87" s="753"/>
      <c r="J87" s="753"/>
      <c r="K87" s="753"/>
      <c r="L87" s="753"/>
      <c r="M87" s="724"/>
      <c r="N87" s="753"/>
      <c r="O87" s="753"/>
      <c r="P87" s="595"/>
      <c r="Q87" s="595"/>
      <c r="R87" s="595"/>
      <c r="S87" s="599"/>
      <c r="T87" s="599"/>
      <c r="U87" s="599"/>
      <c r="V87" s="599"/>
      <c r="W87" s="599"/>
      <c r="X87" s="599"/>
      <c r="Y87" s="599"/>
      <c r="Z87" s="599"/>
    </row>
    <row r="88" spans="1:26" ht="15.75" customHeight="1">
      <c r="A88" s="595"/>
      <c r="B88" s="595"/>
      <c r="C88" s="595"/>
      <c r="D88" s="595"/>
      <c r="E88" s="724"/>
      <c r="F88" s="724"/>
      <c r="G88" s="724"/>
      <c r="H88" s="724"/>
      <c r="I88" s="753"/>
      <c r="J88" s="753"/>
      <c r="K88" s="753"/>
      <c r="L88" s="753"/>
      <c r="M88" s="724"/>
      <c r="N88" s="753"/>
      <c r="O88" s="753"/>
      <c r="P88" s="595"/>
      <c r="Q88" s="726" t="str">
        <f>$P$1</f>
        <v>Année</v>
      </c>
      <c r="R88" s="754">
        <f>$Q$1</f>
        <v>2019</v>
      </c>
      <c r="S88" s="599"/>
      <c r="T88" s="599"/>
      <c r="U88" s="599"/>
      <c r="V88" s="599"/>
      <c r="W88" s="599"/>
      <c r="X88" s="599"/>
      <c r="Y88" s="599"/>
      <c r="Z88" s="599"/>
    </row>
    <row r="89" spans="1:26" ht="15.75" customHeight="1">
      <c r="A89" s="1542"/>
      <c r="B89" s="1543"/>
      <c r="C89" s="725"/>
      <c r="D89" s="725"/>
      <c r="E89" s="593"/>
      <c r="F89" s="593"/>
      <c r="G89" s="593"/>
      <c r="H89" s="593"/>
      <c r="I89" s="593"/>
      <c r="J89" s="593"/>
      <c r="K89" s="593"/>
      <c r="L89" s="595"/>
      <c r="M89" s="595"/>
      <c r="N89" s="595"/>
      <c r="O89" s="595"/>
      <c r="P89" s="595"/>
      <c r="Q89" s="595"/>
      <c r="R89" s="595"/>
      <c r="S89" s="599"/>
      <c r="T89" s="599"/>
      <c r="U89" s="599"/>
      <c r="V89" s="599"/>
      <c r="W89" s="599"/>
      <c r="X89" s="599"/>
      <c r="Y89" s="599"/>
      <c r="Z89" s="599"/>
    </row>
    <row r="90" spans="1:26" ht="15.75" customHeight="1">
      <c r="A90" s="1544"/>
      <c r="B90" s="1545"/>
      <c r="C90" s="728"/>
      <c r="D90" s="728"/>
      <c r="E90" s="593"/>
      <c r="F90" s="593"/>
      <c r="G90" s="1547" t="str">
        <f>G3</f>
        <v>BILAN ANNUEL -  STATION DEGREMONT</v>
      </c>
      <c r="H90" s="1420"/>
      <c r="I90" s="1420"/>
      <c r="J90" s="1420"/>
      <c r="K90" s="1420"/>
      <c r="L90" s="1420"/>
      <c r="M90" s="1420"/>
      <c r="N90" s="1420"/>
      <c r="O90" s="1421"/>
      <c r="P90" s="595"/>
      <c r="Q90" s="595"/>
      <c r="R90" s="595"/>
      <c r="S90" s="599"/>
      <c r="T90" s="599"/>
      <c r="U90" s="599"/>
      <c r="V90" s="599"/>
      <c r="W90" s="599"/>
      <c r="X90" s="599"/>
      <c r="Y90" s="599"/>
      <c r="Z90" s="599"/>
    </row>
    <row r="91" spans="1:26" ht="15.75" customHeight="1">
      <c r="A91" s="601" t="s">
        <v>217</v>
      </c>
      <c r="B91" s="601"/>
      <c r="C91" s="728"/>
      <c r="D91" s="728"/>
      <c r="E91" s="595"/>
      <c r="F91" s="595"/>
      <c r="G91" s="595"/>
      <c r="H91" s="595"/>
      <c r="I91" s="595"/>
      <c r="J91" s="595"/>
      <c r="K91" s="595"/>
      <c r="L91" s="595"/>
      <c r="M91" s="595"/>
      <c r="N91" s="595"/>
      <c r="O91" s="595"/>
      <c r="P91" s="595"/>
      <c r="Q91" s="595"/>
      <c r="R91" s="595"/>
      <c r="S91" s="599"/>
      <c r="T91" s="599"/>
      <c r="U91" s="599"/>
      <c r="V91" s="599"/>
      <c r="W91" s="599"/>
      <c r="X91" s="599"/>
      <c r="Y91" s="599"/>
      <c r="Z91" s="599"/>
    </row>
    <row r="92" spans="1:26" ht="15.75" customHeight="1">
      <c r="A92" s="1531" t="s">
        <v>219</v>
      </c>
      <c r="B92" s="1532"/>
      <c r="C92" s="685"/>
      <c r="D92" s="724"/>
      <c r="E92" s="724"/>
      <c r="F92" s="724"/>
      <c r="G92" s="1541" t="s">
        <v>255</v>
      </c>
      <c r="H92" s="1520"/>
      <c r="I92" s="1520"/>
      <c r="J92" s="1520"/>
      <c r="K92" s="1520"/>
      <c r="L92" s="1520"/>
      <c r="M92" s="1520"/>
      <c r="N92" s="1520"/>
      <c r="O92" s="1522"/>
      <c r="P92" s="595"/>
      <c r="Q92" s="595"/>
      <c r="R92" s="595"/>
      <c r="S92" s="599"/>
      <c r="T92" s="599"/>
      <c r="U92" s="599"/>
      <c r="V92" s="599"/>
      <c r="W92" s="599"/>
      <c r="X92" s="599"/>
      <c r="Y92" s="599"/>
      <c r="Z92" s="599"/>
    </row>
    <row r="93" spans="1:26" ht="15.75" customHeight="1">
      <c r="A93" s="593"/>
      <c r="B93" s="593"/>
      <c r="C93" s="593"/>
      <c r="D93" s="593"/>
      <c r="E93" s="603"/>
      <c r="F93" s="603"/>
      <c r="G93" s="603"/>
      <c r="H93" s="593"/>
      <c r="I93" s="603"/>
      <c r="J93" s="603"/>
      <c r="K93" s="603"/>
      <c r="L93" s="595"/>
      <c r="M93" s="595"/>
      <c r="N93" s="595"/>
      <c r="O93" s="595"/>
      <c r="P93" s="595"/>
      <c r="Q93" s="595"/>
      <c r="R93" s="595"/>
      <c r="S93" s="599"/>
      <c r="T93" s="599"/>
      <c r="U93" s="599"/>
      <c r="V93" s="599"/>
      <c r="W93" s="599"/>
      <c r="X93" s="599"/>
      <c r="Y93" s="599"/>
      <c r="Z93" s="599"/>
    </row>
    <row r="94" spans="1:26" ht="15.75" customHeight="1">
      <c r="A94" s="595"/>
      <c r="B94" s="593"/>
      <c r="C94" s="1524" t="s">
        <v>221</v>
      </c>
      <c r="D94" s="1420"/>
      <c r="E94" s="1420"/>
      <c r="F94" s="1420"/>
      <c r="G94" s="1420"/>
      <c r="H94" s="1420"/>
      <c r="I94" s="1420"/>
      <c r="J94" s="1524" t="s">
        <v>222</v>
      </c>
      <c r="K94" s="1420"/>
      <c r="L94" s="1420"/>
      <c r="M94" s="1420"/>
      <c r="N94" s="1420"/>
      <c r="O94" s="1420"/>
      <c r="P94" s="1420"/>
      <c r="Q94" s="1421"/>
      <c r="R94" s="595"/>
      <c r="S94" s="599"/>
      <c r="T94" s="599"/>
      <c r="U94" s="599"/>
      <c r="V94" s="599"/>
      <c r="W94" s="599"/>
      <c r="X94" s="599"/>
      <c r="Y94" s="599"/>
      <c r="Z94" s="599"/>
    </row>
    <row r="95" spans="1:26" ht="15.75" customHeight="1">
      <c r="A95" s="595"/>
      <c r="B95" s="593"/>
      <c r="C95" s="593"/>
      <c r="D95" s="593"/>
      <c r="E95" s="593"/>
      <c r="F95" s="593"/>
      <c r="G95" s="593"/>
      <c r="H95" s="593"/>
      <c r="I95" s="729"/>
      <c r="J95" s="593"/>
      <c r="K95" s="593"/>
      <c r="L95" s="593"/>
      <c r="M95" s="593"/>
      <c r="N95" s="593"/>
      <c r="O95" s="595"/>
      <c r="P95" s="595"/>
      <c r="Q95" s="595"/>
      <c r="R95" s="595"/>
      <c r="S95" s="599"/>
      <c r="T95" s="599"/>
      <c r="U95" s="599"/>
      <c r="V95" s="599"/>
      <c r="W95" s="599"/>
      <c r="X95" s="599"/>
      <c r="Y95" s="599"/>
      <c r="Z95" s="599"/>
    </row>
    <row r="96" spans="1:26" ht="15.75" customHeight="1">
      <c r="A96" s="595"/>
      <c r="B96" s="1529" t="s">
        <v>223</v>
      </c>
      <c r="C96" s="730" t="s">
        <v>156</v>
      </c>
      <c r="D96" s="731" t="s">
        <v>163</v>
      </c>
      <c r="E96" s="731" t="s">
        <v>161</v>
      </c>
      <c r="F96" s="731" t="s">
        <v>157</v>
      </c>
      <c r="G96" s="731" t="s">
        <v>251</v>
      </c>
      <c r="H96" s="731" t="s">
        <v>155</v>
      </c>
      <c r="I96" s="733" t="s">
        <v>162</v>
      </c>
      <c r="J96" s="751" t="s">
        <v>156</v>
      </c>
      <c r="K96" s="731" t="s">
        <v>163</v>
      </c>
      <c r="L96" s="731" t="s">
        <v>161</v>
      </c>
      <c r="M96" s="731" t="s">
        <v>157</v>
      </c>
      <c r="N96" s="731" t="s">
        <v>251</v>
      </c>
      <c r="O96" s="731" t="s">
        <v>155</v>
      </c>
      <c r="P96" s="755" t="s">
        <v>162</v>
      </c>
      <c r="Q96" s="733" t="s">
        <v>177</v>
      </c>
      <c r="R96" s="595"/>
      <c r="S96" s="599"/>
      <c r="T96" s="599"/>
      <c r="U96" s="599"/>
      <c r="V96" s="599"/>
      <c r="W96" s="599"/>
      <c r="X96" s="599"/>
      <c r="Y96" s="599"/>
      <c r="Z96" s="599"/>
    </row>
    <row r="97" spans="1:26" ht="15.75" customHeight="1">
      <c r="A97" s="595"/>
      <c r="B97" s="1516"/>
      <c r="C97" s="608" t="s">
        <v>150</v>
      </c>
      <c r="D97" s="608" t="s">
        <v>150</v>
      </c>
      <c r="E97" s="608" t="s">
        <v>150</v>
      </c>
      <c r="F97" s="608" t="s">
        <v>150</v>
      </c>
      <c r="G97" s="608" t="s">
        <v>150</v>
      </c>
      <c r="H97" s="608" t="s">
        <v>150</v>
      </c>
      <c r="I97" s="737" t="s">
        <v>150</v>
      </c>
      <c r="J97" s="605" t="s">
        <v>150</v>
      </c>
      <c r="K97" s="608" t="s">
        <v>150</v>
      </c>
      <c r="L97" s="608" t="s">
        <v>150</v>
      </c>
      <c r="M97" s="608" t="s">
        <v>150</v>
      </c>
      <c r="N97" s="608" t="s">
        <v>150</v>
      </c>
      <c r="O97" s="608" t="s">
        <v>150</v>
      </c>
      <c r="P97" s="756" t="s">
        <v>150</v>
      </c>
      <c r="Q97" s="757" t="s">
        <v>150</v>
      </c>
      <c r="R97" s="595"/>
      <c r="S97" s="599"/>
      <c r="T97" s="599"/>
      <c r="U97" s="599"/>
      <c r="V97" s="599"/>
      <c r="W97" s="599"/>
      <c r="X97" s="599"/>
      <c r="Y97" s="599"/>
      <c r="Z97" s="599"/>
    </row>
    <row r="98" spans="1:26" ht="15.75" customHeight="1">
      <c r="A98" s="595"/>
      <c r="B98" s="692" t="s">
        <v>238</v>
      </c>
      <c r="C98" s="695">
        <f t="shared" ref="C98:P98" si="14">IF(COUNT(C74),(C74/$B11)*1000,"")</f>
        <v>281.09759749528064</v>
      </c>
      <c r="D98" s="758">
        <f t="shared" si="14"/>
        <v>384.29871909388089</v>
      </c>
      <c r="E98" s="758">
        <f t="shared" si="14"/>
        <v>7.1051719692435213</v>
      </c>
      <c r="F98" s="758">
        <f t="shared" si="14"/>
        <v>35.922460058013719</v>
      </c>
      <c r="G98" s="697" t="str">
        <f t="shared" si="14"/>
        <v/>
      </c>
      <c r="H98" s="758">
        <f t="shared" si="14"/>
        <v>72.222017588286747</v>
      </c>
      <c r="I98" s="759">
        <f t="shared" si="14"/>
        <v>0.18052212348634838</v>
      </c>
      <c r="J98" s="695">
        <f t="shared" si="14"/>
        <v>0.12803858372853261</v>
      </c>
      <c r="K98" s="758">
        <f t="shared" si="14"/>
        <v>0.1062346332704084</v>
      </c>
      <c r="L98" s="758">
        <f t="shared" si="14"/>
        <v>1.7182420921773561E-2</v>
      </c>
      <c r="M98" s="758">
        <f t="shared" si="14"/>
        <v>3.3020396887517837E-2</v>
      </c>
      <c r="N98" s="697">
        <f t="shared" si="14"/>
        <v>0</v>
      </c>
      <c r="O98" s="758">
        <f t="shared" si="14"/>
        <v>0.38094157189557537</v>
      </c>
      <c r="P98" s="759">
        <f t="shared" si="14"/>
        <v>1.4134858879322252E-2</v>
      </c>
      <c r="Q98" s="760">
        <v>9.1879182492313263E-3</v>
      </c>
      <c r="R98" s="595"/>
      <c r="S98" s="599"/>
      <c r="T98" s="599"/>
      <c r="U98" s="599"/>
      <c r="V98" s="599"/>
      <c r="W98" s="599"/>
      <c r="X98" s="599"/>
      <c r="Y98" s="599"/>
      <c r="Z98" s="599"/>
    </row>
    <row r="99" spans="1:26" ht="15.75" customHeight="1">
      <c r="A99" s="595"/>
      <c r="B99" s="699" t="s">
        <v>239</v>
      </c>
      <c r="C99" s="761">
        <f t="shared" ref="C99:P99" si="15">IF(COUNT(C75),(C75/$B12)*1000,"")</f>
        <v>53.784004946559492</v>
      </c>
      <c r="D99" s="704">
        <f t="shared" si="15"/>
        <v>280.05569295998589</v>
      </c>
      <c r="E99" s="704">
        <f t="shared" si="15"/>
        <v>1.4895274269057506</v>
      </c>
      <c r="F99" s="704">
        <f t="shared" si="15"/>
        <v>28.866094426287436</v>
      </c>
      <c r="G99" s="762" t="str">
        <f t="shared" si="15"/>
        <v/>
      </c>
      <c r="H99" s="704">
        <f t="shared" si="15"/>
        <v>47.175779524776964</v>
      </c>
      <c r="I99" s="763">
        <f t="shared" si="15"/>
        <v>8.6892500662485647E-2</v>
      </c>
      <c r="J99" s="761">
        <f t="shared" si="15"/>
        <v>7.8056267114212527E-2</v>
      </c>
      <c r="K99" s="704">
        <f t="shared" si="15"/>
        <v>6.3186555957954249E-2</v>
      </c>
      <c r="L99" s="704">
        <f t="shared" si="15"/>
        <v>1.303440508788976E-2</v>
      </c>
      <c r="M99" s="704">
        <f t="shared" si="15"/>
        <v>3.0129405529546863E-2</v>
      </c>
      <c r="N99" s="762">
        <f t="shared" si="15"/>
        <v>0</v>
      </c>
      <c r="O99" s="704">
        <f t="shared" si="15"/>
        <v>0.37834776079851601</v>
      </c>
      <c r="P99" s="763">
        <f t="shared" si="15"/>
        <v>1.1296484409504462E-2</v>
      </c>
      <c r="Q99" s="764">
        <v>7.9783126157101317E-3</v>
      </c>
      <c r="R99" s="595"/>
      <c r="S99" s="599"/>
      <c r="T99" s="599"/>
      <c r="U99" s="599"/>
      <c r="V99" s="599"/>
      <c r="W99" s="599"/>
      <c r="X99" s="599"/>
      <c r="Y99" s="599"/>
      <c r="Z99" s="599"/>
    </row>
    <row r="100" spans="1:26" ht="15.75" customHeight="1">
      <c r="A100" s="595"/>
      <c r="B100" s="699" t="s">
        <v>240</v>
      </c>
      <c r="C100" s="761">
        <f t="shared" ref="C100:P100" si="16">IF(COUNT(C76),(C76/$B13)*1000,"")</f>
        <v>72.416232335911246</v>
      </c>
      <c r="D100" s="704">
        <f t="shared" si="16"/>
        <v>121.36232862290966</v>
      </c>
      <c r="E100" s="704">
        <f t="shared" si="16"/>
        <v>0.29960845446815393</v>
      </c>
      <c r="F100" s="704">
        <f t="shared" si="16"/>
        <v>11.684890472527027</v>
      </c>
      <c r="G100" s="762" t="str">
        <f t="shared" si="16"/>
        <v/>
      </c>
      <c r="H100" s="704">
        <f t="shared" si="16"/>
        <v>30.224828926590273</v>
      </c>
      <c r="I100" s="763">
        <f t="shared" si="16"/>
        <v>8.2333684253148159E-2</v>
      </c>
      <c r="J100" s="761">
        <f t="shared" si="16"/>
        <v>9.6184556828764631E-2</v>
      </c>
      <c r="K100" s="704">
        <f t="shared" si="16"/>
        <v>6.9352552941652837E-2</v>
      </c>
      <c r="L100" s="704">
        <f t="shared" si="16"/>
        <v>1.3018787707008945E-2</v>
      </c>
      <c r="M100" s="704">
        <f t="shared" si="16"/>
        <v>4.5347208162934763E-2</v>
      </c>
      <c r="N100" s="762">
        <f t="shared" si="16"/>
        <v>0</v>
      </c>
      <c r="O100" s="704">
        <f t="shared" si="16"/>
        <v>0.55680082601125647</v>
      </c>
      <c r="P100" s="763">
        <f t="shared" si="16"/>
        <v>1.1282949346074421E-2</v>
      </c>
      <c r="Q100" s="764">
        <v>8.0608184668897707E-3</v>
      </c>
      <c r="R100" s="595"/>
      <c r="S100" s="599"/>
      <c r="T100" s="599"/>
      <c r="U100" s="599"/>
      <c r="V100" s="599"/>
      <c r="W100" s="599"/>
      <c r="X100" s="599"/>
      <c r="Y100" s="599"/>
      <c r="Z100" s="599"/>
    </row>
    <row r="101" spans="1:26" ht="15.75" customHeight="1">
      <c r="A101" s="595"/>
      <c r="B101" s="699" t="s">
        <v>241</v>
      </c>
      <c r="C101" s="761">
        <f t="shared" ref="C101:P101" si="17">IF(COUNT(C77),(C77/$B14)*1000,"")</f>
        <v>258.05006439742414</v>
      </c>
      <c r="D101" s="704">
        <f t="shared" si="17"/>
        <v>379.06119733210676</v>
      </c>
      <c r="E101" s="704">
        <f t="shared" si="17"/>
        <v>0.11544273229070838</v>
      </c>
      <c r="F101" s="704">
        <f t="shared" si="17"/>
        <v>53.381295768169274</v>
      </c>
      <c r="G101" s="762" t="str">
        <f t="shared" si="17"/>
        <v/>
      </c>
      <c r="H101" s="704">
        <f t="shared" si="17"/>
        <v>133.25726770929163</v>
      </c>
      <c r="I101" s="763">
        <f t="shared" si="17"/>
        <v>0.10005036798528059</v>
      </c>
      <c r="J101" s="761">
        <f t="shared" si="17"/>
        <v>0.23364167433302668</v>
      </c>
      <c r="K101" s="704">
        <f t="shared" si="17"/>
        <v>0.2230344986200552</v>
      </c>
      <c r="L101" s="704">
        <f t="shared" si="17"/>
        <v>1.5765869365225386E-2</v>
      </c>
      <c r="M101" s="704">
        <f t="shared" si="17"/>
        <v>7.3180772769089242E-2</v>
      </c>
      <c r="N101" s="762">
        <f t="shared" si="17"/>
        <v>0</v>
      </c>
      <c r="O101" s="704">
        <f t="shared" si="17"/>
        <v>1.6039149034038642</v>
      </c>
      <c r="P101" s="763">
        <f t="shared" si="17"/>
        <v>1.3663753449862008E-2</v>
      </c>
      <c r="Q101" s="764">
        <v>8.8039749523550221E-3</v>
      </c>
      <c r="R101" s="595"/>
      <c r="S101" s="599"/>
      <c r="T101" s="599"/>
      <c r="U101" s="599"/>
      <c r="V101" s="599"/>
      <c r="W101" s="599"/>
      <c r="X101" s="599"/>
      <c r="Y101" s="599"/>
      <c r="Z101" s="599"/>
    </row>
    <row r="102" spans="1:26" ht="15.75" customHeight="1">
      <c r="A102" s="595"/>
      <c r="B102" s="699" t="s">
        <v>242</v>
      </c>
      <c r="C102" s="761">
        <f t="shared" ref="C102:P102" si="18">IF(COUNT(C78),(C78/$B15)*1000,"")</f>
        <v>285.56759573292533</v>
      </c>
      <c r="D102" s="704">
        <f t="shared" si="18"/>
        <v>390.58686557014749</v>
      </c>
      <c r="E102" s="704">
        <f t="shared" si="18"/>
        <v>0.92909685919503593</v>
      </c>
      <c r="F102" s="704">
        <f t="shared" si="18"/>
        <v>38.779641293722648</v>
      </c>
      <c r="G102" s="762" t="str">
        <f t="shared" si="18"/>
        <v/>
      </c>
      <c r="H102" s="704">
        <f t="shared" si="18"/>
        <v>66.055284967486926</v>
      </c>
      <c r="I102" s="763">
        <f t="shared" si="18"/>
        <v>7.9660844064771141E-2</v>
      </c>
      <c r="J102" s="761">
        <f t="shared" si="18"/>
        <v>0.5188490798588975</v>
      </c>
      <c r="K102" s="704">
        <f t="shared" si="18"/>
        <v>0.80412405967104417</v>
      </c>
      <c r="L102" s="704">
        <f t="shared" si="18"/>
        <v>1.2224276424837435E-2</v>
      </c>
      <c r="M102" s="704">
        <f t="shared" si="18"/>
        <v>4.3625313442985245E-2</v>
      </c>
      <c r="N102" s="762">
        <f t="shared" si="18"/>
        <v>0</v>
      </c>
      <c r="O102" s="704">
        <f t="shared" si="18"/>
        <v>0.68166390411832212</v>
      </c>
      <c r="P102" s="763">
        <f t="shared" si="18"/>
        <v>1.0594372901525779E-2</v>
      </c>
      <c r="Q102" s="764">
        <v>8.7903413048525669E-3</v>
      </c>
      <c r="R102" s="595"/>
      <c r="S102" s="599"/>
      <c r="T102" s="599"/>
      <c r="U102" s="599"/>
      <c r="V102" s="599"/>
      <c r="W102" s="599"/>
      <c r="X102" s="599"/>
      <c r="Y102" s="599"/>
      <c r="Z102" s="599"/>
    </row>
    <row r="103" spans="1:26" ht="15.75" customHeight="1">
      <c r="A103" s="595"/>
      <c r="B103" s="699" t="s">
        <v>243</v>
      </c>
      <c r="C103" s="761">
        <f t="shared" ref="C103:P103" si="19">IF(COUNT(C79),(C79/$B16)*1000,"")</f>
        <v>58.505066506890358</v>
      </c>
      <c r="D103" s="704">
        <f t="shared" si="19"/>
        <v>86.678231276213296</v>
      </c>
      <c r="E103" s="704">
        <f t="shared" si="19"/>
        <v>0.11698921509886159</v>
      </c>
      <c r="F103" s="704">
        <f t="shared" si="19"/>
        <v>9.1358358298382267</v>
      </c>
      <c r="G103" s="762" t="str">
        <f t="shared" si="19"/>
        <v/>
      </c>
      <c r="H103" s="704">
        <f t="shared" si="19"/>
        <v>17.347034152186936</v>
      </c>
      <c r="I103" s="763">
        <f t="shared" si="19"/>
        <v>0.10139065308568006</v>
      </c>
      <c r="J103" s="761">
        <f t="shared" si="19"/>
        <v>6.7575793888556029E-2</v>
      </c>
      <c r="K103" s="704">
        <f t="shared" si="19"/>
        <v>0.11636309167165967</v>
      </c>
      <c r="L103" s="704">
        <f t="shared" si="19"/>
        <v>1.286998202516477E-2</v>
      </c>
      <c r="M103" s="704">
        <f t="shared" si="19"/>
        <v>3.7634511683642895E-2</v>
      </c>
      <c r="N103" s="762">
        <f t="shared" si="19"/>
        <v>0</v>
      </c>
      <c r="O103" s="704">
        <f t="shared" si="19"/>
        <v>0.52371959257040135</v>
      </c>
      <c r="P103" s="763">
        <f t="shared" si="19"/>
        <v>1.1153984421809466E-2</v>
      </c>
      <c r="Q103" s="764">
        <v>1.0312105865688726E-2</v>
      </c>
      <c r="R103" s="595"/>
      <c r="S103" s="599"/>
      <c r="T103" s="599"/>
      <c r="U103" s="599"/>
      <c r="V103" s="599"/>
      <c r="W103" s="599"/>
      <c r="X103" s="599"/>
      <c r="Y103" s="599"/>
      <c r="Z103" s="599"/>
    </row>
    <row r="104" spans="1:26" ht="15.75" customHeight="1">
      <c r="A104" s="595"/>
      <c r="B104" s="699" t="s">
        <v>244</v>
      </c>
      <c r="C104" s="761">
        <f t="shared" ref="C104:P104" si="20">IF(COUNT(C80),(C80/$B17)*1000,"")</f>
        <v>340.93788854077661</v>
      </c>
      <c r="D104" s="704">
        <f t="shared" si="20"/>
        <v>455.09714990980729</v>
      </c>
      <c r="E104" s="704">
        <f t="shared" si="20"/>
        <v>0.10579606949587012</v>
      </c>
      <c r="F104" s="704">
        <f t="shared" si="20"/>
        <v>47.206769201557009</v>
      </c>
      <c r="G104" s="762" t="str">
        <f t="shared" si="20"/>
        <v/>
      </c>
      <c r="H104" s="704">
        <f t="shared" si="20"/>
        <v>97.768916737871436</v>
      </c>
      <c r="I104" s="763">
        <f t="shared" si="20"/>
        <v>9.1689926896420776E-2</v>
      </c>
      <c r="J104" s="761">
        <f t="shared" si="20"/>
        <v>0.14443083641887403</v>
      </c>
      <c r="K104" s="704">
        <f t="shared" si="20"/>
        <v>6.783917212570019E-2</v>
      </c>
      <c r="L104" s="704">
        <f t="shared" si="20"/>
        <v>1.6825690686414128E-2</v>
      </c>
      <c r="M104" s="704">
        <f t="shared" si="20"/>
        <v>5.8987942656413175E-2</v>
      </c>
      <c r="N104" s="762">
        <f t="shared" si="20"/>
        <v>0</v>
      </c>
      <c r="O104" s="704">
        <f t="shared" si="20"/>
        <v>0.53460837368271152</v>
      </c>
      <c r="P104" s="763">
        <f t="shared" si="20"/>
        <v>1.458226526155891E-2</v>
      </c>
      <c r="Q104" s="764">
        <v>9.2009045162112224E-3</v>
      </c>
      <c r="R104" s="595"/>
      <c r="S104" s="599"/>
      <c r="T104" s="599"/>
      <c r="U104" s="599"/>
      <c r="V104" s="599"/>
      <c r="W104" s="599"/>
      <c r="X104" s="599"/>
      <c r="Y104" s="599"/>
      <c r="Z104" s="599"/>
    </row>
    <row r="105" spans="1:26" ht="15.75" customHeight="1">
      <c r="A105" s="595"/>
      <c r="B105" s="699" t="s">
        <v>245</v>
      </c>
      <c r="C105" s="761">
        <f t="shared" ref="C105:P105" si="21">IF(COUNT(C81),(C81/$B18)*1000,"")</f>
        <v>260.55779955422338</v>
      </c>
      <c r="D105" s="704">
        <f t="shared" si="21"/>
        <v>263.7646952578587</v>
      </c>
      <c r="E105" s="704">
        <f t="shared" si="21"/>
        <v>15.444899315963413</v>
      </c>
      <c r="F105" s="704">
        <f t="shared" si="21"/>
        <v>13.120979940050724</v>
      </c>
      <c r="G105" s="762" t="str">
        <f t="shared" si="21"/>
        <v/>
      </c>
      <c r="H105" s="704">
        <f t="shared" si="21"/>
        <v>144.1568672661594</v>
      </c>
      <c r="I105" s="763">
        <f t="shared" si="21"/>
        <v>8.4253892859887802</v>
      </c>
      <c r="J105" s="761">
        <f t="shared" si="21"/>
        <v>0.10739912381830759</v>
      </c>
      <c r="K105" s="704">
        <f t="shared" si="21"/>
        <v>8.381292752286526E-2</v>
      </c>
      <c r="L105" s="704">
        <f t="shared" si="21"/>
        <v>9.130735531473368E-3</v>
      </c>
      <c r="M105" s="704">
        <f t="shared" si="21"/>
        <v>1.034201829221428E-2</v>
      </c>
      <c r="N105" s="762">
        <f t="shared" si="21"/>
        <v>0</v>
      </c>
      <c r="O105" s="704">
        <f t="shared" si="21"/>
        <v>0.69773960494965803</v>
      </c>
      <c r="P105" s="763">
        <f t="shared" si="21"/>
        <v>8.1823072784566898E-3</v>
      </c>
      <c r="Q105" s="764">
        <v>1.0360526856170615E-2</v>
      </c>
      <c r="R105" s="595"/>
      <c r="S105" s="599"/>
      <c r="T105" s="599"/>
      <c r="U105" s="599"/>
      <c r="V105" s="599"/>
      <c r="W105" s="599"/>
      <c r="X105" s="599"/>
      <c r="Y105" s="599"/>
      <c r="Z105" s="599"/>
    </row>
    <row r="106" spans="1:26" ht="15.75" customHeight="1">
      <c r="A106" s="595"/>
      <c r="B106" s="699" t="s">
        <v>246</v>
      </c>
      <c r="C106" s="761">
        <f t="shared" ref="C106:P106" si="22">IF(COUNT(C82),(C82/$B19)*1000,"")</f>
        <v>165.16764000327495</v>
      </c>
      <c r="D106" s="704">
        <f t="shared" si="22"/>
        <v>248.94516333715407</v>
      </c>
      <c r="E106" s="704">
        <f t="shared" si="22"/>
        <v>0.41091329621745543</v>
      </c>
      <c r="F106" s="704">
        <f t="shared" si="22"/>
        <v>22.876883084984442</v>
      </c>
      <c r="G106" s="762" t="str">
        <f t="shared" si="22"/>
        <v/>
      </c>
      <c r="H106" s="704">
        <f t="shared" si="22"/>
        <v>60.937448829212379</v>
      </c>
      <c r="I106" s="763">
        <f t="shared" si="22"/>
        <v>0.19993286392664156</v>
      </c>
      <c r="J106" s="761">
        <f t="shared" si="22"/>
        <v>0.16253602423448499</v>
      </c>
      <c r="K106" s="704">
        <f t="shared" si="22"/>
        <v>0.11813328966759458</v>
      </c>
      <c r="L106" s="704">
        <f t="shared" si="22"/>
        <v>1.3306451612903223E-2</v>
      </c>
      <c r="M106" s="704">
        <f t="shared" si="22"/>
        <v>1.8383003111183887E-2</v>
      </c>
      <c r="N106" s="762">
        <f t="shared" si="22"/>
        <v>0</v>
      </c>
      <c r="O106" s="704">
        <f t="shared" si="22"/>
        <v>0.33715490420828553</v>
      </c>
      <c r="P106" s="763">
        <f t="shared" si="22"/>
        <v>1.1532258064516129E-2</v>
      </c>
      <c r="Q106" s="764">
        <v>1.0517534899557373E-2</v>
      </c>
      <c r="R106" s="595"/>
      <c r="S106" s="599"/>
      <c r="T106" s="599"/>
      <c r="U106" s="599"/>
      <c r="V106" s="599"/>
      <c r="W106" s="599"/>
      <c r="X106" s="599"/>
      <c r="Y106" s="599"/>
      <c r="Z106" s="599"/>
    </row>
    <row r="107" spans="1:26" ht="15.75" customHeight="1">
      <c r="A107" s="595"/>
      <c r="B107" s="699" t="s">
        <v>247</v>
      </c>
      <c r="C107" s="761">
        <f t="shared" ref="C107:P107" si="23">IF(COUNT(C83),(C83/$B20)*1000,"")</f>
        <v>97.19435511203163</v>
      </c>
      <c r="D107" s="704">
        <f t="shared" si="23"/>
        <v>211.47878271511956</v>
      </c>
      <c r="E107" s="704">
        <f t="shared" si="23"/>
        <v>0.34711228268373817</v>
      </c>
      <c r="F107" s="704">
        <f t="shared" si="23"/>
        <v>25.104430427414798</v>
      </c>
      <c r="G107" s="762" t="str">
        <f t="shared" si="23"/>
        <v/>
      </c>
      <c r="H107" s="704">
        <f t="shared" si="23"/>
        <v>35.778360635159736</v>
      </c>
      <c r="I107" s="763">
        <f t="shared" si="23"/>
        <v>0.17378224439841836</v>
      </c>
      <c r="J107" s="761">
        <f t="shared" si="23"/>
        <v>6.813280612565116E-2</v>
      </c>
      <c r="K107" s="704">
        <f t="shared" si="23"/>
        <v>1.6673570576790312E-2</v>
      </c>
      <c r="L107" s="704">
        <f t="shared" si="23"/>
        <v>1.7275936735078139E-2</v>
      </c>
      <c r="M107" s="704">
        <f t="shared" si="23"/>
        <v>2.239377392832486E-2</v>
      </c>
      <c r="N107" s="762">
        <f t="shared" si="23"/>
        <v>1.5696196573150066E-3</v>
      </c>
      <c r="O107" s="704">
        <f t="shared" si="23"/>
        <v>0.46854358877800784</v>
      </c>
      <c r="P107" s="763">
        <f t="shared" si="23"/>
        <v>5.4776250549174671E-3</v>
      </c>
      <c r="Q107" s="764">
        <v>1.18679802955665E-2</v>
      </c>
      <c r="R107" s="595"/>
      <c r="S107" s="599"/>
      <c r="T107" s="599"/>
      <c r="U107" s="599"/>
      <c r="V107" s="599"/>
      <c r="W107" s="599"/>
      <c r="X107" s="599"/>
      <c r="Y107" s="599"/>
      <c r="Z107" s="599"/>
    </row>
    <row r="108" spans="1:26" ht="15.75" customHeight="1">
      <c r="A108" s="595"/>
      <c r="B108" s="699" t="s">
        <v>248</v>
      </c>
      <c r="C108" s="761">
        <f t="shared" ref="C108:P108" si="24">IF(COUNT(C84),(C84/$B21)*1000,"")</f>
        <v>292.94786965558194</v>
      </c>
      <c r="D108" s="704">
        <f t="shared" si="24"/>
        <v>408.11092488123518</v>
      </c>
      <c r="E108" s="704">
        <f t="shared" si="24"/>
        <v>0.85271377672209037</v>
      </c>
      <c r="F108" s="704">
        <f t="shared" si="24"/>
        <v>30.759259946555819</v>
      </c>
      <c r="G108" s="762" t="str">
        <f t="shared" si="24"/>
        <v/>
      </c>
      <c r="H108" s="704">
        <f t="shared" si="24"/>
        <v>160.90535926365794</v>
      </c>
      <c r="I108" s="763">
        <f t="shared" si="24"/>
        <v>0.1569020932304038</v>
      </c>
      <c r="J108" s="761">
        <f t="shared" si="24"/>
        <v>3.8518408551068882E-2</v>
      </c>
      <c r="K108" s="704">
        <f t="shared" si="24"/>
        <v>2.3534738717339666E-2</v>
      </c>
      <c r="L108" s="704">
        <f t="shared" si="24"/>
        <v>6.6886876484560584E-3</v>
      </c>
      <c r="M108" s="704">
        <f t="shared" si="24"/>
        <v>1.4037262470308788E-2</v>
      </c>
      <c r="N108" s="762">
        <f t="shared" si="24"/>
        <v>3.6911742874109264E-3</v>
      </c>
      <c r="O108" s="704">
        <f t="shared" si="24"/>
        <v>0.41244284441805223</v>
      </c>
      <c r="P108" s="763">
        <f t="shared" si="24"/>
        <v>4.2139251781472679E-4</v>
      </c>
      <c r="Q108" s="764">
        <v>1.1459206818338031E-2</v>
      </c>
      <c r="R108" s="595"/>
      <c r="S108" s="599"/>
      <c r="T108" s="599"/>
      <c r="U108" s="599"/>
      <c r="V108" s="599"/>
      <c r="W108" s="599"/>
      <c r="X108" s="599"/>
      <c r="Y108" s="599"/>
      <c r="Z108" s="599"/>
    </row>
    <row r="109" spans="1:26" ht="15.75" customHeight="1">
      <c r="A109" s="595"/>
      <c r="B109" s="706" t="s">
        <v>249</v>
      </c>
      <c r="C109" s="765">
        <f t="shared" ref="C109:P109" si="25">IF(COUNT(C85),(C85/$B22)*1000,"")</f>
        <v>629.74330445057103</v>
      </c>
      <c r="D109" s="711">
        <f t="shared" si="25"/>
        <v>899.53771169751872</v>
      </c>
      <c r="E109" s="711">
        <f t="shared" si="25"/>
        <v>1.6539425955100437</v>
      </c>
      <c r="F109" s="711">
        <f t="shared" si="25"/>
        <v>55.756429696730997</v>
      </c>
      <c r="G109" s="766" t="str">
        <f t="shared" si="25"/>
        <v/>
      </c>
      <c r="H109" s="711">
        <f t="shared" si="25"/>
        <v>221.33380267821974</v>
      </c>
      <c r="I109" s="767">
        <f t="shared" si="25"/>
        <v>0.28915055139818824</v>
      </c>
      <c r="J109" s="765">
        <f t="shared" si="25"/>
        <v>1.3737692004726271E-2</v>
      </c>
      <c r="K109" s="711">
        <f t="shared" si="25"/>
        <v>1.104805041354864E-2</v>
      </c>
      <c r="L109" s="711">
        <f t="shared" si="25"/>
        <v>1.0189050807404489E-3</v>
      </c>
      <c r="M109" s="711">
        <f t="shared" si="25"/>
        <v>1.4875935407640803E-2</v>
      </c>
      <c r="N109" s="766">
        <f t="shared" si="25"/>
        <v>4.3213371406065383E-3</v>
      </c>
      <c r="O109" s="711">
        <f t="shared" si="25"/>
        <v>0.40371799921228829</v>
      </c>
      <c r="P109" s="767">
        <f t="shared" si="25"/>
        <v>1.6502560063016934E-4</v>
      </c>
      <c r="Q109" s="768">
        <v>9.2856656915436472E-3</v>
      </c>
      <c r="R109" s="595"/>
      <c r="S109" s="599"/>
      <c r="T109" s="599"/>
      <c r="U109" s="599"/>
      <c r="V109" s="599"/>
      <c r="W109" s="599"/>
      <c r="X109" s="599"/>
      <c r="Y109" s="599"/>
      <c r="Z109" s="599"/>
    </row>
    <row r="110" spans="1:26" ht="15.75" customHeight="1">
      <c r="A110" s="595"/>
      <c r="B110" s="769" t="s">
        <v>235</v>
      </c>
      <c r="C110" s="770">
        <f t="shared" ref="C110:Q110" si="26">AVERAGE(C98:C109)</f>
        <v>232.99745156095423</v>
      </c>
      <c r="D110" s="770">
        <f t="shared" si="26"/>
        <v>344.08145522116143</v>
      </c>
      <c r="E110" s="770">
        <f t="shared" si="26"/>
        <v>2.4059344994828868</v>
      </c>
      <c r="F110" s="770">
        <f t="shared" si="26"/>
        <v>31.049580845487672</v>
      </c>
      <c r="G110" s="771" t="e">
        <f t="shared" si="26"/>
        <v>#DIV/0!</v>
      </c>
      <c r="H110" s="770">
        <f t="shared" si="26"/>
        <v>90.596914023241695</v>
      </c>
      <c r="I110" s="772">
        <f t="shared" si="26"/>
        <v>0.83064142828138054</v>
      </c>
      <c r="J110" s="773">
        <f t="shared" si="26"/>
        <v>0.13809173724209192</v>
      </c>
      <c r="K110" s="771">
        <f t="shared" si="26"/>
        <v>0.1419447617630511</v>
      </c>
      <c r="L110" s="771">
        <f t="shared" si="26"/>
        <v>1.2361845735580438E-2</v>
      </c>
      <c r="M110" s="771">
        <f t="shared" si="26"/>
        <v>3.3496462028483553E-2</v>
      </c>
      <c r="N110" s="771">
        <f t="shared" si="26"/>
        <v>7.9851092377770591E-4</v>
      </c>
      <c r="O110" s="771">
        <f t="shared" si="26"/>
        <v>0.58163298950391162</v>
      </c>
      <c r="P110" s="774">
        <f t="shared" si="26"/>
        <v>9.3739397654993752E-3</v>
      </c>
      <c r="Q110" s="772">
        <f t="shared" si="26"/>
        <v>9.6521075443429111E-3</v>
      </c>
      <c r="R110" s="595"/>
      <c r="S110" s="599"/>
      <c r="T110" s="599"/>
      <c r="U110" s="599"/>
      <c r="V110" s="599"/>
      <c r="W110" s="599"/>
      <c r="X110" s="599"/>
      <c r="Y110" s="599"/>
      <c r="Z110" s="599"/>
    </row>
    <row r="111" spans="1:26" ht="15.75" customHeight="1">
      <c r="A111" s="595"/>
      <c r="B111" s="1525" t="s">
        <v>256</v>
      </c>
      <c r="C111" s="1521"/>
      <c r="D111" s="1521"/>
      <c r="E111" s="1521"/>
      <c r="F111" s="1521"/>
      <c r="G111" s="1521"/>
      <c r="H111" s="1521"/>
      <c r="I111" s="1526"/>
      <c r="J111" s="775">
        <f>'Degrémont sortie'!AJ385+'Degrémont sortie'!AJ386</f>
        <v>4</v>
      </c>
      <c r="K111" s="776">
        <f>'Degrémont sortie'!AS385+'Degrémont sortie'!AS386</f>
        <v>14</v>
      </c>
      <c r="L111" s="776">
        <f>'Degrémont sortie'!AV385+'Degrémont sortie'!AV386</f>
        <v>3</v>
      </c>
      <c r="M111" s="777">
        <f>'Degrémont sortie'!AP385+'Degrémont sortie'!AP386</f>
        <v>0</v>
      </c>
      <c r="N111" s="778">
        <f>'Degrémont sortie'!AD385+'Degrémont sortie'!AD386</f>
        <v>0</v>
      </c>
      <c r="O111" s="779">
        <f>'Degrémont sortie'!AG385+'Degrémont sortie'!AG386</f>
        <v>1</v>
      </c>
      <c r="P111" s="781">
        <f>'Degrémont sortie'!AY385+'Degrémont sortie'!AY386</f>
        <v>40</v>
      </c>
      <c r="Q111" s="782">
        <f>'Degrémont sortie'!AA385+'Degrémont sortie'!AA386</f>
        <v>1</v>
      </c>
      <c r="R111" s="595"/>
      <c r="S111" s="599"/>
      <c r="T111" s="599"/>
      <c r="U111" s="599"/>
      <c r="V111" s="599"/>
      <c r="W111" s="599"/>
      <c r="X111" s="599"/>
      <c r="Y111" s="599"/>
      <c r="Z111" s="599"/>
    </row>
    <row r="112" spans="1:26" ht="15.75" customHeight="1">
      <c r="A112" s="595"/>
      <c r="B112" s="1527" t="s">
        <v>258</v>
      </c>
      <c r="C112" s="1523"/>
      <c r="D112" s="1523"/>
      <c r="E112" s="1523"/>
      <c r="F112" s="1523"/>
      <c r="G112" s="1523"/>
      <c r="H112" s="1523"/>
      <c r="I112" s="1523"/>
      <c r="J112" s="783">
        <f>'Degrémont sortie'!AG384</f>
        <v>51</v>
      </c>
      <c r="K112" s="784">
        <f>'Degrémont sortie'!AS384</f>
        <v>58</v>
      </c>
      <c r="L112" s="784">
        <f>'Degrémont sortie'!AV384</f>
        <v>51</v>
      </c>
      <c r="M112" s="784">
        <f>'Degrémont sortie'!AP384</f>
        <v>51</v>
      </c>
      <c r="N112" s="784">
        <f>'Degrémont sortie'!AD384</f>
        <v>11</v>
      </c>
      <c r="O112" s="784">
        <f>'Degrémont sortie'!AG384</f>
        <v>51</v>
      </c>
      <c r="P112" s="784">
        <f>'Degrémont sortie'!AY384</f>
        <v>51</v>
      </c>
      <c r="Q112" s="785">
        <f>'Degrémont sortie'!AA384</f>
        <v>283</v>
      </c>
      <c r="R112" s="595"/>
      <c r="S112" s="599"/>
      <c r="T112" s="599"/>
      <c r="U112" s="599"/>
      <c r="V112" s="599"/>
      <c r="W112" s="599"/>
      <c r="X112" s="599"/>
      <c r="Y112" s="599"/>
      <c r="Z112" s="599"/>
    </row>
    <row r="113" spans="1:26" ht="15.75" customHeight="1">
      <c r="A113" s="595"/>
      <c r="B113" s="595"/>
      <c r="C113" s="595"/>
      <c r="D113" s="595"/>
      <c r="E113" s="595"/>
      <c r="F113" s="595"/>
      <c r="G113" s="595"/>
      <c r="H113" s="595"/>
      <c r="I113" s="595"/>
      <c r="J113" s="595"/>
      <c r="K113" s="595"/>
      <c r="L113" s="595"/>
      <c r="M113" s="595"/>
      <c r="N113" s="595"/>
      <c r="O113" s="595"/>
      <c r="P113" s="595"/>
      <c r="Q113" s="595"/>
      <c r="R113" s="595"/>
      <c r="S113" s="599"/>
      <c r="T113" s="599"/>
      <c r="U113" s="599"/>
      <c r="V113" s="599"/>
      <c r="W113" s="599"/>
      <c r="X113" s="599"/>
      <c r="Y113" s="599"/>
      <c r="Z113" s="599"/>
    </row>
    <row r="114" spans="1:26" ht="15.75" customHeight="1">
      <c r="A114" s="595"/>
      <c r="B114" s="595"/>
      <c r="C114" s="595"/>
      <c r="D114" s="595"/>
      <c r="E114" s="786"/>
      <c r="F114" s="786"/>
      <c r="G114" s="1528" t="s">
        <v>260</v>
      </c>
      <c r="H114" s="1520"/>
      <c r="I114" s="1520"/>
      <c r="J114" s="1520"/>
      <c r="K114" s="1520"/>
      <c r="L114" s="1520"/>
      <c r="M114" s="1520"/>
      <c r="N114" s="1522"/>
      <c r="O114" s="597"/>
      <c r="P114" s="595"/>
      <c r="Q114" s="595"/>
      <c r="R114" s="595"/>
      <c r="S114" s="599"/>
      <c r="T114" s="599"/>
      <c r="U114" s="599"/>
      <c r="V114" s="599"/>
      <c r="W114" s="599"/>
      <c r="X114" s="599"/>
      <c r="Y114" s="599"/>
      <c r="Z114" s="599"/>
    </row>
    <row r="115" spans="1:26" ht="15.75" customHeight="1">
      <c r="A115" s="595"/>
      <c r="B115" s="595"/>
      <c r="C115" s="595"/>
      <c r="D115" s="595"/>
      <c r="E115" s="786"/>
      <c r="F115" s="786"/>
      <c r="G115" s="787"/>
      <c r="H115" s="787"/>
      <c r="I115" s="787"/>
      <c r="J115" s="787"/>
      <c r="K115" s="787"/>
      <c r="L115" s="787"/>
      <c r="M115" s="787"/>
      <c r="N115" s="787"/>
      <c r="O115" s="597"/>
      <c r="P115" s="595"/>
      <c r="Q115" s="595"/>
      <c r="R115" s="595"/>
      <c r="S115" s="599"/>
      <c r="T115" s="599"/>
      <c r="U115" s="599"/>
      <c r="V115" s="599"/>
      <c r="W115" s="599"/>
      <c r="X115" s="599"/>
      <c r="Y115" s="599"/>
      <c r="Z115" s="599"/>
    </row>
    <row r="116" spans="1:26" ht="15.75" customHeight="1">
      <c r="A116" s="595"/>
      <c r="B116" s="595"/>
      <c r="C116" s="595"/>
      <c r="D116" s="1529" t="s">
        <v>223</v>
      </c>
      <c r="E116" s="788" t="s">
        <v>224</v>
      </c>
      <c r="F116" s="731" t="s">
        <v>225</v>
      </c>
      <c r="G116" s="731" t="s">
        <v>226</v>
      </c>
      <c r="H116" s="731" t="s">
        <v>227</v>
      </c>
      <c r="I116" s="731" t="s">
        <v>156</v>
      </c>
      <c r="J116" s="731" t="s">
        <v>163</v>
      </c>
      <c r="K116" s="731" t="s">
        <v>161</v>
      </c>
      <c r="L116" s="731" t="s">
        <v>157</v>
      </c>
      <c r="M116" s="731" t="s">
        <v>251</v>
      </c>
      <c r="N116" s="731" t="s">
        <v>155</v>
      </c>
      <c r="O116" s="733" t="s">
        <v>162</v>
      </c>
      <c r="P116" s="595"/>
      <c r="Q116" s="595"/>
      <c r="R116" s="595"/>
      <c r="S116" s="599"/>
      <c r="T116" s="599"/>
      <c r="U116" s="599"/>
      <c r="V116" s="599"/>
      <c r="W116" s="599"/>
      <c r="X116" s="599"/>
      <c r="Y116" s="599"/>
      <c r="Z116" s="599"/>
    </row>
    <row r="117" spans="1:26" ht="15.75" customHeight="1">
      <c r="A117" s="595"/>
      <c r="B117" s="595"/>
      <c r="C117" s="595"/>
      <c r="D117" s="1516"/>
      <c r="E117" s="789" t="s">
        <v>261</v>
      </c>
      <c r="F117" s="609" t="s">
        <v>262</v>
      </c>
      <c r="G117" s="609" t="s">
        <v>262</v>
      </c>
      <c r="H117" s="609" t="s">
        <v>262</v>
      </c>
      <c r="I117" s="609" t="s">
        <v>262</v>
      </c>
      <c r="J117" s="609" t="s">
        <v>262</v>
      </c>
      <c r="K117" s="609" t="s">
        <v>262</v>
      </c>
      <c r="L117" s="609" t="s">
        <v>262</v>
      </c>
      <c r="M117" s="609" t="s">
        <v>262</v>
      </c>
      <c r="N117" s="609" t="s">
        <v>262</v>
      </c>
      <c r="O117" s="757" t="s">
        <v>262</v>
      </c>
      <c r="P117" s="595"/>
      <c r="Q117" s="595"/>
      <c r="R117" s="595"/>
      <c r="S117" s="599"/>
      <c r="T117" s="599"/>
      <c r="U117" s="599"/>
      <c r="V117" s="599"/>
      <c r="W117" s="599"/>
      <c r="X117" s="599"/>
      <c r="Y117" s="599"/>
      <c r="Z117" s="599"/>
    </row>
    <row r="118" spans="1:26" ht="15.75" customHeight="1">
      <c r="A118" s="595"/>
      <c r="B118" s="595"/>
      <c r="C118" s="595"/>
      <c r="D118" s="692" t="s">
        <v>238</v>
      </c>
      <c r="E118" s="790">
        <f t="shared" ref="E118:E129" si="27">IF(C11&gt;0,C11,"")</f>
        <v>775.67857142857144</v>
      </c>
      <c r="F118" s="694">
        <f t="shared" ref="F118:F129" si="28">IF(E11="","",((E11-L11)/E11)*100)</f>
        <v>91.765551444622872</v>
      </c>
      <c r="G118" s="694">
        <f t="shared" ref="G118:G129" si="29">IF(G11="","",((G11-N11)/G11)*100)</f>
        <v>96.618498148144567</v>
      </c>
      <c r="H118" s="694" t="e">
        <f t="shared" ref="H118:H129" si="30">IF(I11="","",((I11-P11)/I11)*100)</f>
        <v>#VALUE!</v>
      </c>
      <c r="I118" s="694">
        <f t="shared" ref="I118:O118" si="31">IF(C54="","",((C54-J54)/C54)*100)</f>
        <v>99.954450488062008</v>
      </c>
      <c r="J118" s="694">
        <f t="shared" si="31"/>
        <v>99.972356235399147</v>
      </c>
      <c r="K118" s="694">
        <f t="shared" si="31"/>
        <v>99.758170231541868</v>
      </c>
      <c r="L118" s="694">
        <f t="shared" si="31"/>
        <v>99.90807868716621</v>
      </c>
      <c r="M118" s="694" t="e">
        <f t="shared" si="31"/>
        <v>#DIV/0!</v>
      </c>
      <c r="N118" s="694">
        <f t="shared" si="31"/>
        <v>99.472540944415044</v>
      </c>
      <c r="O118" s="791" t="e">
        <f t="shared" si="31"/>
        <v>#DIV/0!</v>
      </c>
      <c r="P118" s="595"/>
      <c r="Q118" s="595"/>
      <c r="R118" s="595"/>
      <c r="S118" s="599"/>
      <c r="T118" s="599"/>
      <c r="U118" s="599"/>
      <c r="V118" s="599"/>
      <c r="W118" s="599"/>
      <c r="X118" s="599"/>
      <c r="Y118" s="599"/>
      <c r="Z118" s="599"/>
    </row>
    <row r="119" spans="1:26" ht="15.75" customHeight="1">
      <c r="A119" s="595"/>
      <c r="B119" s="595"/>
      <c r="C119" s="595"/>
      <c r="D119" s="699" t="s">
        <v>239</v>
      </c>
      <c r="E119" s="792">
        <f t="shared" si="27"/>
        <v>905.68</v>
      </c>
      <c r="F119" s="793">
        <f t="shared" si="28"/>
        <v>86.82937283284285</v>
      </c>
      <c r="G119" s="793" t="e">
        <f t="shared" si="29"/>
        <v>#DIV/0!</v>
      </c>
      <c r="H119" s="793" t="e">
        <f t="shared" si="30"/>
        <v>#VALUE!</v>
      </c>
      <c r="I119" s="793">
        <f t="shared" ref="I119:O119" si="32">IF(C55="","",((C55-J55)/C55)*100)</f>
        <v>99.85487085390578</v>
      </c>
      <c r="J119" s="793">
        <f t="shared" si="32"/>
        <v>99.97743786055905</v>
      </c>
      <c r="K119" s="793">
        <f t="shared" si="32"/>
        <v>99.124930172318713</v>
      </c>
      <c r="L119" s="793">
        <f t="shared" si="32"/>
        <v>99.895623546834557</v>
      </c>
      <c r="M119" s="793" t="e">
        <f t="shared" si="32"/>
        <v>#DIV/0!</v>
      </c>
      <c r="N119" s="793">
        <f t="shared" si="32"/>
        <v>99.198004220365235</v>
      </c>
      <c r="O119" s="794" t="e">
        <f t="shared" si="32"/>
        <v>#DIV/0!</v>
      </c>
      <c r="P119" s="595"/>
      <c r="Q119" s="595"/>
      <c r="R119" s="595"/>
      <c r="S119" s="599"/>
      <c r="T119" s="599"/>
      <c r="U119" s="599"/>
      <c r="V119" s="599"/>
      <c r="W119" s="599"/>
      <c r="X119" s="599"/>
      <c r="Y119" s="599"/>
      <c r="Z119" s="599"/>
    </row>
    <row r="120" spans="1:26" ht="15.75" customHeight="1">
      <c r="A120" s="595"/>
      <c r="B120" s="595"/>
      <c r="C120" s="595"/>
      <c r="D120" s="699" t="s">
        <v>240</v>
      </c>
      <c r="E120" s="792">
        <f t="shared" si="27"/>
        <v>949.88461538461536</v>
      </c>
      <c r="F120" s="793">
        <f t="shared" si="28"/>
        <v>71.078886591294307</v>
      </c>
      <c r="G120" s="793" t="e">
        <f t="shared" si="29"/>
        <v>#DIV/0!</v>
      </c>
      <c r="H120" s="793" t="e">
        <f t="shared" si="30"/>
        <v>#VALUE!</v>
      </c>
      <c r="I120" s="793">
        <f t="shared" ref="I120:O120" si="33">IF(C56="","",((C56-J56)/C56)*100)</f>
        <v>99.867178181291465</v>
      </c>
      <c r="J120" s="793">
        <f t="shared" si="33"/>
        <v>99.942854958594992</v>
      </c>
      <c r="K120" s="793">
        <f t="shared" si="33"/>
        <v>95.654732864558483</v>
      </c>
      <c r="L120" s="793">
        <f t="shared" si="33"/>
        <v>99.611915847482251</v>
      </c>
      <c r="M120" s="793" t="e">
        <f t="shared" si="33"/>
        <v>#DIV/0!</v>
      </c>
      <c r="N120" s="793">
        <f t="shared" si="33"/>
        <v>98.157803217468626</v>
      </c>
      <c r="O120" s="794" t="e">
        <f t="shared" si="33"/>
        <v>#DIV/0!</v>
      </c>
      <c r="P120" s="595"/>
      <c r="Q120" s="595"/>
      <c r="R120" s="595"/>
      <c r="S120" s="599"/>
      <c r="T120" s="599"/>
      <c r="U120" s="599"/>
      <c r="V120" s="599"/>
      <c r="W120" s="599"/>
      <c r="X120" s="599"/>
      <c r="Y120" s="599"/>
      <c r="Z120" s="599"/>
    </row>
    <row r="121" spans="1:26" ht="15.75" customHeight="1">
      <c r="A121" s="595"/>
      <c r="B121" s="595"/>
      <c r="C121" s="595"/>
      <c r="D121" s="699" t="s">
        <v>241</v>
      </c>
      <c r="E121" s="792">
        <f t="shared" si="27"/>
        <v>945.21739130434787</v>
      </c>
      <c r="F121" s="793">
        <f t="shared" si="28"/>
        <v>91.988635927390476</v>
      </c>
      <c r="G121" s="793" t="e">
        <f t="shared" si="29"/>
        <v>#VALUE!</v>
      </c>
      <c r="H121" s="793" t="e">
        <f t="shared" si="30"/>
        <v>#VALUE!</v>
      </c>
      <c r="I121" s="793">
        <f t="shared" ref="I121:O121" si="34">IF(C57="","",((C57-J57)/C57)*100)</f>
        <v>99.909458780846037</v>
      </c>
      <c r="J121" s="793">
        <f t="shared" si="34"/>
        <v>99.941161348038307</v>
      </c>
      <c r="K121" s="793">
        <f t="shared" si="34"/>
        <v>86.343125242805485</v>
      </c>
      <c r="L121" s="793">
        <f t="shared" si="34"/>
        <v>99.862909336096109</v>
      </c>
      <c r="M121" s="793" t="e">
        <f t="shared" si="34"/>
        <v>#DIV/0!</v>
      </c>
      <c r="N121" s="793">
        <f t="shared" si="34"/>
        <v>98.7963771650317</v>
      </c>
      <c r="O121" s="794" t="e">
        <f t="shared" si="34"/>
        <v>#DIV/0!</v>
      </c>
      <c r="P121" s="595"/>
      <c r="Q121" s="595"/>
      <c r="R121" s="595"/>
      <c r="S121" s="599"/>
      <c r="T121" s="599"/>
      <c r="U121" s="599"/>
      <c r="V121" s="599"/>
      <c r="W121" s="599"/>
      <c r="X121" s="599"/>
      <c r="Y121" s="599"/>
      <c r="Z121" s="599"/>
    </row>
    <row r="122" spans="1:26" ht="15.75" customHeight="1">
      <c r="A122" s="595"/>
      <c r="B122" s="595"/>
      <c r="C122" s="595"/>
      <c r="D122" s="699" t="s">
        <v>242</v>
      </c>
      <c r="E122" s="792">
        <f t="shared" si="27"/>
        <v>871.44444444444446</v>
      </c>
      <c r="F122" s="793">
        <f t="shared" si="28"/>
        <v>93.433145023524162</v>
      </c>
      <c r="G122" s="793" t="e">
        <f t="shared" si="29"/>
        <v>#DIV/0!</v>
      </c>
      <c r="H122" s="793" t="e">
        <f t="shared" si="30"/>
        <v>#VALUE!</v>
      </c>
      <c r="I122" s="793">
        <f t="shared" ref="I122:O122" si="35">IF(C58="","",((C58-J58)/C58)*100)</f>
        <v>99.878873026302301</v>
      </c>
      <c r="J122" s="793">
        <f t="shared" si="35"/>
        <v>99.882356652726031</v>
      </c>
      <c r="K122" s="793">
        <f t="shared" si="35"/>
        <v>98.684283957710463</v>
      </c>
      <c r="L122" s="793">
        <f t="shared" si="35"/>
        <v>99.887504597805417</v>
      </c>
      <c r="M122" s="793" t="e">
        <f t="shared" si="35"/>
        <v>#DIV/0!</v>
      </c>
      <c r="N122" s="793">
        <f t="shared" si="35"/>
        <v>98.968040324928054</v>
      </c>
      <c r="O122" s="794" t="e">
        <f t="shared" si="35"/>
        <v>#DIV/0!</v>
      </c>
      <c r="P122" s="595"/>
      <c r="Q122" s="595"/>
      <c r="R122" s="595"/>
      <c r="S122" s="599"/>
      <c r="T122" s="599"/>
      <c r="U122" s="599"/>
      <c r="V122" s="599"/>
      <c r="W122" s="599"/>
      <c r="X122" s="599"/>
      <c r="Y122" s="599"/>
      <c r="Z122" s="599"/>
    </row>
    <row r="123" spans="1:26" ht="15.75" customHeight="1">
      <c r="A123" s="595"/>
      <c r="B123" s="595"/>
      <c r="C123" s="595"/>
      <c r="D123" s="699" t="s">
        <v>243</v>
      </c>
      <c r="E123" s="792">
        <f t="shared" si="27"/>
        <v>927.22222222222217</v>
      </c>
      <c r="F123" s="793">
        <f t="shared" si="28"/>
        <v>79.789314827830253</v>
      </c>
      <c r="G123" s="793" t="e">
        <f t="shared" si="29"/>
        <v>#DIV/0!</v>
      </c>
      <c r="H123" s="793" t="e">
        <f t="shared" si="30"/>
        <v>#VALUE!</v>
      </c>
      <c r="I123" s="793">
        <f t="shared" ref="I123:O123" si="36">IF(C59="","",((C59-J59)/C59)*100)</f>
        <v>99.845994434503439</v>
      </c>
      <c r="J123" s="793">
        <f t="shared" si="36"/>
        <v>99.892602246300257</v>
      </c>
      <c r="K123" s="793">
        <f t="shared" si="36"/>
        <v>85.332001741312652</v>
      </c>
      <c r="L123" s="793">
        <f t="shared" si="36"/>
        <v>99.450741564908213</v>
      </c>
      <c r="M123" s="793" t="e">
        <f t="shared" si="36"/>
        <v>#DIV/0!</v>
      </c>
      <c r="N123" s="793">
        <f t="shared" si="36"/>
        <v>98.490463591713251</v>
      </c>
      <c r="O123" s="794" t="e">
        <f t="shared" si="36"/>
        <v>#DIV/0!</v>
      </c>
      <c r="P123" s="595"/>
      <c r="Q123" s="595"/>
      <c r="R123" s="595"/>
      <c r="S123" s="599"/>
      <c r="T123" s="599"/>
      <c r="U123" s="599"/>
      <c r="V123" s="599"/>
      <c r="W123" s="599"/>
      <c r="X123" s="599"/>
      <c r="Y123" s="599"/>
      <c r="Z123" s="599"/>
    </row>
    <row r="124" spans="1:26" ht="15.75" customHeight="1">
      <c r="A124" s="595"/>
      <c r="B124" s="595"/>
      <c r="C124" s="595"/>
      <c r="D124" s="699" t="s">
        <v>244</v>
      </c>
      <c r="E124" s="792">
        <f t="shared" si="27"/>
        <v>752.35714285714289</v>
      </c>
      <c r="F124" s="793">
        <f t="shared" si="28"/>
        <v>96.0198578684616</v>
      </c>
      <c r="G124" s="793" t="e">
        <f t="shared" si="29"/>
        <v>#VALUE!</v>
      </c>
      <c r="H124" s="793" t="e">
        <f t="shared" si="30"/>
        <v>#VALUE!</v>
      </c>
      <c r="I124" s="793">
        <f t="shared" ref="I124:O124" si="37">IF(C60="","",((C60-J60)/C60)*100)</f>
        <v>99.957637199832178</v>
      </c>
      <c r="J124" s="793">
        <f t="shared" si="37"/>
        <v>99.985093474626424</v>
      </c>
      <c r="K124" s="793">
        <f t="shared" si="37"/>
        <v>84.096109839816933</v>
      </c>
      <c r="L124" s="793">
        <f t="shared" si="37"/>
        <v>99.875043465896681</v>
      </c>
      <c r="M124" s="793" t="e">
        <f t="shared" si="37"/>
        <v>#DIV/0!</v>
      </c>
      <c r="N124" s="793">
        <f t="shared" si="37"/>
        <v>99.635461254612537</v>
      </c>
      <c r="O124" s="794" t="e">
        <f t="shared" si="37"/>
        <v>#DIV/0!</v>
      </c>
      <c r="P124" s="595"/>
      <c r="Q124" s="595"/>
      <c r="R124" s="595"/>
      <c r="S124" s="599"/>
      <c r="T124" s="599"/>
      <c r="U124" s="599"/>
      <c r="V124" s="599"/>
      <c r="W124" s="599"/>
      <c r="X124" s="599"/>
      <c r="Y124" s="599"/>
      <c r="Z124" s="599"/>
    </row>
    <row r="125" spans="1:26" ht="15.75" customHeight="1">
      <c r="A125" s="595"/>
      <c r="B125" s="595"/>
      <c r="C125" s="595"/>
      <c r="D125" s="699" t="s">
        <v>245</v>
      </c>
      <c r="E125" s="792">
        <f t="shared" si="27"/>
        <v>650.54999999999995</v>
      </c>
      <c r="F125" s="793">
        <f t="shared" si="28"/>
        <v>95.195536782858255</v>
      </c>
      <c r="G125" s="793" t="e">
        <f t="shared" si="29"/>
        <v>#VALUE!</v>
      </c>
      <c r="H125" s="793" t="e">
        <f t="shared" si="30"/>
        <v>#VALUE!</v>
      </c>
      <c r="I125" s="793">
        <f t="shared" ref="I125:O125" si="38">IF(C61="","",((C61-J61)/C61)*100)</f>
        <v>99.945041433416023</v>
      </c>
      <c r="J125" s="793">
        <f t="shared" si="38"/>
        <v>99.957632476203358</v>
      </c>
      <c r="K125" s="793">
        <f t="shared" si="38"/>
        <v>99.921175827741521</v>
      </c>
      <c r="L125" s="793">
        <f t="shared" si="38"/>
        <v>99.894906037613367</v>
      </c>
      <c r="M125" s="793" t="e">
        <f t="shared" si="38"/>
        <v>#DIV/0!</v>
      </c>
      <c r="N125" s="793">
        <f t="shared" si="38"/>
        <v>99.515985871376216</v>
      </c>
      <c r="O125" s="794" t="e">
        <f t="shared" si="38"/>
        <v>#DIV/0!</v>
      </c>
      <c r="P125" s="595"/>
      <c r="Q125" s="595"/>
      <c r="R125" s="595"/>
      <c r="S125" s="599"/>
      <c r="T125" s="599"/>
      <c r="U125" s="599"/>
      <c r="V125" s="599"/>
      <c r="W125" s="599"/>
      <c r="X125" s="599"/>
      <c r="Y125" s="599"/>
      <c r="Z125" s="599"/>
    </row>
    <row r="126" spans="1:26" ht="15.75" customHeight="1">
      <c r="A126" s="595"/>
      <c r="B126" s="595"/>
      <c r="C126" s="595"/>
      <c r="D126" s="699" t="s">
        <v>246</v>
      </c>
      <c r="E126" s="792">
        <f t="shared" si="27"/>
        <v>1017.8333333333334</v>
      </c>
      <c r="F126" s="793">
        <f t="shared" si="28"/>
        <v>92.870148192754314</v>
      </c>
      <c r="G126" s="793" t="e">
        <f t="shared" si="29"/>
        <v>#DIV/0!</v>
      </c>
      <c r="H126" s="793" t="e">
        <f t="shared" si="30"/>
        <v>#VALUE!</v>
      </c>
      <c r="I126" s="793">
        <f t="shared" ref="I126:O126" si="39">IF(C62="","",((C62-J62)/C62)*100)</f>
        <v>99.90159329985508</v>
      </c>
      <c r="J126" s="793">
        <f t="shared" si="39"/>
        <v>99.952546461202942</v>
      </c>
      <c r="K126" s="793">
        <f t="shared" si="39"/>
        <v>96.761737394386628</v>
      </c>
      <c r="L126" s="793">
        <f t="shared" si="39"/>
        <v>99.91964375984746</v>
      </c>
      <c r="M126" s="793" t="e">
        <f t="shared" si="39"/>
        <v>#DIV/0!</v>
      </c>
      <c r="N126" s="793">
        <f t="shared" si="39"/>
        <v>99.585039769444705</v>
      </c>
      <c r="O126" s="794" t="e">
        <f t="shared" si="39"/>
        <v>#DIV/0!</v>
      </c>
      <c r="P126" s="595"/>
      <c r="Q126" s="595"/>
      <c r="R126" s="595"/>
      <c r="S126" s="599"/>
      <c r="T126" s="599"/>
      <c r="U126" s="599"/>
      <c r="V126" s="599"/>
      <c r="W126" s="599"/>
      <c r="X126" s="599"/>
      <c r="Y126" s="599"/>
      <c r="Z126" s="599"/>
    </row>
    <row r="127" spans="1:26" ht="15.75" customHeight="1">
      <c r="A127" s="595"/>
      <c r="B127" s="595"/>
      <c r="C127" s="595"/>
      <c r="D127" s="699" t="s">
        <v>247</v>
      </c>
      <c r="E127" s="792">
        <f t="shared" si="27"/>
        <v>1180.2222222222222</v>
      </c>
      <c r="F127" s="793">
        <f t="shared" si="28"/>
        <v>86.646970879016365</v>
      </c>
      <c r="G127" s="793" t="e">
        <f t="shared" si="29"/>
        <v>#DIV/0!</v>
      </c>
      <c r="H127" s="793" t="e">
        <f t="shared" si="30"/>
        <v>#VALUE!</v>
      </c>
      <c r="I127" s="793">
        <f t="shared" ref="I127:O127" si="40">IF(C63="","",((C63-J63)/C63)*100)</f>
        <v>99.929900449416934</v>
      </c>
      <c r="J127" s="793">
        <f t="shared" si="40"/>
        <v>99.992115724157898</v>
      </c>
      <c r="K127" s="793">
        <f t="shared" si="40"/>
        <v>95.022954358887191</v>
      </c>
      <c r="L127" s="793">
        <f t="shared" si="40"/>
        <v>99.910797522401182</v>
      </c>
      <c r="M127" s="793" t="e">
        <f t="shared" si="40"/>
        <v>#DIV/0!</v>
      </c>
      <c r="N127" s="793">
        <f t="shared" si="40"/>
        <v>98.690427452627432</v>
      </c>
      <c r="O127" s="794" t="e">
        <f t="shared" si="40"/>
        <v>#DIV/0!</v>
      </c>
      <c r="P127" s="595"/>
      <c r="Q127" s="595"/>
      <c r="R127" s="595"/>
      <c r="S127" s="599"/>
      <c r="T127" s="599"/>
      <c r="U127" s="599"/>
      <c r="V127" s="599"/>
      <c r="W127" s="599"/>
      <c r="X127" s="599"/>
      <c r="Y127" s="599"/>
      <c r="Z127" s="599"/>
    </row>
    <row r="128" spans="1:26" ht="15.75" customHeight="1">
      <c r="A128" s="595"/>
      <c r="B128" s="595"/>
      <c r="C128" s="595"/>
      <c r="D128" s="699" t="s">
        <v>248</v>
      </c>
      <c r="E128" s="792">
        <f t="shared" si="27"/>
        <v>641.52380952380952</v>
      </c>
      <c r="F128" s="793">
        <f t="shared" si="28"/>
        <v>97.887537498499583</v>
      </c>
      <c r="G128" s="793" t="e">
        <f t="shared" si="29"/>
        <v>#VALUE!</v>
      </c>
      <c r="H128" s="793" t="e">
        <f t="shared" si="30"/>
        <v>#VALUE!</v>
      </c>
      <c r="I128" s="793">
        <f t="shared" ref="I128:O128" si="41">IF(C64="","",((C64-J64)/C64)*100)</f>
        <v>99.982468594795222</v>
      </c>
      <c r="J128" s="793">
        <f t="shared" si="41"/>
        <v>99.995386599616438</v>
      </c>
      <c r="K128" s="793">
        <f t="shared" si="41"/>
        <v>98.954133210768106</v>
      </c>
      <c r="L128" s="793">
        <f t="shared" si="41"/>
        <v>99.939152144775491</v>
      </c>
      <c r="M128" s="793" t="e">
        <f t="shared" si="41"/>
        <v>#DIV/0!</v>
      </c>
      <c r="N128" s="793">
        <f t="shared" si="41"/>
        <v>99.743673643745922</v>
      </c>
      <c r="O128" s="794" t="e">
        <f t="shared" si="41"/>
        <v>#DIV/0!</v>
      </c>
      <c r="P128" s="595"/>
      <c r="Q128" s="595"/>
      <c r="R128" s="595"/>
      <c r="S128" s="599"/>
      <c r="T128" s="599"/>
      <c r="U128" s="599"/>
      <c r="V128" s="599"/>
      <c r="W128" s="599"/>
      <c r="X128" s="599"/>
      <c r="Y128" s="599"/>
      <c r="Z128" s="599"/>
    </row>
    <row r="129" spans="1:26" ht="15.75" customHeight="1">
      <c r="A129" s="595"/>
      <c r="B129" s="595"/>
      <c r="C129" s="595"/>
      <c r="D129" s="706" t="s">
        <v>249</v>
      </c>
      <c r="E129" s="795">
        <f t="shared" si="27"/>
        <v>597.41176470588232</v>
      </c>
      <c r="F129" s="796">
        <f t="shared" si="28"/>
        <v>97.371048554804972</v>
      </c>
      <c r="G129" s="796" t="e">
        <f t="shared" si="29"/>
        <v>#VALUE!</v>
      </c>
      <c r="H129" s="796" t="e">
        <f t="shared" si="30"/>
        <v>#VALUE!</v>
      </c>
      <c r="I129" s="796">
        <f t="shared" ref="I129:O129" si="42">IF(C65="","",((C65-J65)/C65)*100)</f>
        <v>99.997091366824634</v>
      </c>
      <c r="J129" s="796">
        <f t="shared" si="42"/>
        <v>99.998362410636801</v>
      </c>
      <c r="K129" s="796">
        <f t="shared" si="42"/>
        <v>99.917860504267679</v>
      </c>
      <c r="L129" s="796">
        <f t="shared" si="42"/>
        <v>99.964426379789003</v>
      </c>
      <c r="M129" s="796" t="e">
        <f t="shared" si="42"/>
        <v>#DIV/0!</v>
      </c>
      <c r="N129" s="796">
        <f t="shared" si="42"/>
        <v>99.817597676302867</v>
      </c>
      <c r="O129" s="797" t="e">
        <f t="shared" si="42"/>
        <v>#DIV/0!</v>
      </c>
      <c r="P129" s="595"/>
      <c r="Q129" s="595"/>
      <c r="R129" s="595"/>
      <c r="S129" s="599"/>
      <c r="T129" s="599"/>
      <c r="U129" s="599"/>
      <c r="V129" s="599"/>
      <c r="W129" s="599"/>
      <c r="X129" s="599"/>
      <c r="Y129" s="599"/>
      <c r="Z129" s="599"/>
    </row>
    <row r="130" spans="1:26" ht="15.75" customHeight="1">
      <c r="A130" s="595"/>
      <c r="B130" s="595"/>
      <c r="C130" s="595"/>
      <c r="D130" s="715" t="s">
        <v>263</v>
      </c>
      <c r="E130" s="799">
        <f>AVERAGE(E118:E129)</f>
        <v>851.25212645221609</v>
      </c>
      <c r="F130" s="800">
        <f>IF(E23&gt;0,((E23-L23)/E23)*100,"")</f>
        <v>92.664753224151298</v>
      </c>
      <c r="G130" s="800" t="e">
        <f>IF(G23&gt;0,((G23-N23)/G23)*100,"")</f>
        <v>#VALUE!</v>
      </c>
      <c r="H130" s="800" t="e">
        <f>IF(I23&gt;0,((I23-P23)/I23)*100,"")</f>
        <v>#VALUE!</v>
      </c>
      <c r="I130" s="800">
        <f t="shared" ref="I130:O130" si="43">IF(C66&gt;0,((C66-J66)/C66)*100,"")</f>
        <v>99.932856033975952</v>
      </c>
      <c r="J130" s="800">
        <f t="shared" si="43"/>
        <v>99.960736353851871</v>
      </c>
      <c r="K130" s="800">
        <f t="shared" si="43"/>
        <v>99.334819828870437</v>
      </c>
      <c r="L130" s="800">
        <f t="shared" si="43"/>
        <v>99.879067430000362</v>
      </c>
      <c r="M130" s="800" t="e">
        <f t="shared" si="43"/>
        <v>#VALUE!</v>
      </c>
      <c r="N130" s="800">
        <f t="shared" si="43"/>
        <v>99.320345299669981</v>
      </c>
      <c r="O130" s="800" t="e">
        <f t="shared" si="43"/>
        <v>#VALUE!</v>
      </c>
      <c r="P130" s="595"/>
      <c r="Q130" s="595"/>
      <c r="R130" s="595"/>
      <c r="S130" s="599"/>
      <c r="T130" s="599"/>
      <c r="U130" s="599"/>
      <c r="V130" s="599"/>
      <c r="W130" s="599"/>
      <c r="X130" s="599"/>
      <c r="Y130" s="599"/>
      <c r="Z130" s="599"/>
    </row>
    <row r="131" spans="1:26" ht="15.75" customHeight="1">
      <c r="A131" s="595"/>
      <c r="B131" s="595"/>
      <c r="C131" s="595"/>
      <c r="D131" s="721"/>
      <c r="E131" s="801"/>
      <c r="F131" s="802"/>
      <c r="G131" s="802"/>
      <c r="H131" s="802"/>
      <c r="I131" s="802"/>
      <c r="J131" s="802"/>
      <c r="K131" s="802"/>
      <c r="L131" s="802"/>
      <c r="M131" s="802"/>
      <c r="N131" s="803"/>
      <c r="O131" s="803"/>
      <c r="P131" s="595"/>
      <c r="Q131" s="595"/>
      <c r="R131" s="595"/>
      <c r="S131" s="599"/>
      <c r="T131" s="599"/>
      <c r="U131" s="599"/>
      <c r="V131" s="599"/>
      <c r="W131" s="599"/>
      <c r="X131" s="599"/>
      <c r="Y131" s="599"/>
      <c r="Z131" s="599"/>
    </row>
    <row r="132" spans="1:26" ht="15.75" customHeight="1">
      <c r="A132" s="595"/>
      <c r="B132" s="595"/>
      <c r="C132" s="595"/>
      <c r="D132" s="721"/>
      <c r="E132" s="804"/>
      <c r="F132" s="803"/>
      <c r="G132" s="803"/>
      <c r="H132" s="803"/>
      <c r="I132" s="803"/>
      <c r="J132" s="803"/>
      <c r="K132" s="803"/>
      <c r="L132" s="803"/>
      <c r="M132" s="803"/>
      <c r="N132" s="803"/>
      <c r="O132" s="803"/>
      <c r="P132" s="595"/>
      <c r="Q132" s="595"/>
      <c r="R132" s="595"/>
      <c r="S132" s="599"/>
      <c r="T132" s="599"/>
      <c r="U132" s="599"/>
      <c r="V132" s="599"/>
      <c r="W132" s="599"/>
      <c r="X132" s="599"/>
      <c r="Y132" s="599"/>
      <c r="Z132" s="599"/>
    </row>
    <row r="133" spans="1:26" ht="27.75" customHeight="1">
      <c r="A133" s="684"/>
      <c r="B133" s="685"/>
      <c r="C133" s="685"/>
      <c r="D133" s="724"/>
      <c r="E133" s="724"/>
      <c r="F133" s="724"/>
      <c r="G133" s="724"/>
      <c r="H133" s="724"/>
      <c r="I133" s="753"/>
      <c r="J133" s="753"/>
      <c r="K133" s="753"/>
      <c r="L133" s="753"/>
      <c r="M133" s="724"/>
      <c r="N133" s="753"/>
      <c r="O133" s="753"/>
      <c r="P133" s="595"/>
      <c r="Q133" s="595"/>
      <c r="R133" s="595"/>
      <c r="S133" s="599"/>
      <c r="T133" s="599"/>
      <c r="U133" s="599"/>
      <c r="V133" s="599"/>
      <c r="W133" s="599"/>
      <c r="X133" s="599"/>
      <c r="Y133" s="599"/>
      <c r="Z133" s="599"/>
    </row>
    <row r="134" spans="1:26" ht="15.75" customHeight="1">
      <c r="A134" s="601" t="s">
        <v>217</v>
      </c>
      <c r="B134" s="601"/>
      <c r="C134" s="728"/>
      <c r="D134" s="593"/>
      <c r="E134" s="1530" t="s">
        <v>265</v>
      </c>
      <c r="F134" s="1420"/>
      <c r="G134" s="1420"/>
      <c r="H134" s="1420"/>
      <c r="I134" s="1420"/>
      <c r="J134" s="1420"/>
      <c r="K134" s="1420"/>
      <c r="L134" s="1420"/>
      <c r="M134" s="1421"/>
      <c r="N134" s="595"/>
      <c r="O134" s="595"/>
      <c r="P134" s="726" t="str">
        <f>$P$1</f>
        <v>Année</v>
      </c>
      <c r="Q134" s="754">
        <f>$Q$1</f>
        <v>2019</v>
      </c>
      <c r="R134" s="595"/>
      <c r="S134" s="599"/>
      <c r="T134" s="599"/>
      <c r="U134" s="599"/>
      <c r="V134" s="599"/>
      <c r="W134" s="599"/>
      <c r="X134" s="599"/>
      <c r="Y134" s="599"/>
      <c r="Z134" s="599"/>
    </row>
    <row r="135" spans="1:26" ht="15.75" customHeight="1">
      <c r="A135" s="1531" t="s">
        <v>219</v>
      </c>
      <c r="B135" s="1532"/>
      <c r="C135" s="728"/>
      <c r="D135" s="595"/>
      <c r="E135" s="595"/>
      <c r="F135" s="595"/>
      <c r="G135" s="595"/>
      <c r="H135" s="595"/>
      <c r="I135" s="595"/>
      <c r="J135" s="595"/>
      <c r="K135" s="595"/>
      <c r="L135" s="595"/>
      <c r="M135" s="595"/>
      <c r="N135" s="595"/>
      <c r="O135" s="595"/>
      <c r="P135" s="595"/>
      <c r="Q135" s="595"/>
      <c r="R135" s="595"/>
      <c r="S135" s="599"/>
      <c r="T135" s="599"/>
      <c r="U135" s="599"/>
      <c r="V135" s="599"/>
      <c r="W135" s="599"/>
      <c r="X135" s="599"/>
      <c r="Y135" s="599"/>
      <c r="Z135" s="599"/>
    </row>
    <row r="136" spans="1:26" ht="15.75" customHeight="1">
      <c r="A136" s="595"/>
      <c r="B136" s="595"/>
      <c r="C136" s="593"/>
      <c r="D136" s="593"/>
      <c r="E136" s="1538" t="s">
        <v>266</v>
      </c>
      <c r="F136" s="1420"/>
      <c r="G136" s="1420"/>
      <c r="H136" s="1420"/>
      <c r="I136" s="1420"/>
      <c r="J136" s="1420"/>
      <c r="K136" s="1420"/>
      <c r="L136" s="1420"/>
      <c r="M136" s="1421"/>
      <c r="N136" s="595"/>
      <c r="O136" s="595"/>
      <c r="P136" s="595"/>
      <c r="Q136" s="595"/>
      <c r="R136" s="595"/>
      <c r="S136" s="599"/>
      <c r="T136" s="599"/>
      <c r="U136" s="599"/>
      <c r="V136" s="599"/>
      <c r="W136" s="599"/>
      <c r="X136" s="599"/>
      <c r="Y136" s="599"/>
      <c r="Z136" s="599"/>
    </row>
    <row r="137" spans="1:26" ht="15.75" customHeight="1">
      <c r="A137" s="595"/>
      <c r="B137" s="593"/>
      <c r="C137" s="593"/>
      <c r="D137" s="593"/>
      <c r="E137" s="593"/>
      <c r="F137" s="593"/>
      <c r="G137" s="603"/>
      <c r="H137" s="603"/>
      <c r="I137" s="593"/>
      <c r="J137" s="603"/>
      <c r="K137" s="603"/>
      <c r="L137" s="603"/>
      <c r="M137" s="595"/>
      <c r="N137" s="595"/>
      <c r="O137" s="595"/>
      <c r="P137" s="595"/>
      <c r="Q137" s="595"/>
      <c r="R137" s="595"/>
      <c r="S137" s="599"/>
      <c r="T137" s="599"/>
      <c r="U137" s="599"/>
      <c r="V137" s="599"/>
      <c r="W137" s="599"/>
      <c r="X137" s="599"/>
      <c r="Y137" s="599"/>
      <c r="Z137" s="599"/>
    </row>
    <row r="138" spans="1:26" ht="15.75" customHeight="1">
      <c r="A138" s="595"/>
      <c r="B138" s="593"/>
      <c r="C138" s="593"/>
      <c r="D138" s="1524" t="s">
        <v>221</v>
      </c>
      <c r="E138" s="1420"/>
      <c r="F138" s="1420"/>
      <c r="G138" s="1420"/>
      <c r="H138" s="1420"/>
      <c r="I138" s="1420"/>
      <c r="J138" s="1421"/>
      <c r="K138" s="1524" t="s">
        <v>222</v>
      </c>
      <c r="L138" s="1420"/>
      <c r="M138" s="1420"/>
      <c r="N138" s="1420"/>
      <c r="O138" s="1420"/>
      <c r="P138" s="1420"/>
      <c r="Q138" s="1421"/>
      <c r="R138" s="595"/>
      <c r="S138" s="599"/>
      <c r="T138" s="599"/>
      <c r="U138" s="599"/>
      <c r="V138" s="599"/>
      <c r="W138" s="599"/>
      <c r="X138" s="599"/>
      <c r="Y138" s="599"/>
      <c r="Z138" s="599"/>
    </row>
    <row r="139" spans="1:26" ht="15.75" customHeight="1">
      <c r="A139" s="595"/>
      <c r="B139" s="593"/>
      <c r="C139" s="593"/>
      <c r="D139" s="593"/>
      <c r="E139" s="593"/>
      <c r="F139" s="593"/>
      <c r="G139" s="593"/>
      <c r="H139" s="593"/>
      <c r="I139" s="593"/>
      <c r="J139" s="604"/>
      <c r="K139" s="593"/>
      <c r="L139" s="593"/>
      <c r="M139" s="595"/>
      <c r="N139" s="595"/>
      <c r="O139" s="595"/>
      <c r="P139" s="595"/>
      <c r="Q139" s="595"/>
      <c r="R139" s="595"/>
      <c r="S139" s="599"/>
      <c r="T139" s="599"/>
      <c r="U139" s="599"/>
      <c r="V139" s="599"/>
      <c r="W139" s="599"/>
      <c r="X139" s="599"/>
      <c r="Y139" s="599"/>
      <c r="Z139" s="599"/>
    </row>
    <row r="140" spans="1:26" ht="15.75" customHeight="1">
      <c r="A140" s="1529" t="s">
        <v>267</v>
      </c>
      <c r="B140" s="1539" t="s">
        <v>224</v>
      </c>
      <c r="C140" s="1540"/>
      <c r="D140" s="1533" t="s">
        <v>225</v>
      </c>
      <c r="E140" s="1526"/>
      <c r="F140" s="1534" t="s">
        <v>226</v>
      </c>
      <c r="G140" s="1526"/>
      <c r="H140" s="1534" t="s">
        <v>227</v>
      </c>
      <c r="I140" s="1535"/>
      <c r="J140" s="1536" t="s">
        <v>33</v>
      </c>
      <c r="K140" s="1533" t="s">
        <v>225</v>
      </c>
      <c r="L140" s="1526"/>
      <c r="M140" s="1534" t="s">
        <v>226</v>
      </c>
      <c r="N140" s="1526"/>
      <c r="O140" s="1534" t="s">
        <v>227</v>
      </c>
      <c r="P140" s="1535"/>
      <c r="Q140" s="1536" t="s">
        <v>33</v>
      </c>
      <c r="R140" s="595"/>
      <c r="S140" s="599"/>
      <c r="T140" s="599"/>
      <c r="U140" s="599"/>
      <c r="V140" s="599"/>
      <c r="W140" s="599"/>
      <c r="X140" s="599"/>
      <c r="Y140" s="599"/>
      <c r="Z140" s="599"/>
    </row>
    <row r="141" spans="1:26" ht="15.75" customHeight="1">
      <c r="A141" s="1516"/>
      <c r="B141" s="734" t="s">
        <v>269</v>
      </c>
      <c r="C141" s="805" t="s">
        <v>270</v>
      </c>
      <c r="D141" s="738" t="s">
        <v>230</v>
      </c>
      <c r="E141" s="735" t="s">
        <v>231</v>
      </c>
      <c r="F141" s="735" t="s">
        <v>232</v>
      </c>
      <c r="G141" s="735" t="s">
        <v>231</v>
      </c>
      <c r="H141" s="735" t="s">
        <v>232</v>
      </c>
      <c r="I141" s="735" t="s">
        <v>231</v>
      </c>
      <c r="J141" s="1537"/>
      <c r="K141" s="738" t="s">
        <v>232</v>
      </c>
      <c r="L141" s="738" t="s">
        <v>231</v>
      </c>
      <c r="M141" s="738" t="s">
        <v>232</v>
      </c>
      <c r="N141" s="735" t="s">
        <v>231</v>
      </c>
      <c r="O141" s="735" t="s">
        <v>232</v>
      </c>
      <c r="P141" s="735" t="s">
        <v>231</v>
      </c>
      <c r="Q141" s="1537"/>
      <c r="R141" s="595"/>
      <c r="S141" s="599"/>
      <c r="T141" s="599"/>
      <c r="U141" s="599"/>
      <c r="V141" s="599"/>
      <c r="W141" s="599"/>
      <c r="X141" s="599"/>
      <c r="Y141" s="599"/>
      <c r="Z141" s="599"/>
    </row>
    <row r="142" spans="1:26" ht="15.75" customHeight="1">
      <c r="A142" s="692">
        <v>1992</v>
      </c>
      <c r="B142" s="806">
        <v>136711</v>
      </c>
      <c r="C142" s="807">
        <v>545</v>
      </c>
      <c r="D142" s="808">
        <v>319527</v>
      </c>
      <c r="E142" s="809">
        <v>1304</v>
      </c>
      <c r="F142" s="810">
        <v>306846</v>
      </c>
      <c r="G142" s="810">
        <v>1234</v>
      </c>
      <c r="H142" s="810">
        <v>26965</v>
      </c>
      <c r="I142" s="810">
        <v>107</v>
      </c>
      <c r="J142" s="811">
        <v>9</v>
      </c>
      <c r="K142" s="812">
        <v>128331</v>
      </c>
      <c r="L142" s="813">
        <v>530</v>
      </c>
      <c r="M142" s="814">
        <v>3963</v>
      </c>
      <c r="N142" s="815">
        <v>16</v>
      </c>
      <c r="O142" s="814">
        <v>2100</v>
      </c>
      <c r="P142" s="815">
        <v>8</v>
      </c>
      <c r="Q142" s="811">
        <v>9</v>
      </c>
      <c r="R142" s="595"/>
      <c r="S142" s="599"/>
      <c r="T142" s="599"/>
      <c r="U142" s="599"/>
      <c r="V142" s="599"/>
      <c r="W142" s="599"/>
      <c r="X142" s="599"/>
      <c r="Y142" s="599"/>
      <c r="Z142" s="599"/>
    </row>
    <row r="143" spans="1:26" ht="15.75" customHeight="1">
      <c r="A143" s="699">
        <v>1993</v>
      </c>
      <c r="B143" s="816">
        <v>116622</v>
      </c>
      <c r="C143" s="817">
        <v>453</v>
      </c>
      <c r="D143" s="818">
        <v>261189</v>
      </c>
      <c r="E143" s="816">
        <v>1235</v>
      </c>
      <c r="F143" s="819">
        <v>177918</v>
      </c>
      <c r="G143" s="819">
        <v>837</v>
      </c>
      <c r="H143" s="819">
        <v>21960</v>
      </c>
      <c r="I143" s="819">
        <v>102</v>
      </c>
      <c r="J143" s="820">
        <v>9.1999999999999993</v>
      </c>
      <c r="K143" s="821">
        <v>118936</v>
      </c>
      <c r="L143" s="822">
        <v>557</v>
      </c>
      <c r="M143" s="823">
        <v>3328</v>
      </c>
      <c r="N143" s="824">
        <v>16</v>
      </c>
      <c r="O143" s="823">
        <v>2887</v>
      </c>
      <c r="P143" s="824">
        <v>13</v>
      </c>
      <c r="Q143" s="820">
        <v>9.1</v>
      </c>
      <c r="R143" s="595"/>
      <c r="S143" s="599"/>
      <c r="T143" s="599"/>
      <c r="U143" s="599"/>
      <c r="V143" s="599"/>
      <c r="W143" s="599"/>
      <c r="X143" s="599"/>
      <c r="Y143" s="599"/>
      <c r="Z143" s="599"/>
    </row>
    <row r="144" spans="1:26" ht="15.75" customHeight="1">
      <c r="A144" s="699">
        <v>1994</v>
      </c>
      <c r="B144" s="816">
        <v>148836</v>
      </c>
      <c r="C144" s="817">
        <v>556</v>
      </c>
      <c r="D144" s="818">
        <v>224720</v>
      </c>
      <c r="E144" s="816">
        <v>832</v>
      </c>
      <c r="F144" s="819">
        <v>170762</v>
      </c>
      <c r="G144" s="819">
        <v>635</v>
      </c>
      <c r="H144" s="819">
        <v>22457</v>
      </c>
      <c r="I144" s="819">
        <v>82</v>
      </c>
      <c r="J144" s="820">
        <v>8.8000000000000007</v>
      </c>
      <c r="K144" s="821">
        <v>110343</v>
      </c>
      <c r="L144" s="822">
        <v>409</v>
      </c>
      <c r="M144" s="823">
        <v>3736</v>
      </c>
      <c r="N144" s="824">
        <v>14</v>
      </c>
      <c r="O144" s="823">
        <v>3031</v>
      </c>
      <c r="P144" s="824">
        <v>11</v>
      </c>
      <c r="Q144" s="820">
        <v>9.5</v>
      </c>
      <c r="R144" s="595"/>
      <c r="S144" s="599"/>
      <c r="T144" s="599"/>
      <c r="U144" s="599"/>
      <c r="V144" s="599"/>
      <c r="W144" s="599"/>
      <c r="X144" s="599"/>
      <c r="Y144" s="599"/>
      <c r="Z144" s="599"/>
    </row>
    <row r="145" spans="1:26" ht="15.75" customHeight="1">
      <c r="A145" s="699">
        <v>1995</v>
      </c>
      <c r="B145" s="816">
        <v>131660</v>
      </c>
      <c r="C145" s="817">
        <v>527</v>
      </c>
      <c r="D145" s="818">
        <v>274802</v>
      </c>
      <c r="E145" s="816">
        <v>1105</v>
      </c>
      <c r="F145" s="819">
        <v>245359</v>
      </c>
      <c r="G145" s="819">
        <v>1024</v>
      </c>
      <c r="H145" s="819">
        <v>43248</v>
      </c>
      <c r="I145" s="819">
        <v>166</v>
      </c>
      <c r="J145" s="820">
        <v>8.5</v>
      </c>
      <c r="K145" s="821">
        <v>93655</v>
      </c>
      <c r="L145" s="822">
        <v>376</v>
      </c>
      <c r="M145" s="823">
        <v>3946</v>
      </c>
      <c r="N145" s="824">
        <v>16</v>
      </c>
      <c r="O145" s="823">
        <v>2396</v>
      </c>
      <c r="P145" s="824">
        <v>10</v>
      </c>
      <c r="Q145" s="820">
        <v>9.4</v>
      </c>
      <c r="R145" s="595"/>
      <c r="S145" s="599"/>
      <c r="T145" s="599"/>
      <c r="U145" s="599"/>
      <c r="V145" s="599"/>
      <c r="W145" s="599"/>
      <c r="X145" s="599"/>
      <c r="Y145" s="599"/>
      <c r="Z145" s="599"/>
    </row>
    <row r="146" spans="1:26" ht="15.75" customHeight="1">
      <c r="A146" s="699">
        <v>1996</v>
      </c>
      <c r="B146" s="816">
        <v>144529</v>
      </c>
      <c r="C146" s="817">
        <v>546</v>
      </c>
      <c r="D146" s="818">
        <v>289716</v>
      </c>
      <c r="E146" s="816">
        <v>1123</v>
      </c>
      <c r="F146" s="819">
        <v>150309</v>
      </c>
      <c r="G146" s="819">
        <v>579</v>
      </c>
      <c r="H146" s="819">
        <v>21390</v>
      </c>
      <c r="I146" s="819">
        <v>80</v>
      </c>
      <c r="J146" s="820">
        <v>9.1</v>
      </c>
      <c r="K146" s="821">
        <v>142263</v>
      </c>
      <c r="L146" s="822">
        <v>548</v>
      </c>
      <c r="M146" s="823">
        <v>3857</v>
      </c>
      <c r="N146" s="824">
        <v>15</v>
      </c>
      <c r="O146" s="823">
        <v>2683</v>
      </c>
      <c r="P146" s="824">
        <v>10</v>
      </c>
      <c r="Q146" s="820">
        <v>9.3000000000000007</v>
      </c>
      <c r="R146" s="595"/>
      <c r="S146" s="599"/>
      <c r="T146" s="599"/>
      <c r="U146" s="599"/>
      <c r="V146" s="599"/>
      <c r="W146" s="599"/>
      <c r="X146" s="599"/>
      <c r="Y146" s="599"/>
      <c r="Z146" s="599"/>
    </row>
    <row r="147" spans="1:26" ht="15.75" customHeight="1">
      <c r="A147" s="699">
        <v>1997</v>
      </c>
      <c r="B147" s="816">
        <v>144517</v>
      </c>
      <c r="C147" s="817">
        <v>555</v>
      </c>
      <c r="D147" s="818">
        <v>328794</v>
      </c>
      <c r="E147" s="816">
        <v>1335</v>
      </c>
      <c r="F147" s="819">
        <v>195553</v>
      </c>
      <c r="G147" s="819">
        <v>776</v>
      </c>
      <c r="H147" s="819">
        <v>21365</v>
      </c>
      <c r="I147" s="819">
        <v>84</v>
      </c>
      <c r="J147" s="820">
        <v>8.6</v>
      </c>
      <c r="K147" s="821">
        <v>138360</v>
      </c>
      <c r="L147" s="822">
        <v>555</v>
      </c>
      <c r="M147" s="823">
        <v>3878</v>
      </c>
      <c r="N147" s="824">
        <v>16</v>
      </c>
      <c r="O147" s="823">
        <v>2104</v>
      </c>
      <c r="P147" s="824">
        <v>8</v>
      </c>
      <c r="Q147" s="820">
        <v>9.3000000000000007</v>
      </c>
      <c r="R147" s="595"/>
      <c r="S147" s="599"/>
      <c r="T147" s="599"/>
      <c r="U147" s="599"/>
      <c r="V147" s="599"/>
      <c r="W147" s="599"/>
      <c r="X147" s="599"/>
      <c r="Y147" s="599"/>
      <c r="Z147" s="599"/>
    </row>
    <row r="148" spans="1:26" ht="15.75" customHeight="1">
      <c r="A148" s="699">
        <v>1998</v>
      </c>
      <c r="B148" s="816">
        <v>134688</v>
      </c>
      <c r="C148" s="817">
        <v>528</v>
      </c>
      <c r="D148" s="818">
        <v>344241</v>
      </c>
      <c r="E148" s="816">
        <v>1385</v>
      </c>
      <c r="F148" s="819">
        <v>246276</v>
      </c>
      <c r="G148" s="819">
        <v>1005</v>
      </c>
      <c r="H148" s="819">
        <v>21960</v>
      </c>
      <c r="I148" s="819">
        <v>88</v>
      </c>
      <c r="J148" s="820">
        <v>8.3000000000000007</v>
      </c>
      <c r="K148" s="821">
        <v>119826</v>
      </c>
      <c r="L148" s="822">
        <v>483</v>
      </c>
      <c r="M148" s="823">
        <v>5916</v>
      </c>
      <c r="N148" s="824">
        <v>23.3</v>
      </c>
      <c r="O148" s="823">
        <v>1081</v>
      </c>
      <c r="P148" s="824">
        <v>4.7</v>
      </c>
      <c r="Q148" s="820">
        <v>9</v>
      </c>
      <c r="R148" s="595"/>
      <c r="S148" s="599"/>
      <c r="T148" s="599"/>
      <c r="U148" s="599"/>
      <c r="V148" s="599"/>
      <c r="W148" s="599"/>
      <c r="X148" s="599"/>
      <c r="Y148" s="599"/>
      <c r="Z148" s="599"/>
    </row>
    <row r="149" spans="1:26" ht="15.75" customHeight="1">
      <c r="A149" s="699">
        <v>1999</v>
      </c>
      <c r="B149" s="816">
        <v>142037</v>
      </c>
      <c r="C149" s="817">
        <v>491</v>
      </c>
      <c r="D149" s="818">
        <v>330530</v>
      </c>
      <c r="E149" s="816">
        <v>1188</v>
      </c>
      <c r="F149" s="819">
        <v>262328</v>
      </c>
      <c r="G149" s="819">
        <v>927</v>
      </c>
      <c r="H149" s="819">
        <v>23330</v>
      </c>
      <c r="I149" s="819">
        <v>87</v>
      </c>
      <c r="J149" s="820">
        <v>8.1999999999999993</v>
      </c>
      <c r="K149" s="821">
        <v>88969</v>
      </c>
      <c r="L149" s="822">
        <v>337.1</v>
      </c>
      <c r="M149" s="823">
        <v>7227</v>
      </c>
      <c r="N149" s="824">
        <v>26.1</v>
      </c>
      <c r="O149" s="823">
        <v>1005</v>
      </c>
      <c r="P149" s="824">
        <v>4.3</v>
      </c>
      <c r="Q149" s="820">
        <v>9</v>
      </c>
      <c r="R149" s="595"/>
      <c r="S149" s="599"/>
      <c r="T149" s="599"/>
      <c r="U149" s="599"/>
      <c r="V149" s="599"/>
      <c r="W149" s="599"/>
      <c r="X149" s="599"/>
      <c r="Y149" s="599"/>
      <c r="Z149" s="599"/>
    </row>
    <row r="150" spans="1:26" ht="15.75" customHeight="1">
      <c r="A150" s="699">
        <v>2000</v>
      </c>
      <c r="B150" s="816">
        <v>220202</v>
      </c>
      <c r="C150" s="817">
        <v>733</v>
      </c>
      <c r="D150" s="818">
        <v>324694</v>
      </c>
      <c r="E150" s="816">
        <v>1089</v>
      </c>
      <c r="F150" s="819">
        <v>325082</v>
      </c>
      <c r="G150" s="819">
        <v>1076</v>
      </c>
      <c r="H150" s="819">
        <v>30780</v>
      </c>
      <c r="I150" s="819">
        <v>103</v>
      </c>
      <c r="J150" s="820">
        <v>8</v>
      </c>
      <c r="K150" s="821">
        <v>112219</v>
      </c>
      <c r="L150" s="822">
        <v>381</v>
      </c>
      <c r="M150" s="823">
        <v>6296</v>
      </c>
      <c r="N150" s="824">
        <v>21.1</v>
      </c>
      <c r="O150" s="823">
        <v>463</v>
      </c>
      <c r="P150" s="824">
        <v>1.6</v>
      </c>
      <c r="Q150" s="820">
        <v>9.1</v>
      </c>
      <c r="R150" s="595"/>
      <c r="S150" s="599"/>
      <c r="T150" s="599"/>
      <c r="U150" s="599"/>
      <c r="V150" s="599"/>
      <c r="W150" s="599"/>
      <c r="X150" s="599"/>
      <c r="Y150" s="599"/>
      <c r="Z150" s="599"/>
    </row>
    <row r="151" spans="1:26" ht="15.75" customHeight="1">
      <c r="A151" s="699">
        <v>2001</v>
      </c>
      <c r="B151" s="816">
        <v>232631</v>
      </c>
      <c r="C151" s="817">
        <v>802</v>
      </c>
      <c r="D151" s="818">
        <v>366657</v>
      </c>
      <c r="E151" s="816">
        <v>1298</v>
      </c>
      <c r="F151" s="819">
        <v>332139</v>
      </c>
      <c r="G151" s="819">
        <v>1165</v>
      </c>
      <c r="H151" s="819">
        <v>46928</v>
      </c>
      <c r="I151" s="819">
        <v>165</v>
      </c>
      <c r="J151" s="820">
        <v>7.4</v>
      </c>
      <c r="K151" s="821">
        <v>99973</v>
      </c>
      <c r="L151" s="822">
        <v>351</v>
      </c>
      <c r="M151" s="823">
        <v>5212</v>
      </c>
      <c r="N151" s="824">
        <v>18</v>
      </c>
      <c r="O151" s="824">
        <v>977</v>
      </c>
      <c r="P151" s="824">
        <v>3.3</v>
      </c>
      <c r="Q151" s="820">
        <v>8.9</v>
      </c>
      <c r="R151" s="595"/>
      <c r="S151" s="599"/>
      <c r="T151" s="599"/>
      <c r="U151" s="599"/>
      <c r="V151" s="599"/>
      <c r="W151" s="599"/>
      <c r="X151" s="599"/>
      <c r="Y151" s="599"/>
      <c r="Z151" s="599"/>
    </row>
    <row r="152" spans="1:26" ht="15.75" customHeight="1">
      <c r="A152" s="699">
        <v>2002</v>
      </c>
      <c r="B152" s="816">
        <v>256342</v>
      </c>
      <c r="C152" s="817">
        <v>905.74769099201785</v>
      </c>
      <c r="D152" s="818">
        <v>464105</v>
      </c>
      <c r="E152" s="816">
        <v>1669.4272391705392</v>
      </c>
      <c r="F152" s="819">
        <v>479584</v>
      </c>
      <c r="G152" s="819">
        <v>1701.0050359797131</v>
      </c>
      <c r="H152" s="819">
        <v>58716</v>
      </c>
      <c r="I152" s="819">
        <v>209.75732989659093</v>
      </c>
      <c r="J152" s="820">
        <v>7.3917848380925228</v>
      </c>
      <c r="K152" s="821">
        <v>133747</v>
      </c>
      <c r="L152" s="822">
        <v>475.24832563253295</v>
      </c>
      <c r="M152" s="823">
        <v>8965</v>
      </c>
      <c r="N152" s="824">
        <v>32.112450748395865</v>
      </c>
      <c r="O152" s="824">
        <v>1898</v>
      </c>
      <c r="P152" s="824">
        <v>6.8141796197334079</v>
      </c>
      <c r="Q152" s="820">
        <v>8.8232211672166851</v>
      </c>
      <c r="R152" s="595"/>
      <c r="S152" s="599"/>
      <c r="T152" s="599"/>
      <c r="U152" s="599"/>
      <c r="V152" s="599"/>
      <c r="W152" s="599"/>
      <c r="X152" s="599"/>
      <c r="Y152" s="599"/>
      <c r="Z152" s="599"/>
    </row>
    <row r="153" spans="1:26" ht="15.75" customHeight="1">
      <c r="A153" s="699">
        <v>2003</v>
      </c>
      <c r="B153" s="816">
        <v>253901</v>
      </c>
      <c r="C153" s="817">
        <v>918.2657570428413</v>
      </c>
      <c r="D153" s="818">
        <v>342318.30660000001</v>
      </c>
      <c r="E153" s="816">
        <v>1242.5054293460541</v>
      </c>
      <c r="F153" s="819">
        <v>268967.44900000002</v>
      </c>
      <c r="G153" s="819">
        <v>960.19132103099412</v>
      </c>
      <c r="H153" s="819">
        <v>37906.419419999998</v>
      </c>
      <c r="I153" s="819">
        <v>135.70535924483542</v>
      </c>
      <c r="J153" s="820">
        <v>7.3549986497314892</v>
      </c>
      <c r="K153" s="821">
        <v>37906.419419999998</v>
      </c>
      <c r="L153" s="822">
        <v>470.69282626721514</v>
      </c>
      <c r="M153" s="823">
        <v>7491.1427000000003</v>
      </c>
      <c r="N153" s="824">
        <v>27.515037429849276</v>
      </c>
      <c r="O153" s="824">
        <v>1904.94569</v>
      </c>
      <c r="P153" s="824">
        <v>7.0198555781480261</v>
      </c>
      <c r="Q153" s="820">
        <v>8.8657417234254581</v>
      </c>
      <c r="R153" s="595"/>
      <c r="S153" s="599"/>
      <c r="T153" s="599"/>
      <c r="U153" s="599"/>
      <c r="V153" s="599"/>
      <c r="W153" s="599"/>
      <c r="X153" s="599"/>
      <c r="Y153" s="599"/>
      <c r="Z153" s="599"/>
    </row>
    <row r="154" spans="1:26" ht="15.75" customHeight="1">
      <c r="A154" s="699">
        <v>2004</v>
      </c>
      <c r="B154" s="816">
        <v>245474</v>
      </c>
      <c r="C154" s="817">
        <v>865.55024515339744</v>
      </c>
      <c r="D154" s="818">
        <v>525509</v>
      </c>
      <c r="E154" s="816">
        <v>1882.8712766876552</v>
      </c>
      <c r="F154" s="819">
        <v>288377</v>
      </c>
      <c r="G154" s="819">
        <v>1013.3994120201792</v>
      </c>
      <c r="H154" s="819">
        <v>36803</v>
      </c>
      <c r="I154" s="819">
        <v>128.98892523144457</v>
      </c>
      <c r="J154" s="820">
        <v>7.4795464522729</v>
      </c>
      <c r="K154" s="821">
        <v>209068</v>
      </c>
      <c r="L154" s="822">
        <v>755.16813303771721</v>
      </c>
      <c r="M154" s="823">
        <v>8259.1474000000017</v>
      </c>
      <c r="N154" s="824">
        <v>30.139278227767196</v>
      </c>
      <c r="O154" s="824">
        <v>1532.31322</v>
      </c>
      <c r="P154" s="824">
        <v>5.7716335228796574</v>
      </c>
      <c r="Q154" s="820">
        <v>8.8628750670960805</v>
      </c>
      <c r="R154" s="595"/>
      <c r="S154" s="599"/>
      <c r="T154" s="599"/>
      <c r="U154" s="599"/>
      <c r="V154" s="599"/>
      <c r="W154" s="599"/>
      <c r="X154" s="599"/>
      <c r="Y154" s="599"/>
      <c r="Z154" s="599"/>
    </row>
    <row r="155" spans="1:26" ht="15.75" customHeight="1">
      <c r="A155" s="699">
        <v>2005</v>
      </c>
      <c r="B155" s="816">
        <v>258897</v>
      </c>
      <c r="C155" s="817">
        <v>842</v>
      </c>
      <c r="D155" s="818">
        <v>592586</v>
      </c>
      <c r="E155" s="816">
        <v>1930</v>
      </c>
      <c r="F155" s="819">
        <v>320034</v>
      </c>
      <c r="G155" s="819">
        <v>1054</v>
      </c>
      <c r="H155" s="819">
        <v>47743</v>
      </c>
      <c r="I155" s="819">
        <v>158</v>
      </c>
      <c r="J155" s="820">
        <v>7</v>
      </c>
      <c r="K155" s="821">
        <v>239420</v>
      </c>
      <c r="L155" s="822">
        <v>780</v>
      </c>
      <c r="M155" s="823">
        <v>6578</v>
      </c>
      <c r="N155" s="824">
        <v>22</v>
      </c>
      <c r="O155" s="824">
        <v>887</v>
      </c>
      <c r="P155" s="824">
        <v>2.8</v>
      </c>
      <c r="Q155" s="820">
        <v>8.6999999999999993</v>
      </c>
      <c r="R155" s="595"/>
      <c r="S155" s="599"/>
      <c r="T155" s="599"/>
      <c r="U155" s="599"/>
      <c r="V155" s="599"/>
      <c r="W155" s="599"/>
      <c r="X155" s="599"/>
      <c r="Y155" s="599"/>
      <c r="Z155" s="599"/>
    </row>
    <row r="156" spans="1:26" ht="15.75" customHeight="1">
      <c r="A156" s="699">
        <v>2006</v>
      </c>
      <c r="B156" s="816">
        <v>264347</v>
      </c>
      <c r="C156" s="817">
        <v>839</v>
      </c>
      <c r="D156" s="818">
        <v>485534</v>
      </c>
      <c r="E156" s="816">
        <v>1677</v>
      </c>
      <c r="F156" s="819">
        <v>251728</v>
      </c>
      <c r="G156" s="819">
        <v>843</v>
      </c>
      <c r="H156" s="819">
        <v>57428</v>
      </c>
      <c r="I156" s="819">
        <v>195</v>
      </c>
      <c r="J156" s="820">
        <v>7.2</v>
      </c>
      <c r="K156" s="821">
        <v>214523</v>
      </c>
      <c r="L156" s="822">
        <v>743</v>
      </c>
      <c r="M156" s="823">
        <v>7289</v>
      </c>
      <c r="N156" s="824">
        <v>24</v>
      </c>
      <c r="O156" s="824">
        <v>1339</v>
      </c>
      <c r="P156" s="824">
        <v>4.3</v>
      </c>
      <c r="Q156" s="820">
        <v>8.6999999999999993</v>
      </c>
      <c r="R156" s="595"/>
      <c r="S156" s="599"/>
      <c r="T156" s="599"/>
      <c r="U156" s="599"/>
      <c r="V156" s="599"/>
      <c r="W156" s="599"/>
      <c r="X156" s="599"/>
      <c r="Y156" s="599"/>
      <c r="Z156" s="599"/>
    </row>
    <row r="157" spans="1:26" ht="15.75" customHeight="1">
      <c r="A157" s="699">
        <v>2007</v>
      </c>
      <c r="B157" s="816">
        <v>245716</v>
      </c>
      <c r="C157" s="817">
        <v>750.48292738290138</v>
      </c>
      <c r="D157" s="818">
        <v>425759</v>
      </c>
      <c r="E157" s="816">
        <v>1286.9733897289591</v>
      </c>
      <c r="F157" s="819">
        <v>208090</v>
      </c>
      <c r="G157" s="819">
        <v>619.99874393467087</v>
      </c>
      <c r="H157" s="819">
        <v>44438</v>
      </c>
      <c r="I157" s="819">
        <v>133.0616367277988</v>
      </c>
      <c r="J157" s="820">
        <v>7.3724609859713297</v>
      </c>
      <c r="K157" s="821">
        <v>185287</v>
      </c>
      <c r="L157" s="822">
        <v>567.70516357499298</v>
      </c>
      <c r="M157" s="823">
        <v>7303</v>
      </c>
      <c r="N157" s="824">
        <v>22.191201789106515</v>
      </c>
      <c r="O157" s="824">
        <v>575</v>
      </c>
      <c r="P157" s="824">
        <v>1.7270293858087948</v>
      </c>
      <c r="Q157" s="820">
        <v>8.8341660228685743</v>
      </c>
      <c r="R157" s="595"/>
      <c r="S157" s="599"/>
      <c r="T157" s="599"/>
      <c r="U157" s="599"/>
      <c r="V157" s="599"/>
      <c r="W157" s="599"/>
      <c r="X157" s="599"/>
      <c r="Y157" s="599"/>
      <c r="Z157" s="599"/>
    </row>
    <row r="158" spans="1:26" ht="15.75" customHeight="1">
      <c r="A158" s="699">
        <v>2008</v>
      </c>
      <c r="B158" s="816">
        <v>170861</v>
      </c>
      <c r="C158" s="817">
        <v>520</v>
      </c>
      <c r="D158" s="818">
        <v>27425</v>
      </c>
      <c r="E158" s="816">
        <v>1049</v>
      </c>
      <c r="F158" s="819">
        <v>11495</v>
      </c>
      <c r="G158" s="819">
        <v>446</v>
      </c>
      <c r="H158" s="819">
        <v>1539</v>
      </c>
      <c r="I158" s="819">
        <v>56</v>
      </c>
      <c r="J158" s="820">
        <v>7.1</v>
      </c>
      <c r="K158" s="821">
        <v>11715.753066666666</v>
      </c>
      <c r="L158" s="822">
        <v>434.93544526487295</v>
      </c>
      <c r="M158" s="823">
        <v>329.8775516666667</v>
      </c>
      <c r="N158" s="824">
        <v>12.092293585291365</v>
      </c>
      <c r="O158" s="824">
        <v>40.986646500000006</v>
      </c>
      <c r="P158" s="824">
        <v>1.5420543151318278</v>
      </c>
      <c r="Q158" s="820">
        <v>8.5077753250946699</v>
      </c>
      <c r="R158" s="595"/>
      <c r="S158" s="599"/>
      <c r="T158" s="599"/>
      <c r="U158" s="599"/>
      <c r="V158" s="599"/>
      <c r="W158" s="599"/>
      <c r="X158" s="599"/>
      <c r="Y158" s="599"/>
      <c r="Z158" s="599"/>
    </row>
    <row r="159" spans="1:26" ht="15.75" customHeight="1">
      <c r="A159" s="699">
        <v>2009</v>
      </c>
      <c r="B159" s="816">
        <v>13885.833333333334</v>
      </c>
      <c r="C159" s="817">
        <v>509.04076163938231</v>
      </c>
      <c r="D159" s="818">
        <v>35446.029031023099</v>
      </c>
      <c r="E159" s="816">
        <v>1303.3337261815811</v>
      </c>
      <c r="F159" s="819">
        <v>20173.183916666665</v>
      </c>
      <c r="G159" s="819">
        <v>731.33576219018323</v>
      </c>
      <c r="H159" s="819">
        <v>1749.3714166666668</v>
      </c>
      <c r="I159" s="819">
        <v>62.498564734426914</v>
      </c>
      <c r="J159" s="820">
        <v>6.7331130413328681</v>
      </c>
      <c r="K159" s="821">
        <v>16486.120599087557</v>
      </c>
      <c r="L159" s="822">
        <v>608.47456565979485</v>
      </c>
      <c r="M159" s="823">
        <v>403.89917499999996</v>
      </c>
      <c r="N159" s="824">
        <v>14.878581747054563</v>
      </c>
      <c r="O159" s="824">
        <v>25.46308333333333</v>
      </c>
      <c r="P159" s="824">
        <v>0.92220454563754661</v>
      </c>
      <c r="Q159" s="820">
        <v>8.546592273307791</v>
      </c>
      <c r="R159" s="595"/>
      <c r="S159" s="599"/>
      <c r="T159" s="599"/>
      <c r="U159" s="599"/>
      <c r="V159" s="599"/>
      <c r="W159" s="599"/>
      <c r="X159" s="599"/>
      <c r="Y159" s="599"/>
      <c r="Z159" s="599"/>
    </row>
    <row r="160" spans="1:26" ht="15.75" customHeight="1">
      <c r="A160" s="699">
        <v>2010</v>
      </c>
      <c r="B160" s="816">
        <v>14447.5</v>
      </c>
      <c r="C160" s="817">
        <v>524.27036814700284</v>
      </c>
      <c r="D160" s="818">
        <v>38256.690333333339</v>
      </c>
      <c r="E160" s="816">
        <v>1402.7597435584787</v>
      </c>
      <c r="F160" s="819">
        <v>25301.584500000001</v>
      </c>
      <c r="G160" s="819">
        <v>967.15695905939663</v>
      </c>
      <c r="H160" s="819">
        <v>2214.867733333333</v>
      </c>
      <c r="I160" s="819">
        <v>80.755420995640961</v>
      </c>
      <c r="J160" s="820">
        <v>7.1227129985744071</v>
      </c>
      <c r="K160" s="821">
        <v>17467.631833333333</v>
      </c>
      <c r="L160" s="822">
        <v>634.52694035855313</v>
      </c>
      <c r="M160" s="823">
        <v>537.86016666666671</v>
      </c>
      <c r="N160" s="824">
        <v>19.979898213793355</v>
      </c>
      <c r="O160" s="824">
        <v>19.414662916666668</v>
      </c>
      <c r="P160" s="824">
        <v>0.70444578724909679</v>
      </c>
      <c r="Q160" s="820">
        <v>8.9354255449686431</v>
      </c>
      <c r="R160" s="595"/>
      <c r="S160" s="599"/>
      <c r="T160" s="599"/>
      <c r="U160" s="599"/>
      <c r="V160" s="599"/>
      <c r="W160" s="599"/>
      <c r="X160" s="599"/>
      <c r="Y160" s="599"/>
      <c r="Z160" s="599"/>
    </row>
    <row r="161" spans="1:26" ht="15.75" customHeight="1">
      <c r="A161" s="825">
        <v>2011</v>
      </c>
      <c r="B161" s="816">
        <v>187404</v>
      </c>
      <c r="C161" s="807">
        <v>582.53468133171953</v>
      </c>
      <c r="D161" s="826">
        <v>45385.3825</v>
      </c>
      <c r="E161" s="806">
        <v>1737.0837094042911</v>
      </c>
      <c r="F161" s="827">
        <v>41446.2590531643</v>
      </c>
      <c r="G161" s="827">
        <v>1785.3117335482029</v>
      </c>
      <c r="H161" s="827">
        <v>3709.7250499999996</v>
      </c>
      <c r="I161" s="827">
        <v>143.28002314013455</v>
      </c>
      <c r="J161" s="828">
        <v>6.9483192065166826</v>
      </c>
      <c r="K161" s="829">
        <v>16467.908499999998</v>
      </c>
      <c r="L161" s="830">
        <v>629.26428858983297</v>
      </c>
      <c r="M161" s="831">
        <v>593.88083859983533</v>
      </c>
      <c r="N161" s="832">
        <v>22.354202197416328</v>
      </c>
      <c r="O161" s="832">
        <v>49.844300499999996</v>
      </c>
      <c r="P161" s="832">
        <v>1.8815533745703446</v>
      </c>
      <c r="Q161" s="828">
        <v>8.9844636517245853</v>
      </c>
      <c r="R161" s="595"/>
      <c r="S161" s="599"/>
      <c r="T161" s="599"/>
      <c r="U161" s="599"/>
      <c r="V161" s="599"/>
      <c r="W161" s="599"/>
      <c r="X161" s="599"/>
      <c r="Y161" s="599"/>
      <c r="Z161" s="599"/>
    </row>
    <row r="162" spans="1:26" ht="15.75" customHeight="1">
      <c r="A162" s="706">
        <v>2012</v>
      </c>
      <c r="B162" s="833">
        <v>164920</v>
      </c>
      <c r="C162" s="834">
        <v>555.6606647946162</v>
      </c>
      <c r="D162" s="835">
        <v>37585.861666666664</v>
      </c>
      <c r="E162" s="836">
        <v>1559.181132816768</v>
      </c>
      <c r="F162" s="837">
        <v>25291.624030140058</v>
      </c>
      <c r="G162" s="837">
        <v>1059.7681767899487</v>
      </c>
      <c r="H162" s="837">
        <v>3162.1346833333337</v>
      </c>
      <c r="I162" s="837">
        <v>129.93812943544083</v>
      </c>
      <c r="J162" s="838">
        <v>7.1032178920389697</v>
      </c>
      <c r="K162" s="839">
        <v>13530.175166666666</v>
      </c>
      <c r="L162" s="840">
        <v>550.32541012033346</v>
      </c>
      <c r="M162" s="841">
        <v>368.48824082826559</v>
      </c>
      <c r="N162" s="842">
        <v>15.242170807488046</v>
      </c>
      <c r="O162" s="842">
        <v>26.402797833333334</v>
      </c>
      <c r="P162" s="842">
        <v>1.1067209550809891</v>
      </c>
      <c r="Q162" s="838">
        <v>9.0352330109819459</v>
      </c>
      <c r="R162" s="595"/>
      <c r="S162" s="599"/>
      <c r="T162" s="599"/>
      <c r="U162" s="599"/>
      <c r="V162" s="599"/>
      <c r="W162" s="599"/>
      <c r="X162" s="599"/>
      <c r="Y162" s="599"/>
      <c r="Z162" s="599"/>
    </row>
    <row r="163" spans="1:26" ht="15.75" customHeight="1">
      <c r="A163" s="706">
        <v>2013</v>
      </c>
      <c r="B163" s="836">
        <v>153723</v>
      </c>
      <c r="C163" s="834">
        <v>565.09035513339052</v>
      </c>
      <c r="D163" s="835">
        <v>35851.869250000003</v>
      </c>
      <c r="E163" s="837">
        <v>1606.5472925580198</v>
      </c>
      <c r="F163" s="837">
        <v>20053.994218727643</v>
      </c>
      <c r="G163" s="837">
        <v>887.44316240435273</v>
      </c>
      <c r="H163" s="837">
        <v>2179.136545833333</v>
      </c>
      <c r="I163" s="837">
        <v>96.648824186306641</v>
      </c>
      <c r="J163" s="838">
        <v>7.00900544705648</v>
      </c>
      <c r="K163" s="839">
        <v>13752.295416666668</v>
      </c>
      <c r="L163" s="841">
        <v>616.28753414136872</v>
      </c>
      <c r="M163" s="841">
        <v>432.57082700479759</v>
      </c>
      <c r="N163" s="842">
        <v>19.186549369414085</v>
      </c>
      <c r="O163" s="842">
        <v>23.206307749999997</v>
      </c>
      <c r="P163" s="842">
        <v>1.0495902070078451</v>
      </c>
      <c r="Q163" s="838">
        <v>8.9644276090409996</v>
      </c>
      <c r="R163" s="595"/>
      <c r="S163" s="599"/>
      <c r="T163" s="599"/>
      <c r="U163" s="599"/>
      <c r="V163" s="599"/>
      <c r="W163" s="599"/>
      <c r="X163" s="599"/>
      <c r="Y163" s="599"/>
      <c r="Z163" s="599"/>
    </row>
    <row r="164" spans="1:26" ht="15.75" customHeight="1">
      <c r="A164" s="843">
        <v>2014</v>
      </c>
      <c r="B164" s="844">
        <f t="shared" ref="B164:Q164" si="44">B23</f>
        <v>19540.25</v>
      </c>
      <c r="C164" s="844">
        <f t="shared" si="44"/>
        <v>851.25212645221609</v>
      </c>
      <c r="D164" s="844">
        <f t="shared" si="44"/>
        <v>170713.32506180112</v>
      </c>
      <c r="E164" s="844">
        <f t="shared" si="44"/>
        <v>5598.4428255296816</v>
      </c>
      <c r="F164" s="844" t="e">
        <f t="shared" si="44"/>
        <v>#VALUE!</v>
      </c>
      <c r="G164" s="844" t="e">
        <f t="shared" si="44"/>
        <v>#VALUE!</v>
      </c>
      <c r="H164" s="844" t="e">
        <f t="shared" si="44"/>
        <v>#VALUE!</v>
      </c>
      <c r="I164" s="844" t="e">
        <f t="shared" si="44"/>
        <v>#VALUE!</v>
      </c>
      <c r="J164" s="844">
        <f t="shared" si="44"/>
        <v>166.22595945729057</v>
      </c>
      <c r="K164" s="844">
        <f t="shared" si="44"/>
        <v>12471.849916666666</v>
      </c>
      <c r="L164" s="844">
        <f t="shared" si="44"/>
        <v>410.65959685739887</v>
      </c>
      <c r="M164" s="844">
        <f t="shared" si="44"/>
        <v>45.411341715219628</v>
      </c>
      <c r="N164" s="844" t="e">
        <f t="shared" si="44"/>
        <v>#DIV/0!</v>
      </c>
      <c r="O164" s="844" t="e">
        <f t="shared" si="44"/>
        <v>#VALUE!</v>
      </c>
      <c r="P164" s="844" t="e">
        <f t="shared" si="44"/>
        <v>#VALUE!</v>
      </c>
      <c r="Q164" s="844">
        <f t="shared" si="44"/>
        <v>166.22595945729057</v>
      </c>
      <c r="R164" s="595"/>
      <c r="S164" s="599"/>
      <c r="T164" s="599"/>
      <c r="U164" s="599"/>
      <c r="V164" s="599"/>
      <c r="W164" s="599"/>
      <c r="X164" s="599"/>
      <c r="Y164" s="599"/>
      <c r="Z164" s="599"/>
    </row>
    <row r="165" spans="1:26" ht="15.75" customHeight="1">
      <c r="A165" s="845" t="s">
        <v>235</v>
      </c>
      <c r="B165" s="846">
        <f t="shared" ref="B165:Q165" si="45">SUM(B142:B164)</f>
        <v>3801891.5833333335</v>
      </c>
      <c r="C165" s="847">
        <f t="shared" si="45"/>
        <v>14964.895578069485</v>
      </c>
      <c r="D165" s="848">
        <f t="shared" si="45"/>
        <v>6291345.4644428249</v>
      </c>
      <c r="E165" s="849">
        <f t="shared" si="45"/>
        <v>35839.125764982025</v>
      </c>
      <c r="F165" s="849" t="e">
        <f t="shared" si="45"/>
        <v>#VALUE!</v>
      </c>
      <c r="G165" s="849" t="e">
        <f t="shared" si="45"/>
        <v>#VALUE!</v>
      </c>
      <c r="H165" s="849" t="e">
        <f t="shared" si="45"/>
        <v>#VALUE!</v>
      </c>
      <c r="I165" s="849" t="e">
        <f t="shared" si="45"/>
        <v>#VALUE!</v>
      </c>
      <c r="J165" s="847">
        <f t="shared" si="45"/>
        <v>337.14111896887823</v>
      </c>
      <c r="K165" s="848">
        <f t="shared" si="45"/>
        <v>2274718.1539190877</v>
      </c>
      <c r="L165" s="849">
        <f t="shared" si="45"/>
        <v>12203.388229504613</v>
      </c>
      <c r="M165" s="849">
        <f t="shared" si="45"/>
        <v>95956.278241481457</v>
      </c>
      <c r="N165" s="849" t="e">
        <f t="shared" si="45"/>
        <v>#DIV/0!</v>
      </c>
      <c r="O165" s="849" t="e">
        <f t="shared" si="45"/>
        <v>#VALUE!</v>
      </c>
      <c r="P165" s="849" t="e">
        <f t="shared" si="45"/>
        <v>#VALUE!</v>
      </c>
      <c r="Q165" s="850">
        <f t="shared" si="45"/>
        <v>363.58588085301596</v>
      </c>
      <c r="R165" s="595"/>
      <c r="S165" s="599"/>
      <c r="T165" s="599"/>
      <c r="U165" s="599"/>
      <c r="V165" s="599"/>
      <c r="W165" s="599"/>
      <c r="X165" s="599"/>
      <c r="Y165" s="599"/>
      <c r="Z165" s="599"/>
    </row>
    <row r="166" spans="1:26" ht="15.75" customHeight="1">
      <c r="A166" s="595"/>
      <c r="B166" s="595"/>
      <c r="C166" s="595"/>
      <c r="D166" s="595"/>
      <c r="E166" s="684"/>
      <c r="F166" s="685"/>
      <c r="G166" s="685"/>
      <c r="H166" s="685"/>
      <c r="I166" s="685"/>
      <c r="J166" s="724"/>
      <c r="K166" s="851"/>
      <c r="L166" s="724"/>
      <c r="M166" s="724"/>
      <c r="N166" s="724"/>
      <c r="O166" s="593"/>
      <c r="P166" s="593"/>
      <c r="Q166" s="595"/>
      <c r="R166" s="595"/>
      <c r="S166" s="599"/>
      <c r="T166" s="599"/>
      <c r="U166" s="599"/>
      <c r="V166" s="599"/>
      <c r="W166" s="599"/>
      <c r="X166" s="599"/>
      <c r="Y166" s="599"/>
      <c r="Z166" s="599"/>
    </row>
    <row r="167" spans="1:26" ht="15.75" customHeight="1">
      <c r="A167" s="595"/>
      <c r="B167" s="595"/>
      <c r="C167" s="595"/>
      <c r="D167" s="595"/>
      <c r="E167" s="786"/>
      <c r="F167" s="1528" t="s">
        <v>260</v>
      </c>
      <c r="G167" s="1520"/>
      <c r="H167" s="1520"/>
      <c r="I167" s="1520"/>
      <c r="J167" s="1520"/>
      <c r="K167" s="1520"/>
      <c r="L167" s="1520"/>
      <c r="M167" s="1522"/>
      <c r="N167" s="597"/>
      <c r="O167" s="595"/>
      <c r="P167" s="595"/>
      <c r="Q167" s="595"/>
      <c r="R167" s="595"/>
      <c r="S167" s="599"/>
      <c r="T167" s="599"/>
      <c r="U167" s="599"/>
      <c r="V167" s="599"/>
      <c r="W167" s="599"/>
      <c r="X167" s="599"/>
      <c r="Y167" s="599"/>
      <c r="Z167" s="599"/>
    </row>
    <row r="168" spans="1:26" ht="15.75" customHeight="1">
      <c r="A168" s="595"/>
      <c r="B168" s="595"/>
      <c r="C168" s="852"/>
      <c r="D168" s="595"/>
      <c r="E168" s="595"/>
      <c r="F168" s="595"/>
      <c r="G168" s="597"/>
      <c r="H168" s="597"/>
      <c r="I168" s="597"/>
      <c r="J168" s="597"/>
      <c r="K168" s="597"/>
      <c r="L168" s="597"/>
      <c r="M168" s="597"/>
      <c r="N168" s="597"/>
      <c r="O168" s="597"/>
      <c r="P168" s="595"/>
      <c r="Q168" s="595"/>
      <c r="R168" s="595"/>
      <c r="S168" s="599"/>
      <c r="T168" s="599"/>
      <c r="U168" s="599"/>
      <c r="V168" s="599"/>
      <c r="W168" s="599"/>
      <c r="X168" s="599"/>
      <c r="Y168" s="599"/>
      <c r="Z168" s="599"/>
    </row>
    <row r="169" spans="1:26" ht="15.75" customHeight="1">
      <c r="A169" s="595"/>
      <c r="B169" s="595"/>
      <c r="C169" s="595"/>
      <c r="D169" s="1529" t="s">
        <v>267</v>
      </c>
      <c r="E169" s="730" t="s">
        <v>225</v>
      </c>
      <c r="F169" s="731" t="s">
        <v>226</v>
      </c>
      <c r="G169" s="731" t="s">
        <v>227</v>
      </c>
      <c r="H169" s="731" t="s">
        <v>156</v>
      </c>
      <c r="I169" s="731" t="s">
        <v>163</v>
      </c>
      <c r="J169" s="731" t="s">
        <v>161</v>
      </c>
      <c r="K169" s="731" t="s">
        <v>157</v>
      </c>
      <c r="L169" s="731" t="s">
        <v>251</v>
      </c>
      <c r="M169" s="731" t="s">
        <v>155</v>
      </c>
      <c r="N169" s="733" t="s">
        <v>162</v>
      </c>
      <c r="O169" s="595"/>
      <c r="P169" s="595"/>
      <c r="Q169" s="595"/>
      <c r="R169" s="595"/>
      <c r="S169" s="599"/>
      <c r="T169" s="599"/>
      <c r="U169" s="599"/>
      <c r="V169" s="599"/>
      <c r="W169" s="599"/>
      <c r="X169" s="599"/>
      <c r="Y169" s="599"/>
      <c r="Z169" s="599"/>
    </row>
    <row r="170" spans="1:26" ht="15.75" customHeight="1">
      <c r="A170" s="595"/>
      <c r="B170" s="595"/>
      <c r="C170" s="595"/>
      <c r="D170" s="1516"/>
      <c r="E170" s="608" t="s">
        <v>262</v>
      </c>
      <c r="F170" s="609" t="s">
        <v>262</v>
      </c>
      <c r="G170" s="609" t="s">
        <v>262</v>
      </c>
      <c r="H170" s="609" t="s">
        <v>262</v>
      </c>
      <c r="I170" s="609" t="s">
        <v>262</v>
      </c>
      <c r="J170" s="609" t="s">
        <v>262</v>
      </c>
      <c r="K170" s="609" t="s">
        <v>262</v>
      </c>
      <c r="L170" s="609" t="s">
        <v>262</v>
      </c>
      <c r="M170" s="609" t="s">
        <v>262</v>
      </c>
      <c r="N170" s="757" t="s">
        <v>262</v>
      </c>
      <c r="O170" s="595"/>
      <c r="P170" s="595"/>
      <c r="Q170" s="595"/>
      <c r="R170" s="595"/>
      <c r="S170" s="599"/>
      <c r="T170" s="599"/>
      <c r="U170" s="599"/>
      <c r="V170" s="599"/>
      <c r="W170" s="599"/>
      <c r="X170" s="599"/>
      <c r="Y170" s="599"/>
      <c r="Z170" s="599"/>
    </row>
    <row r="171" spans="1:26" ht="15.75" customHeight="1">
      <c r="A171" s="595"/>
      <c r="B171" s="595"/>
      <c r="C171" s="595"/>
      <c r="D171" s="692">
        <v>1992</v>
      </c>
      <c r="E171" s="853">
        <v>59.837196856603668</v>
      </c>
      <c r="F171" s="854">
        <v>98.708472654034921</v>
      </c>
      <c r="G171" s="854">
        <v>92.212126831077327</v>
      </c>
      <c r="H171" s="854">
        <v>97.83220905101841</v>
      </c>
      <c r="I171" s="854">
        <v>98.788483466362592</v>
      </c>
      <c r="J171" s="854">
        <v>96.097560975609753</v>
      </c>
      <c r="K171" s="854">
        <v>97.467861316712117</v>
      </c>
      <c r="L171" s="854">
        <v>98.898678414096921</v>
      </c>
      <c r="M171" s="855" t="s">
        <v>160</v>
      </c>
      <c r="N171" s="856" t="s">
        <v>160</v>
      </c>
      <c r="O171" s="595"/>
      <c r="P171" s="595"/>
      <c r="Q171" s="595"/>
      <c r="R171" s="595"/>
      <c r="S171" s="599"/>
      <c r="T171" s="599"/>
      <c r="U171" s="599"/>
      <c r="V171" s="599"/>
      <c r="W171" s="599"/>
      <c r="X171" s="599"/>
      <c r="Y171" s="599"/>
      <c r="Z171" s="599"/>
    </row>
    <row r="172" spans="1:26" ht="15.75" customHeight="1">
      <c r="A172" s="595"/>
      <c r="B172" s="595"/>
      <c r="C172" s="595"/>
      <c r="D172" s="699">
        <v>1993</v>
      </c>
      <c r="E172" s="857">
        <v>54.463625956682705</v>
      </c>
      <c r="F172" s="824">
        <v>98.129475376296952</v>
      </c>
      <c r="G172" s="824">
        <v>86.853369763205819</v>
      </c>
      <c r="H172" s="824">
        <v>97.975632614807878</v>
      </c>
      <c r="I172" s="824">
        <v>99.017645988721128</v>
      </c>
      <c r="J172" s="824">
        <v>95.27272727272728</v>
      </c>
      <c r="K172" s="824">
        <v>97.545626179987408</v>
      </c>
      <c r="L172" s="824">
        <v>98.317399617590823</v>
      </c>
      <c r="M172" s="858" t="s">
        <v>160</v>
      </c>
      <c r="N172" s="859" t="s">
        <v>160</v>
      </c>
      <c r="O172" s="595"/>
      <c r="P172" s="595"/>
      <c r="Q172" s="595"/>
      <c r="R172" s="595"/>
      <c r="S172" s="599"/>
      <c r="T172" s="599"/>
      <c r="U172" s="599"/>
      <c r="V172" s="599"/>
      <c r="W172" s="599"/>
      <c r="X172" s="599"/>
      <c r="Y172" s="599"/>
      <c r="Z172" s="599"/>
    </row>
    <row r="173" spans="1:26" ht="15.75" customHeight="1">
      <c r="A173" s="595"/>
      <c r="B173" s="595"/>
      <c r="C173" s="595"/>
      <c r="D173" s="699">
        <v>1994</v>
      </c>
      <c r="E173" s="857">
        <v>50.897561409754367</v>
      </c>
      <c r="F173" s="824">
        <v>97.812159613965633</v>
      </c>
      <c r="G173" s="824">
        <v>86.503094803402064</v>
      </c>
      <c r="H173" s="824">
        <v>96.55704503809433</v>
      </c>
      <c r="I173" s="824">
        <v>97.821397756686807</v>
      </c>
      <c r="J173" s="824">
        <v>95.411392405063282</v>
      </c>
      <c r="K173" s="824">
        <v>98.151125401929264</v>
      </c>
      <c r="L173" s="824">
        <v>97.920338385618606</v>
      </c>
      <c r="M173" s="858" t="s">
        <v>160</v>
      </c>
      <c r="N173" s="859" t="s">
        <v>160</v>
      </c>
      <c r="O173" s="595"/>
      <c r="P173" s="595"/>
      <c r="Q173" s="595"/>
      <c r="R173" s="595"/>
      <c r="S173" s="599"/>
      <c r="T173" s="599"/>
      <c r="U173" s="599"/>
      <c r="V173" s="599"/>
      <c r="W173" s="599"/>
      <c r="X173" s="599"/>
      <c r="Y173" s="599"/>
      <c r="Z173" s="599"/>
    </row>
    <row r="174" spans="1:26" ht="15.75" customHeight="1">
      <c r="A174" s="595"/>
      <c r="B174" s="595"/>
      <c r="C174" s="595"/>
      <c r="D174" s="699">
        <v>1995</v>
      </c>
      <c r="E174" s="857">
        <v>65.91909811427864</v>
      </c>
      <c r="F174" s="824">
        <v>98.391744341964227</v>
      </c>
      <c r="G174" s="824">
        <v>94.459859415464294</v>
      </c>
      <c r="H174" s="824">
        <v>99.016418249224486</v>
      </c>
      <c r="I174" s="824">
        <v>98.738267425757812</v>
      </c>
      <c r="J174" s="824">
        <v>95.305466237942127</v>
      </c>
      <c r="K174" s="824">
        <v>98.742554599602911</v>
      </c>
      <c r="L174" s="824">
        <v>99.075907590759073</v>
      </c>
      <c r="M174" s="858" t="s">
        <v>160</v>
      </c>
      <c r="N174" s="859" t="s">
        <v>160</v>
      </c>
      <c r="O174" s="595"/>
      <c r="P174" s="595"/>
      <c r="Q174" s="595"/>
      <c r="R174" s="595"/>
      <c r="S174" s="599"/>
      <c r="T174" s="599"/>
      <c r="U174" s="599"/>
      <c r="V174" s="599"/>
      <c r="W174" s="599"/>
      <c r="X174" s="599"/>
      <c r="Y174" s="599"/>
      <c r="Z174" s="599"/>
    </row>
    <row r="175" spans="1:26" ht="15.75" customHeight="1">
      <c r="A175" s="595"/>
      <c r="B175" s="595"/>
      <c r="C175" s="595"/>
      <c r="D175" s="699">
        <v>1996</v>
      </c>
      <c r="E175" s="857">
        <v>50.895704759143435</v>
      </c>
      <c r="F175" s="824">
        <v>97.433952724055118</v>
      </c>
      <c r="G175" s="824">
        <v>87.456755493221124</v>
      </c>
      <c r="H175" s="824">
        <v>98.15208721084818</v>
      </c>
      <c r="I175" s="824">
        <v>98.185576481396424</v>
      </c>
      <c r="J175" s="824">
        <v>94.0625</v>
      </c>
      <c r="K175" s="824">
        <v>98.249027237354085</v>
      </c>
      <c r="L175" s="824">
        <v>98.731068358575527</v>
      </c>
      <c r="M175" s="858" t="s">
        <v>160</v>
      </c>
      <c r="N175" s="859" t="s">
        <v>160</v>
      </c>
      <c r="O175" s="595"/>
      <c r="P175" s="595"/>
      <c r="Q175" s="595"/>
      <c r="R175" s="595"/>
      <c r="S175" s="599"/>
      <c r="T175" s="599"/>
      <c r="U175" s="599"/>
      <c r="V175" s="599"/>
      <c r="W175" s="599"/>
      <c r="X175" s="599"/>
      <c r="Y175" s="599"/>
      <c r="Z175" s="599"/>
    </row>
    <row r="176" spans="1:26" ht="15.75" customHeight="1">
      <c r="A176" s="595"/>
      <c r="B176" s="595"/>
      <c r="C176" s="595"/>
      <c r="D176" s="699">
        <v>1997</v>
      </c>
      <c r="E176" s="857">
        <v>57.91894012664465</v>
      </c>
      <c r="F176" s="824">
        <v>98.016905902747595</v>
      </c>
      <c r="G176" s="824">
        <v>90.152117949918093</v>
      </c>
      <c r="H176" s="824">
        <v>96.553421959625794</v>
      </c>
      <c r="I176" s="824">
        <v>96.356211716664049</v>
      </c>
      <c r="J176" s="824">
        <v>92.371265098537819</v>
      </c>
      <c r="K176" s="824">
        <v>96.561604584527217</v>
      </c>
      <c r="L176" s="824">
        <v>97.175141242937855</v>
      </c>
      <c r="M176" s="858" t="s">
        <v>160</v>
      </c>
      <c r="N176" s="859" t="s">
        <v>160</v>
      </c>
      <c r="O176" s="595"/>
      <c r="P176" s="595"/>
      <c r="Q176" s="595"/>
      <c r="R176" s="595"/>
      <c r="S176" s="599"/>
      <c r="T176" s="599"/>
      <c r="U176" s="599"/>
      <c r="V176" s="599"/>
      <c r="W176" s="599"/>
      <c r="X176" s="599"/>
      <c r="Y176" s="599"/>
      <c r="Z176" s="599"/>
    </row>
    <row r="177" spans="1:26" ht="15.75" customHeight="1">
      <c r="A177" s="595"/>
      <c r="B177" s="595"/>
      <c r="C177" s="595"/>
      <c r="D177" s="699">
        <v>1998</v>
      </c>
      <c r="E177" s="857">
        <v>65.191246829982489</v>
      </c>
      <c r="F177" s="824">
        <v>97.597817083272432</v>
      </c>
      <c r="G177" s="824">
        <v>95.077413479052822</v>
      </c>
      <c r="H177" s="824">
        <v>97.17687794809035</v>
      </c>
      <c r="I177" s="824">
        <v>98.222788581190756</v>
      </c>
      <c r="J177" s="824">
        <v>93.270176351671026</v>
      </c>
      <c r="K177" s="824">
        <v>94.807929548982699</v>
      </c>
      <c r="L177" s="824">
        <v>94.651921461278505</v>
      </c>
      <c r="M177" s="824">
        <v>88.336623293472215</v>
      </c>
      <c r="N177" s="820">
        <v>77.177764962592519</v>
      </c>
      <c r="O177" s="595"/>
      <c r="P177" s="595"/>
      <c r="Q177" s="595"/>
      <c r="R177" s="595"/>
      <c r="S177" s="599"/>
      <c r="T177" s="599"/>
      <c r="U177" s="599"/>
      <c r="V177" s="599"/>
      <c r="W177" s="599"/>
      <c r="X177" s="599"/>
      <c r="Y177" s="599"/>
      <c r="Z177" s="599"/>
    </row>
    <row r="178" spans="1:26" ht="15.75" customHeight="1">
      <c r="A178" s="595"/>
      <c r="B178" s="595"/>
      <c r="C178" s="595"/>
      <c r="D178" s="699">
        <v>1999</v>
      </c>
      <c r="E178" s="857">
        <v>73.082927419598832</v>
      </c>
      <c r="F178" s="824">
        <v>97.245051995974507</v>
      </c>
      <c r="G178" s="824">
        <v>95.69224174882126</v>
      </c>
      <c r="H178" s="824">
        <v>98.132461676010664</v>
      </c>
      <c r="I178" s="824">
        <v>98.256994428406529</v>
      </c>
      <c r="J178" s="824">
        <v>94.881007571464977</v>
      </c>
      <c r="K178" s="824">
        <v>98.228645801369325</v>
      </c>
      <c r="L178" s="824">
        <v>97.783069121123305</v>
      </c>
      <c r="M178" s="824">
        <v>87.578687525953598</v>
      </c>
      <c r="N178" s="820">
        <v>82.335968326185409</v>
      </c>
      <c r="O178" s="595"/>
      <c r="P178" s="595"/>
      <c r="Q178" s="595"/>
      <c r="R178" s="595"/>
      <c r="S178" s="599"/>
      <c r="T178" s="599"/>
      <c r="U178" s="599"/>
      <c r="V178" s="599"/>
      <c r="W178" s="599"/>
      <c r="X178" s="599"/>
      <c r="Y178" s="599"/>
      <c r="Z178" s="599"/>
    </row>
    <row r="179" spans="1:26" ht="15.75" customHeight="1">
      <c r="A179" s="595"/>
      <c r="B179" s="595"/>
      <c r="C179" s="595"/>
      <c r="D179" s="699">
        <v>2000</v>
      </c>
      <c r="E179" s="857">
        <v>65.438535975410701</v>
      </c>
      <c r="F179" s="824">
        <v>98.063257885702683</v>
      </c>
      <c r="G179" s="824">
        <v>98.495776478232628</v>
      </c>
      <c r="H179" s="824">
        <v>95.763897373160006</v>
      </c>
      <c r="I179" s="824">
        <v>97.602729648569934</v>
      </c>
      <c r="J179" s="824">
        <v>93.474801097154185</v>
      </c>
      <c r="K179" s="824">
        <v>97.715069888106058</v>
      </c>
      <c r="L179" s="824">
        <v>93.570175677609797</v>
      </c>
      <c r="M179" s="824">
        <v>83.348879099549364</v>
      </c>
      <c r="N179" s="820">
        <v>78.307290745791676</v>
      </c>
      <c r="O179" s="595"/>
      <c r="P179" s="595"/>
      <c r="Q179" s="595"/>
      <c r="R179" s="595"/>
      <c r="S179" s="599"/>
      <c r="T179" s="599"/>
      <c r="U179" s="599"/>
      <c r="V179" s="599"/>
      <c r="W179" s="599"/>
      <c r="X179" s="599"/>
      <c r="Y179" s="599"/>
      <c r="Z179" s="599"/>
    </row>
    <row r="180" spans="1:26" ht="15.75" customHeight="1">
      <c r="A180" s="595"/>
      <c r="B180" s="595"/>
      <c r="C180" s="595"/>
      <c r="D180" s="699">
        <v>2001</v>
      </c>
      <c r="E180" s="857">
        <v>72.733917530553086</v>
      </c>
      <c r="F180" s="824">
        <v>98.430777475695422</v>
      </c>
      <c r="G180" s="824">
        <v>97.918087282645757</v>
      </c>
      <c r="H180" s="824">
        <v>95.956126744959008</v>
      </c>
      <c r="I180" s="824">
        <v>97.494422515874376</v>
      </c>
      <c r="J180" s="824">
        <v>91.737622201198363</v>
      </c>
      <c r="K180" s="824">
        <v>95.787878787878782</v>
      </c>
      <c r="L180" s="824">
        <v>97.023809523809518</v>
      </c>
      <c r="M180" s="824">
        <v>77.723311546840961</v>
      </c>
      <c r="N180" s="820">
        <v>89.662921348314612</v>
      </c>
      <c r="O180" s="595"/>
      <c r="P180" s="595"/>
      <c r="Q180" s="595"/>
      <c r="R180" s="595"/>
      <c r="S180" s="599"/>
      <c r="T180" s="599"/>
      <c r="U180" s="599"/>
      <c r="V180" s="599"/>
      <c r="W180" s="599"/>
      <c r="X180" s="599"/>
      <c r="Y180" s="599"/>
      <c r="Z180" s="599"/>
    </row>
    <row r="181" spans="1:26" ht="15.75" customHeight="1">
      <c r="A181" s="595"/>
      <c r="B181" s="595"/>
      <c r="C181" s="595"/>
      <c r="D181" s="699">
        <v>2002</v>
      </c>
      <c r="E181" s="857">
        <v>71.181736891436202</v>
      </c>
      <c r="F181" s="824">
        <v>98.130671582037763</v>
      </c>
      <c r="G181" s="824">
        <v>96.767490973499562</v>
      </c>
      <c r="H181" s="824">
        <v>96.814087508241329</v>
      </c>
      <c r="I181" s="824">
        <v>94.81843800930065</v>
      </c>
      <c r="J181" s="824">
        <v>93.471981609728743</v>
      </c>
      <c r="K181" s="824">
        <v>95.848120910991653</v>
      </c>
      <c r="L181" s="824">
        <v>97.61342541541444</v>
      </c>
      <c r="M181" s="824">
        <v>87.968161867719402</v>
      </c>
      <c r="N181" s="820">
        <v>78.754598566223734</v>
      </c>
      <c r="O181" s="595"/>
      <c r="P181" s="595"/>
      <c r="Q181" s="595"/>
      <c r="R181" s="595"/>
      <c r="S181" s="599"/>
      <c r="T181" s="599"/>
      <c r="U181" s="599"/>
      <c r="V181" s="599"/>
      <c r="W181" s="599"/>
      <c r="X181" s="599"/>
      <c r="Y181" s="599"/>
      <c r="Z181" s="599"/>
    </row>
    <row r="182" spans="1:26" ht="15.75" customHeight="1">
      <c r="A182" s="595"/>
      <c r="B182" s="595"/>
      <c r="C182" s="595"/>
      <c r="D182" s="699">
        <v>2003</v>
      </c>
      <c r="E182" s="857">
        <v>88.926557917250463</v>
      </c>
      <c r="F182" s="824">
        <v>97.214851563692378</v>
      </c>
      <c r="G182" s="824">
        <v>94.974609263688663</v>
      </c>
      <c r="H182" s="824">
        <v>97.382570874377421</v>
      </c>
      <c r="I182" s="824">
        <v>97.395507232789186</v>
      </c>
      <c r="J182" s="824">
        <v>93.570424861911818</v>
      </c>
      <c r="K182" s="824">
        <v>96.795125691548037</v>
      </c>
      <c r="L182" s="824">
        <v>97.628488416488835</v>
      </c>
      <c r="M182" s="824">
        <v>85.080901020782292</v>
      </c>
      <c r="N182" s="820">
        <v>86.797963166128085</v>
      </c>
      <c r="O182" s="595"/>
      <c r="P182" s="595"/>
      <c r="Q182" s="595"/>
      <c r="R182" s="595"/>
      <c r="S182" s="599"/>
      <c r="T182" s="599"/>
      <c r="U182" s="599"/>
      <c r="V182" s="599"/>
      <c r="W182" s="599"/>
      <c r="X182" s="599"/>
      <c r="Y182" s="599"/>
      <c r="Z182" s="599"/>
    </row>
    <row r="183" spans="1:26" ht="15.75" customHeight="1">
      <c r="A183" s="595"/>
      <c r="B183" s="595"/>
      <c r="C183" s="595"/>
      <c r="D183" s="699">
        <v>2004</v>
      </c>
      <c r="E183" s="857">
        <v>59.892737098512214</v>
      </c>
      <c r="F183" s="824">
        <v>97.025923059528367</v>
      </c>
      <c r="G183" s="824">
        <v>95.525481344601005</v>
      </c>
      <c r="H183" s="824">
        <v>93.794189988140104</v>
      </c>
      <c r="I183" s="824">
        <v>98.19983588266706</v>
      </c>
      <c r="J183" s="824">
        <v>89.381390519301462</v>
      </c>
      <c r="K183" s="824">
        <v>95.797086924467749</v>
      </c>
      <c r="L183" s="824">
        <v>94.488801849345364</v>
      </c>
      <c r="M183" s="824">
        <v>90.388557460720122</v>
      </c>
      <c r="N183" s="859"/>
      <c r="O183" s="595"/>
      <c r="P183" s="595"/>
      <c r="Q183" s="595"/>
      <c r="R183" s="595"/>
      <c r="S183" s="599"/>
      <c r="T183" s="599"/>
      <c r="U183" s="599"/>
      <c r="V183" s="599"/>
      <c r="W183" s="599"/>
      <c r="X183" s="599"/>
      <c r="Y183" s="599"/>
      <c r="Z183" s="599"/>
    </row>
    <row r="184" spans="1:26" ht="15.75" customHeight="1">
      <c r="A184" s="595"/>
      <c r="B184" s="595"/>
      <c r="C184" s="595"/>
      <c r="D184" s="699">
        <v>2005</v>
      </c>
      <c r="E184" s="857">
        <v>59.6</v>
      </c>
      <c r="F184" s="824">
        <v>97.9</v>
      </c>
      <c r="G184" s="824">
        <v>98.2</v>
      </c>
      <c r="H184" s="824">
        <v>96.7</v>
      </c>
      <c r="I184" s="824">
        <v>98.9</v>
      </c>
      <c r="J184" s="824">
        <v>92.3</v>
      </c>
      <c r="K184" s="824">
        <v>98.6</v>
      </c>
      <c r="L184" s="824">
        <v>87.9</v>
      </c>
      <c r="M184" s="824">
        <v>92.2</v>
      </c>
      <c r="N184" s="859"/>
      <c r="O184" s="595"/>
      <c r="P184" s="595"/>
      <c r="Q184" s="595"/>
      <c r="R184" s="595"/>
      <c r="S184" s="599"/>
      <c r="T184" s="599"/>
      <c r="U184" s="599"/>
      <c r="V184" s="599"/>
      <c r="W184" s="599"/>
      <c r="X184" s="599"/>
      <c r="Y184" s="599"/>
      <c r="Z184" s="599"/>
    </row>
    <row r="185" spans="1:26" ht="15.75" customHeight="1">
      <c r="A185" s="595"/>
      <c r="B185" s="595"/>
      <c r="C185" s="595"/>
      <c r="D185" s="699">
        <v>2006</v>
      </c>
      <c r="E185" s="883">
        <v>55.7</v>
      </c>
      <c r="F185" s="824">
        <v>97.2</v>
      </c>
      <c r="G185" s="824">
        <v>97.8</v>
      </c>
      <c r="H185" s="824">
        <v>93.9</v>
      </c>
      <c r="I185" s="824">
        <v>98.8</v>
      </c>
      <c r="J185" s="824">
        <v>91.6</v>
      </c>
      <c r="K185" s="824">
        <v>97.7</v>
      </c>
      <c r="L185" s="824">
        <v>71.400000000000006</v>
      </c>
      <c r="M185" s="824">
        <v>86.6</v>
      </c>
      <c r="N185" s="859"/>
      <c r="O185" s="595"/>
      <c r="P185" s="595"/>
      <c r="Q185" s="595"/>
      <c r="R185" s="595"/>
      <c r="S185" s="599"/>
      <c r="T185" s="599"/>
      <c r="U185" s="599"/>
      <c r="V185" s="599"/>
      <c r="W185" s="599"/>
      <c r="X185" s="599"/>
      <c r="Y185" s="599"/>
      <c r="Z185" s="599"/>
    </row>
    <row r="186" spans="1:26" ht="15.75" customHeight="1">
      <c r="A186" s="595"/>
      <c r="B186" s="595"/>
      <c r="C186" s="595"/>
      <c r="D186" s="699">
        <v>2007</v>
      </c>
      <c r="E186" s="883">
        <v>55.888352618187888</v>
      </c>
      <c r="F186" s="824">
        <v>96.420766653771679</v>
      </c>
      <c r="G186" s="824">
        <v>98.702083163653128</v>
      </c>
      <c r="H186" s="824">
        <v>96.126369693980095</v>
      </c>
      <c r="I186" s="824">
        <v>98.791738561196695</v>
      </c>
      <c r="J186" s="824">
        <v>90.134604245415872</v>
      </c>
      <c r="K186" s="824">
        <v>97.825727163385523</v>
      </c>
      <c r="L186" s="824">
        <v>72.273921242428003</v>
      </c>
      <c r="M186" s="824">
        <v>88.242220399279574</v>
      </c>
      <c r="N186" s="859"/>
      <c r="O186" s="595"/>
      <c r="P186" s="595"/>
      <c r="Q186" s="595"/>
      <c r="R186" s="595"/>
      <c r="S186" s="599"/>
      <c r="T186" s="599"/>
      <c r="U186" s="599"/>
      <c r="V186" s="599"/>
      <c r="W186" s="599"/>
      <c r="X186" s="599"/>
      <c r="Y186" s="599"/>
      <c r="Z186" s="599"/>
    </row>
    <row r="187" spans="1:26" ht="15.75" customHeight="1">
      <c r="A187" s="595"/>
      <c r="B187" s="595"/>
      <c r="C187" s="595"/>
      <c r="D187" s="699">
        <v>2008</v>
      </c>
      <c r="E187" s="883">
        <v>58.535483759398673</v>
      </c>
      <c r="F187" s="824">
        <v>97.288153202433222</v>
      </c>
      <c r="G187" s="824">
        <v>97.239739255245112</v>
      </c>
      <c r="H187" s="824">
        <v>98.825165213871998</v>
      </c>
      <c r="I187" s="824">
        <v>99.135962299201481</v>
      </c>
      <c r="J187" s="824">
        <v>89.777741952766277</v>
      </c>
      <c r="K187" s="824">
        <v>97.641202084973472</v>
      </c>
      <c r="L187" s="824">
        <v>94.412906361305289</v>
      </c>
      <c r="M187" s="824">
        <v>95.379556252232007</v>
      </c>
      <c r="N187" s="859"/>
      <c r="O187" s="595"/>
      <c r="P187" s="595"/>
      <c r="Q187" s="595"/>
      <c r="R187" s="595"/>
      <c r="S187" s="599"/>
      <c r="T187" s="599"/>
      <c r="U187" s="599"/>
      <c r="V187" s="599"/>
      <c r="W187" s="599"/>
      <c r="X187" s="599"/>
      <c r="Y187" s="599"/>
      <c r="Z187" s="599"/>
    </row>
    <row r="188" spans="1:26" ht="15.75" customHeight="1">
      <c r="A188" s="595"/>
      <c r="B188" s="595"/>
      <c r="C188" s="595"/>
      <c r="D188" s="699">
        <v>2009</v>
      </c>
      <c r="E188" s="883">
        <v>53.313986016270562</v>
      </c>
      <c r="F188" s="824">
        <v>97.96556075659467</v>
      </c>
      <c r="G188" s="824">
        <v>98.524438841825827</v>
      </c>
      <c r="H188" s="824">
        <v>99.745415267903738</v>
      </c>
      <c r="I188" s="824">
        <v>99.809905089315478</v>
      </c>
      <c r="J188" s="824">
        <v>95.189928300671127</v>
      </c>
      <c r="K188" s="824">
        <v>98.464950709384908</v>
      </c>
      <c r="L188" s="824">
        <v>96.202511035276828</v>
      </c>
      <c r="M188" s="824">
        <v>98.545445832213701</v>
      </c>
      <c r="N188" s="820">
        <v>65.288169338060754</v>
      </c>
      <c r="O188" s="595"/>
      <c r="P188" s="595"/>
      <c r="Q188" s="595"/>
      <c r="R188" s="595"/>
      <c r="S188" s="599"/>
      <c r="T188" s="599"/>
      <c r="U188" s="599"/>
      <c r="V188" s="599"/>
      <c r="W188" s="599"/>
      <c r="X188" s="599"/>
      <c r="Y188" s="599"/>
      <c r="Z188" s="599"/>
    </row>
    <row r="189" spans="1:26" ht="15.75" customHeight="1">
      <c r="A189" s="595"/>
      <c r="B189" s="595"/>
      <c r="C189" s="595"/>
      <c r="D189" s="706">
        <v>2010</v>
      </c>
      <c r="E189" s="893">
        <v>54.765814796701804</v>
      </c>
      <c r="F189" s="832">
        <v>97.934161769024058</v>
      </c>
      <c r="G189" s="832">
        <v>99.127679877630598</v>
      </c>
      <c r="H189" s="832">
        <v>99.766980278440727</v>
      </c>
      <c r="I189" s="832">
        <v>99.789172015984079</v>
      </c>
      <c r="J189" s="832">
        <v>95.312479174164281</v>
      </c>
      <c r="K189" s="832">
        <v>99.34858915467008</v>
      </c>
      <c r="L189" s="832">
        <v>84.685008277410844</v>
      </c>
      <c r="M189" s="832">
        <v>99.313823827232213</v>
      </c>
      <c r="N189" s="828">
        <v>97.089256975121032</v>
      </c>
      <c r="O189" s="595"/>
      <c r="P189" s="595"/>
      <c r="Q189" s="595"/>
      <c r="R189" s="595"/>
      <c r="S189" s="599"/>
      <c r="T189" s="599"/>
      <c r="U189" s="599"/>
      <c r="V189" s="599"/>
      <c r="W189" s="599"/>
      <c r="X189" s="599"/>
      <c r="Y189" s="599"/>
      <c r="Z189" s="599"/>
    </row>
    <row r="190" spans="1:26" ht="15.75" customHeight="1">
      <c r="A190" s="595"/>
      <c r="B190" s="595"/>
      <c r="C190" s="595"/>
      <c r="D190" s="699">
        <v>2011</v>
      </c>
      <c r="E190" s="883">
        <v>63.774671008478322</v>
      </c>
      <c r="F190" s="824">
        <v>98.74788241306247</v>
      </c>
      <c r="G190" s="824">
        <v>98.686799922742836</v>
      </c>
      <c r="H190" s="824">
        <v>99.843417334268409</v>
      </c>
      <c r="I190" s="824">
        <v>99.811326548139334</v>
      </c>
      <c r="J190" s="824">
        <v>96.079576675580185</v>
      </c>
      <c r="K190" s="824">
        <v>99.366522262834479</v>
      </c>
      <c r="L190" s="824">
        <v>99.238790553254333</v>
      </c>
      <c r="M190" s="824">
        <v>99.538286272891654</v>
      </c>
      <c r="N190" s="820">
        <v>99.495023700663438</v>
      </c>
      <c r="O190" s="595"/>
      <c r="P190" s="595"/>
      <c r="Q190" s="595"/>
      <c r="R190" s="595"/>
      <c r="S190" s="599"/>
      <c r="T190" s="599"/>
      <c r="U190" s="599"/>
      <c r="V190" s="599"/>
      <c r="W190" s="599"/>
      <c r="X190" s="599"/>
      <c r="Y190" s="599"/>
      <c r="Z190" s="599"/>
    </row>
    <row r="191" spans="1:26" ht="15.75" customHeight="1">
      <c r="A191" s="595"/>
      <c r="B191" s="595"/>
      <c r="C191" s="595"/>
      <c r="D191" s="706">
        <v>2012</v>
      </c>
      <c r="E191" s="897">
        <v>64.704202832025501</v>
      </c>
      <c r="F191" s="842">
        <v>98.56174480973219</v>
      </c>
      <c r="G191" s="842">
        <v>99.148270827131725</v>
      </c>
      <c r="H191" s="842">
        <v>99.755481130113552</v>
      </c>
      <c r="I191" s="842">
        <v>99.867571780128401</v>
      </c>
      <c r="J191" s="842">
        <v>94.272923146355126</v>
      </c>
      <c r="K191" s="842">
        <v>99.150477936574248</v>
      </c>
      <c r="L191" s="842">
        <v>99.956765096412582</v>
      </c>
      <c r="M191" s="842">
        <v>99.375217444985225</v>
      </c>
      <c r="N191" s="838">
        <v>100</v>
      </c>
      <c r="O191" s="595"/>
      <c r="P191" s="595"/>
      <c r="Q191" s="595"/>
      <c r="R191" s="595"/>
      <c r="S191" s="599"/>
      <c r="T191" s="599"/>
      <c r="U191" s="599"/>
      <c r="V191" s="599"/>
      <c r="W191" s="599"/>
      <c r="X191" s="599"/>
      <c r="Y191" s="599"/>
      <c r="Z191" s="599"/>
    </row>
    <row r="192" spans="1:26" ht="15.75" customHeight="1">
      <c r="A192" s="595"/>
      <c r="B192" s="595"/>
      <c r="C192" s="595"/>
      <c r="D192" s="706">
        <v>2013</v>
      </c>
      <c r="E192" s="897">
        <v>61.639004528768851</v>
      </c>
      <c r="F192" s="842">
        <v>97.837996822530926</v>
      </c>
      <c r="G192" s="842">
        <v>98.914016579255446</v>
      </c>
      <c r="H192" s="842">
        <v>99.583387474456302</v>
      </c>
      <c r="I192" s="842">
        <v>99.864738121934707</v>
      </c>
      <c r="J192" s="842">
        <v>83.942737980969156</v>
      </c>
      <c r="K192" s="842">
        <v>97.50996936826472</v>
      </c>
      <c r="L192" s="842">
        <v>99.68204742579924</v>
      </c>
      <c r="M192" s="842">
        <v>98.909750871829544</v>
      </c>
      <c r="N192" s="838">
        <v>100</v>
      </c>
      <c r="O192" s="595"/>
      <c r="P192" s="595"/>
      <c r="Q192" s="595"/>
      <c r="R192" s="595"/>
      <c r="S192" s="599"/>
      <c r="T192" s="599"/>
      <c r="U192" s="599"/>
      <c r="V192" s="599"/>
      <c r="W192" s="599"/>
      <c r="X192" s="599"/>
      <c r="Y192" s="599"/>
      <c r="Z192" s="599"/>
    </row>
    <row r="193" spans="1:26" ht="15.75" customHeight="1">
      <c r="A193" s="595"/>
      <c r="B193" s="595"/>
      <c r="C193" s="595"/>
      <c r="D193" s="843">
        <v>2014</v>
      </c>
      <c r="E193" s="905">
        <f t="shared" ref="E193:N193" si="46">F130</f>
        <v>92.664753224151298</v>
      </c>
      <c r="F193" s="905" t="e">
        <f t="shared" si="46"/>
        <v>#VALUE!</v>
      </c>
      <c r="G193" s="905" t="e">
        <f t="shared" si="46"/>
        <v>#VALUE!</v>
      </c>
      <c r="H193" s="905">
        <f t="shared" si="46"/>
        <v>99.932856033975952</v>
      </c>
      <c r="I193" s="905">
        <f t="shared" si="46"/>
        <v>99.960736353851871</v>
      </c>
      <c r="J193" s="905">
        <f t="shared" si="46"/>
        <v>99.334819828870437</v>
      </c>
      <c r="K193" s="905">
        <f t="shared" si="46"/>
        <v>99.879067430000362</v>
      </c>
      <c r="L193" s="905" t="e">
        <f t="shared" si="46"/>
        <v>#VALUE!</v>
      </c>
      <c r="M193" s="905">
        <f t="shared" si="46"/>
        <v>99.320345299669981</v>
      </c>
      <c r="N193" s="905" t="e">
        <f t="shared" si="46"/>
        <v>#VALUE!</v>
      </c>
      <c r="O193" s="595"/>
      <c r="P193" s="595"/>
      <c r="Q193" s="595"/>
      <c r="R193" s="595"/>
      <c r="S193" s="599"/>
      <c r="T193" s="599"/>
      <c r="U193" s="599"/>
      <c r="V193" s="599"/>
      <c r="W193" s="599"/>
      <c r="X193" s="599"/>
      <c r="Y193" s="599"/>
      <c r="Z193" s="599"/>
    </row>
    <row r="194" spans="1:26" ht="15.75" customHeight="1">
      <c r="A194" s="595"/>
      <c r="B194" s="595"/>
      <c r="C194" s="595"/>
      <c r="D194" s="845" t="s">
        <v>263</v>
      </c>
      <c r="E194" s="800">
        <f t="shared" ref="E194:N194" si="47">IF(D165&gt;0,AVERAGE(E171:E193))</f>
        <v>63.346350246514525</v>
      </c>
      <c r="F194" s="800" t="e">
        <f t="shared" si="47"/>
        <v>#VALUE!</v>
      </c>
      <c r="G194" s="800" t="e">
        <f t="shared" si="47"/>
        <v>#VALUE!</v>
      </c>
      <c r="H194" s="800" t="e">
        <f t="shared" si="47"/>
        <v>#VALUE!</v>
      </c>
      <c r="I194" s="800" t="e">
        <f t="shared" si="47"/>
        <v>#VALUE!</v>
      </c>
      <c r="J194" s="800" t="e">
        <f t="shared" si="47"/>
        <v>#VALUE!</v>
      </c>
      <c r="K194" s="800">
        <f t="shared" si="47"/>
        <v>97.703659260154112</v>
      </c>
      <c r="L194" s="800" t="e">
        <f t="shared" si="47"/>
        <v>#VALUE!</v>
      </c>
      <c r="M194" s="800">
        <f t="shared" si="47"/>
        <v>91.63822164796305</v>
      </c>
      <c r="N194" s="911" t="e">
        <f t="shared" si="47"/>
        <v>#VALUE!</v>
      </c>
      <c r="O194" s="595"/>
      <c r="P194" s="595"/>
      <c r="Q194" s="595"/>
      <c r="R194" s="595"/>
      <c r="S194" s="599"/>
      <c r="T194" s="599"/>
      <c r="U194" s="599"/>
      <c r="V194" s="599"/>
      <c r="W194" s="599"/>
      <c r="X194" s="599"/>
      <c r="Y194" s="599"/>
      <c r="Z194" s="599"/>
    </row>
    <row r="195" spans="1:26" ht="15.75" customHeight="1">
      <c r="A195" s="595"/>
      <c r="B195" s="595"/>
      <c r="C195" s="595"/>
      <c r="D195" s="912"/>
      <c r="E195" s="914"/>
      <c r="F195" s="914"/>
      <c r="G195" s="914"/>
      <c r="H195" s="914"/>
      <c r="I195" s="914"/>
      <c r="J195" s="914"/>
      <c r="K195" s="914"/>
      <c r="L195" s="914"/>
      <c r="M195" s="914"/>
      <c r="N195" s="914"/>
      <c r="O195" s="595"/>
      <c r="P195" s="595"/>
      <c r="Q195" s="595"/>
      <c r="R195" s="595"/>
      <c r="S195" s="599"/>
      <c r="T195" s="599"/>
      <c r="U195" s="599"/>
      <c r="V195" s="599"/>
      <c r="W195" s="599"/>
      <c r="X195" s="599"/>
      <c r="Y195" s="599"/>
      <c r="Z195" s="599"/>
    </row>
    <row r="196" spans="1:26" ht="36.75" customHeight="1">
      <c r="A196" s="595"/>
      <c r="B196" s="595"/>
      <c r="C196" s="595"/>
      <c r="D196" s="595"/>
      <c r="E196" s="684"/>
      <c r="F196" s="593"/>
      <c r="G196" s="593"/>
      <c r="H196" s="593"/>
      <c r="I196" s="595"/>
      <c r="J196" s="595"/>
      <c r="K196" s="595"/>
      <c r="L196" s="595"/>
      <c r="M196" s="593"/>
      <c r="N196" s="593"/>
      <c r="O196" s="714"/>
      <c r="P196" s="595"/>
      <c r="Q196" s="595"/>
      <c r="R196" s="595"/>
      <c r="S196" s="599"/>
      <c r="T196" s="599"/>
      <c r="U196" s="599"/>
      <c r="V196" s="599"/>
      <c r="W196" s="599"/>
      <c r="X196" s="599"/>
      <c r="Y196" s="599"/>
      <c r="Z196" s="599"/>
    </row>
    <row r="197" spans="1:26" ht="15.75" customHeight="1">
      <c r="A197" s="601" t="s">
        <v>217</v>
      </c>
      <c r="B197" s="601"/>
      <c r="C197" s="728"/>
      <c r="D197" s="593"/>
      <c r="E197" s="1530" t="s">
        <v>265</v>
      </c>
      <c r="F197" s="1420"/>
      <c r="G197" s="1420"/>
      <c r="H197" s="1420"/>
      <c r="I197" s="1420"/>
      <c r="J197" s="1420"/>
      <c r="K197" s="1420"/>
      <c r="L197" s="1420"/>
      <c r="M197" s="1421"/>
      <c r="N197" s="593"/>
      <c r="O197" s="593"/>
      <c r="P197" s="726" t="str">
        <f>$P$1</f>
        <v>Année</v>
      </c>
      <c r="Q197" s="754">
        <f>$Q$1</f>
        <v>2019</v>
      </c>
      <c r="R197" s="595"/>
      <c r="S197" s="599"/>
      <c r="T197" s="599"/>
      <c r="U197" s="599"/>
      <c r="V197" s="599"/>
      <c r="W197" s="599"/>
      <c r="X197" s="599"/>
      <c r="Y197" s="599"/>
      <c r="Z197" s="599"/>
    </row>
    <row r="198" spans="1:26" ht="15.75" customHeight="1">
      <c r="A198" s="1531" t="s">
        <v>219</v>
      </c>
      <c r="B198" s="1532"/>
      <c r="C198" s="728"/>
      <c r="D198" s="595"/>
      <c r="E198" s="595"/>
      <c r="F198" s="595"/>
      <c r="G198" s="595"/>
      <c r="H198" s="595"/>
      <c r="I198" s="595"/>
      <c r="J198" s="595"/>
      <c r="K198" s="595"/>
      <c r="L198" s="595"/>
      <c r="M198" s="595"/>
      <c r="N198" s="593"/>
      <c r="O198" s="593"/>
      <c r="P198" s="595"/>
      <c r="Q198" s="595"/>
      <c r="R198" s="595"/>
      <c r="S198" s="599"/>
      <c r="T198" s="599"/>
      <c r="U198" s="599"/>
      <c r="V198" s="599"/>
      <c r="W198" s="599"/>
      <c r="X198" s="599"/>
      <c r="Y198" s="599"/>
      <c r="Z198" s="599"/>
    </row>
    <row r="199" spans="1:26" ht="15.75" customHeight="1">
      <c r="A199" s="595"/>
      <c r="B199" s="595"/>
      <c r="C199" s="595"/>
      <c r="D199" s="595"/>
      <c r="E199" s="1541" t="s">
        <v>271</v>
      </c>
      <c r="F199" s="1520"/>
      <c r="G199" s="1520"/>
      <c r="H199" s="1520"/>
      <c r="I199" s="1520"/>
      <c r="J199" s="1520"/>
      <c r="K199" s="1520"/>
      <c r="L199" s="1520"/>
      <c r="M199" s="1522"/>
      <c r="N199" s="593"/>
      <c r="O199" s="593"/>
      <c r="P199" s="595"/>
      <c r="Q199" s="595"/>
      <c r="R199" s="595"/>
      <c r="S199" s="599"/>
      <c r="T199" s="599"/>
      <c r="U199" s="599"/>
      <c r="V199" s="599"/>
      <c r="W199" s="599"/>
      <c r="X199" s="599"/>
      <c r="Y199" s="599"/>
      <c r="Z199" s="599"/>
    </row>
    <row r="200" spans="1:26" ht="15.75" customHeight="1">
      <c r="A200" s="595"/>
      <c r="B200" s="595"/>
      <c r="C200" s="595"/>
      <c r="D200" s="595"/>
      <c r="E200" s="595"/>
      <c r="F200" s="595"/>
      <c r="G200" s="595"/>
      <c r="H200" s="595"/>
      <c r="I200" s="595"/>
      <c r="J200" s="595"/>
      <c r="K200" s="595"/>
      <c r="L200" s="595"/>
      <c r="M200" s="595"/>
      <c r="N200" s="595"/>
      <c r="O200" s="595"/>
      <c r="P200" s="595"/>
      <c r="Q200" s="595"/>
      <c r="R200" s="595"/>
      <c r="S200" s="599"/>
      <c r="T200" s="599"/>
      <c r="U200" s="599"/>
      <c r="V200" s="599"/>
      <c r="W200" s="599"/>
      <c r="X200" s="599"/>
      <c r="Y200" s="599"/>
      <c r="Z200" s="599"/>
    </row>
    <row r="201" spans="1:26" ht="15.75" customHeight="1">
      <c r="A201" s="595"/>
      <c r="B201" s="593"/>
      <c r="C201" s="1524" t="s">
        <v>221</v>
      </c>
      <c r="D201" s="1420"/>
      <c r="E201" s="1420"/>
      <c r="F201" s="1420"/>
      <c r="G201" s="1420"/>
      <c r="H201" s="1420"/>
      <c r="I201" s="1421"/>
      <c r="J201" s="1524" t="s">
        <v>222</v>
      </c>
      <c r="K201" s="1420"/>
      <c r="L201" s="1420"/>
      <c r="M201" s="1420"/>
      <c r="N201" s="1420"/>
      <c r="O201" s="1420"/>
      <c r="P201" s="1421"/>
      <c r="Q201" s="595"/>
      <c r="R201" s="595"/>
      <c r="S201" s="599"/>
      <c r="T201" s="599"/>
      <c r="U201" s="599"/>
      <c r="V201" s="599"/>
      <c r="W201" s="599"/>
      <c r="X201" s="599"/>
      <c r="Y201" s="599"/>
      <c r="Z201" s="599"/>
    </row>
    <row r="202" spans="1:26" ht="15.75" customHeight="1">
      <c r="A202" s="595"/>
      <c r="B202" s="593"/>
      <c r="C202" s="593"/>
      <c r="D202" s="593"/>
      <c r="E202" s="593"/>
      <c r="F202" s="593"/>
      <c r="G202" s="593"/>
      <c r="H202" s="593"/>
      <c r="I202" s="729"/>
      <c r="J202" s="593"/>
      <c r="K202" s="593"/>
      <c r="L202" s="593"/>
      <c r="M202" s="595"/>
      <c r="N202" s="595"/>
      <c r="O202" s="595"/>
      <c r="P202" s="595"/>
      <c r="Q202" s="595"/>
      <c r="R202" s="595"/>
      <c r="S202" s="599"/>
      <c r="T202" s="599"/>
      <c r="U202" s="599"/>
      <c r="V202" s="599"/>
      <c r="W202" s="599"/>
      <c r="X202" s="599"/>
      <c r="Y202" s="599"/>
      <c r="Z202" s="599"/>
    </row>
    <row r="203" spans="1:26" ht="15.75" customHeight="1">
      <c r="A203" s="595"/>
      <c r="B203" s="1529" t="s">
        <v>267</v>
      </c>
      <c r="C203" s="730" t="s">
        <v>156</v>
      </c>
      <c r="D203" s="731" t="s">
        <v>163</v>
      </c>
      <c r="E203" s="731" t="s">
        <v>161</v>
      </c>
      <c r="F203" s="731" t="s">
        <v>157</v>
      </c>
      <c r="G203" s="731" t="s">
        <v>251</v>
      </c>
      <c r="H203" s="731" t="s">
        <v>155</v>
      </c>
      <c r="I203" s="733" t="s">
        <v>162</v>
      </c>
      <c r="J203" s="730" t="s">
        <v>156</v>
      </c>
      <c r="K203" s="731" t="s">
        <v>163</v>
      </c>
      <c r="L203" s="731" t="s">
        <v>161</v>
      </c>
      <c r="M203" s="731" t="s">
        <v>157</v>
      </c>
      <c r="N203" s="731" t="s">
        <v>251</v>
      </c>
      <c r="O203" s="731" t="s">
        <v>155</v>
      </c>
      <c r="P203" s="733" t="s">
        <v>162</v>
      </c>
      <c r="Q203" s="595"/>
      <c r="R203" s="595"/>
      <c r="S203" s="599"/>
      <c r="T203" s="599"/>
      <c r="U203" s="599"/>
      <c r="V203" s="599"/>
      <c r="W203" s="599"/>
      <c r="X203" s="599"/>
      <c r="Y203" s="599"/>
      <c r="Z203" s="599"/>
    </row>
    <row r="204" spans="1:26" ht="15.75" customHeight="1">
      <c r="A204" s="595"/>
      <c r="B204" s="1516"/>
      <c r="C204" s="608" t="s">
        <v>231</v>
      </c>
      <c r="D204" s="609" t="s">
        <v>231</v>
      </c>
      <c r="E204" s="609" t="s">
        <v>231</v>
      </c>
      <c r="F204" s="609" t="s">
        <v>231</v>
      </c>
      <c r="G204" s="609" t="s">
        <v>231</v>
      </c>
      <c r="H204" s="609" t="s">
        <v>231</v>
      </c>
      <c r="I204" s="757" t="s">
        <v>231</v>
      </c>
      <c r="J204" s="608" t="s">
        <v>231</v>
      </c>
      <c r="K204" s="609" t="s">
        <v>231</v>
      </c>
      <c r="L204" s="609" t="s">
        <v>231</v>
      </c>
      <c r="M204" s="609" t="s">
        <v>231</v>
      </c>
      <c r="N204" s="609" t="s">
        <v>231</v>
      </c>
      <c r="O204" s="609" t="s">
        <v>231</v>
      </c>
      <c r="P204" s="757" t="s">
        <v>231</v>
      </c>
      <c r="Q204" s="595"/>
      <c r="R204" s="595"/>
      <c r="S204" s="599"/>
      <c r="T204" s="599"/>
      <c r="U204" s="599"/>
      <c r="V204" s="599"/>
      <c r="W204" s="599"/>
      <c r="X204" s="599"/>
      <c r="Y204" s="599"/>
      <c r="Z204" s="599"/>
    </row>
    <row r="205" spans="1:26" ht="15.75" customHeight="1">
      <c r="A205" s="595"/>
      <c r="B205" s="692">
        <v>1992</v>
      </c>
      <c r="C205" s="927">
        <v>122.3</v>
      </c>
      <c r="D205" s="928">
        <v>28</v>
      </c>
      <c r="E205" s="928">
        <v>11.3</v>
      </c>
      <c r="F205" s="928">
        <v>10.199999999999999</v>
      </c>
      <c r="G205" s="928">
        <v>15</v>
      </c>
      <c r="H205" s="929"/>
      <c r="I205" s="930"/>
      <c r="J205" s="931">
        <v>0.16</v>
      </c>
      <c r="K205" s="815">
        <v>2.57</v>
      </c>
      <c r="L205" s="815">
        <v>0.33</v>
      </c>
      <c r="M205" s="815">
        <v>0.43</v>
      </c>
      <c r="N205" s="815">
        <v>0.25</v>
      </c>
      <c r="O205" s="855"/>
      <c r="P205" s="856"/>
      <c r="Q205" s="595"/>
      <c r="R205" s="595"/>
      <c r="S205" s="599"/>
      <c r="T205" s="599"/>
      <c r="U205" s="599"/>
      <c r="V205" s="599"/>
      <c r="W205" s="599"/>
      <c r="X205" s="599"/>
      <c r="Y205" s="599"/>
      <c r="Z205" s="599"/>
    </row>
    <row r="206" spans="1:26" ht="15.75" customHeight="1">
      <c r="A206" s="595"/>
      <c r="B206" s="699">
        <v>1993</v>
      </c>
      <c r="C206" s="932">
        <v>79.2</v>
      </c>
      <c r="D206" s="933">
        <v>27.7</v>
      </c>
      <c r="E206" s="933">
        <v>5.3</v>
      </c>
      <c r="F206" s="933">
        <v>8.1</v>
      </c>
      <c r="G206" s="933">
        <v>12.2</v>
      </c>
      <c r="H206" s="934"/>
      <c r="I206" s="935"/>
      <c r="J206" s="857">
        <v>0.21</v>
      </c>
      <c r="K206" s="824">
        <v>1.56</v>
      </c>
      <c r="L206" s="824">
        <v>0.25</v>
      </c>
      <c r="M206" s="824">
        <v>0.24</v>
      </c>
      <c r="N206" s="824">
        <v>0.18</v>
      </c>
      <c r="O206" s="858"/>
      <c r="P206" s="859"/>
      <c r="Q206" s="595"/>
      <c r="R206" s="595"/>
      <c r="S206" s="599"/>
      <c r="T206" s="599"/>
      <c r="U206" s="599"/>
      <c r="V206" s="599"/>
      <c r="W206" s="599"/>
      <c r="X206" s="599"/>
      <c r="Y206" s="599"/>
      <c r="Z206" s="599"/>
    </row>
    <row r="207" spans="1:26" ht="15.75" customHeight="1">
      <c r="A207" s="595"/>
      <c r="B207" s="699">
        <v>1994</v>
      </c>
      <c r="C207" s="932">
        <v>38.5</v>
      </c>
      <c r="D207" s="933">
        <v>17.2</v>
      </c>
      <c r="E207" s="933">
        <v>4.7</v>
      </c>
      <c r="F207" s="933">
        <v>4.5999999999999996</v>
      </c>
      <c r="G207" s="933">
        <v>10.6</v>
      </c>
      <c r="H207" s="934"/>
      <c r="I207" s="935"/>
      <c r="J207" s="857">
        <v>0.22</v>
      </c>
      <c r="K207" s="824">
        <v>1.29</v>
      </c>
      <c r="L207" s="824">
        <v>0.37</v>
      </c>
      <c r="M207" s="824">
        <v>0.23</v>
      </c>
      <c r="N207" s="824">
        <v>0.09</v>
      </c>
      <c r="O207" s="858"/>
      <c r="P207" s="859"/>
      <c r="Q207" s="595"/>
      <c r="R207" s="595"/>
      <c r="S207" s="599"/>
      <c r="T207" s="599"/>
      <c r="U207" s="599"/>
      <c r="V207" s="599"/>
      <c r="W207" s="599"/>
      <c r="X207" s="599"/>
      <c r="Y207" s="599"/>
      <c r="Z207" s="599"/>
    </row>
    <row r="208" spans="1:26" ht="15.75" customHeight="1">
      <c r="A208" s="595"/>
      <c r="B208" s="699">
        <v>1995</v>
      </c>
      <c r="C208" s="932">
        <v>56.4</v>
      </c>
      <c r="D208" s="933">
        <v>27.8</v>
      </c>
      <c r="E208" s="933">
        <v>6.8</v>
      </c>
      <c r="F208" s="933">
        <v>6.3</v>
      </c>
      <c r="G208" s="933">
        <v>18.399999999999999</v>
      </c>
      <c r="H208" s="934"/>
      <c r="I208" s="935"/>
      <c r="J208" s="857">
        <v>0.18</v>
      </c>
      <c r="K208" s="824">
        <v>0.55000000000000004</v>
      </c>
      <c r="L208" s="824">
        <v>0.34</v>
      </c>
      <c r="M208" s="824">
        <v>0.3</v>
      </c>
      <c r="N208" s="824">
        <v>0.05</v>
      </c>
      <c r="O208" s="858"/>
      <c r="P208" s="859"/>
      <c r="Q208" s="595"/>
      <c r="R208" s="595"/>
      <c r="S208" s="599"/>
      <c r="T208" s="599"/>
      <c r="U208" s="599"/>
      <c r="V208" s="599"/>
      <c r="W208" s="599"/>
      <c r="X208" s="599"/>
      <c r="Y208" s="599"/>
      <c r="Z208" s="599"/>
    </row>
    <row r="209" spans="1:26" ht="15.75" customHeight="1">
      <c r="A209" s="595"/>
      <c r="B209" s="699">
        <v>1996</v>
      </c>
      <c r="C209" s="932">
        <v>29.5</v>
      </c>
      <c r="D209" s="933">
        <v>17</v>
      </c>
      <c r="E209" s="933">
        <v>4.9000000000000004</v>
      </c>
      <c r="F209" s="933">
        <v>3.9</v>
      </c>
      <c r="G209" s="933">
        <v>9.5</v>
      </c>
      <c r="H209" s="934"/>
      <c r="I209" s="935"/>
      <c r="J209" s="857">
        <v>0.12</v>
      </c>
      <c r="K209" s="824">
        <v>0.55000000000000004</v>
      </c>
      <c r="L209" s="824">
        <v>0.3</v>
      </c>
      <c r="M209" s="824">
        <v>0.28999999999999998</v>
      </c>
      <c r="N209" s="824">
        <v>7.0000000000000007E-2</v>
      </c>
      <c r="O209" s="858"/>
      <c r="P209" s="859"/>
      <c r="Q209" s="595"/>
      <c r="R209" s="595"/>
      <c r="S209" s="599"/>
      <c r="T209" s="599"/>
      <c r="U209" s="599"/>
      <c r="V209" s="599"/>
      <c r="W209" s="599"/>
      <c r="X209" s="599"/>
      <c r="Y209" s="599"/>
      <c r="Z209" s="599"/>
    </row>
    <row r="210" spans="1:26" ht="15.75" customHeight="1">
      <c r="A210" s="595"/>
      <c r="B210" s="699">
        <v>1997</v>
      </c>
      <c r="C210" s="932">
        <v>32.700000000000003</v>
      </c>
      <c r="D210" s="933">
        <v>24.9</v>
      </c>
      <c r="E210" s="933">
        <v>6</v>
      </c>
      <c r="F210" s="933">
        <v>5.3</v>
      </c>
      <c r="G210" s="933">
        <v>8.1999999999999993</v>
      </c>
      <c r="H210" s="934"/>
      <c r="I210" s="935"/>
      <c r="J210" s="857">
        <v>1.36</v>
      </c>
      <c r="K210" s="824">
        <v>1.06</v>
      </c>
      <c r="L210" s="824">
        <v>0.47</v>
      </c>
      <c r="M210" s="824">
        <v>0.19</v>
      </c>
      <c r="N210" s="824">
        <v>0.26</v>
      </c>
      <c r="O210" s="858"/>
      <c r="P210" s="859"/>
      <c r="Q210" s="595"/>
      <c r="R210" s="595"/>
      <c r="S210" s="599"/>
      <c r="T210" s="599"/>
      <c r="U210" s="599"/>
      <c r="V210" s="599"/>
      <c r="W210" s="599"/>
      <c r="X210" s="599"/>
      <c r="Y210" s="599"/>
      <c r="Z210" s="599"/>
    </row>
    <row r="211" spans="1:26" ht="15.75" customHeight="1">
      <c r="A211" s="595"/>
      <c r="B211" s="699">
        <v>1998</v>
      </c>
      <c r="C211" s="932">
        <v>39.946447780293781</v>
      </c>
      <c r="D211" s="933">
        <v>30.247758304713802</v>
      </c>
      <c r="E211" s="933">
        <v>6.7468667666037669</v>
      </c>
      <c r="F211" s="933">
        <v>6.1776092125097124</v>
      </c>
      <c r="G211" s="933">
        <v>10.495189427442925</v>
      </c>
      <c r="H211" s="933">
        <v>4.9406317256803378</v>
      </c>
      <c r="I211" s="937">
        <v>0.51851485586219337</v>
      </c>
      <c r="J211" s="857">
        <v>1.0951573478054353</v>
      </c>
      <c r="K211" s="824">
        <v>0.53722015380591637</v>
      </c>
      <c r="L211" s="824">
        <v>0.44498436835618077</v>
      </c>
      <c r="M211" s="824">
        <v>0.30564072163900924</v>
      </c>
      <c r="N211" s="824">
        <v>0.60461115676406929</v>
      </c>
      <c r="O211" s="824">
        <v>0.57680665766594519</v>
      </c>
      <c r="P211" s="820">
        <v>0.11555542297378547</v>
      </c>
      <c r="Q211" s="595"/>
      <c r="R211" s="595"/>
      <c r="S211" s="599"/>
      <c r="T211" s="599"/>
      <c r="U211" s="599"/>
      <c r="V211" s="599"/>
      <c r="W211" s="599"/>
      <c r="X211" s="599"/>
      <c r="Y211" s="599"/>
      <c r="Z211" s="599"/>
    </row>
    <row r="212" spans="1:26" ht="15.75" customHeight="1">
      <c r="A212" s="595"/>
      <c r="B212" s="699">
        <v>1999</v>
      </c>
      <c r="C212" s="932">
        <v>36.417883789450187</v>
      </c>
      <c r="D212" s="933">
        <v>26.549275579348855</v>
      </c>
      <c r="E212" s="933">
        <v>5.0568395303368128</v>
      </c>
      <c r="F212" s="933">
        <v>3.8084826929117912</v>
      </c>
      <c r="G212" s="933">
        <v>10.050389139918554</v>
      </c>
      <c r="H212" s="933">
        <v>6.180917256291079</v>
      </c>
      <c r="I212" s="937">
        <v>0.28018178867361837</v>
      </c>
      <c r="J212" s="857">
        <v>0.62013547128076574</v>
      </c>
      <c r="K212" s="824">
        <v>0.46772264198563113</v>
      </c>
      <c r="L212" s="824">
        <v>0.26475195432117538</v>
      </c>
      <c r="M212" s="824">
        <v>6.7262306567392613E-2</v>
      </c>
      <c r="N212" s="824">
        <v>0.2258347971598651</v>
      </c>
      <c r="O212" s="824">
        <v>0.75719193713308286</v>
      </c>
      <c r="P212" s="820">
        <v>4.9843064034060414E-2</v>
      </c>
      <c r="Q212" s="595"/>
      <c r="R212" s="595"/>
      <c r="S212" s="599"/>
      <c r="T212" s="599"/>
      <c r="U212" s="599"/>
      <c r="V212" s="599"/>
      <c r="W212" s="599"/>
      <c r="X212" s="599"/>
      <c r="Y212" s="599"/>
      <c r="Z212" s="599"/>
    </row>
    <row r="213" spans="1:26" ht="15.75" customHeight="1">
      <c r="A213" s="595"/>
      <c r="B213" s="699">
        <v>2000</v>
      </c>
      <c r="C213" s="932">
        <v>29.707668279484167</v>
      </c>
      <c r="D213" s="933">
        <v>25.409809836231663</v>
      </c>
      <c r="E213" s="933">
        <v>5.8039955467867914</v>
      </c>
      <c r="F213" s="933">
        <v>6.6501854957191888</v>
      </c>
      <c r="G213" s="933">
        <v>5.3671514855189502</v>
      </c>
      <c r="H213" s="933">
        <v>4.6825763168358625</v>
      </c>
      <c r="I213" s="937">
        <v>0.26167255403523726</v>
      </c>
      <c r="J213" s="857">
        <v>1.2488416079925724</v>
      </c>
      <c r="K213" s="824">
        <v>0.61873255574527553</v>
      </c>
      <c r="L213" s="824">
        <v>0.38934230046920981</v>
      </c>
      <c r="M213" s="824">
        <v>0.15633491979054046</v>
      </c>
      <c r="N213" s="824">
        <v>0.34824096634261853</v>
      </c>
      <c r="O213" s="824">
        <v>0.7899178831651712</v>
      </c>
      <c r="P213" s="820">
        <v>5.6417045084756097E-2</v>
      </c>
      <c r="Q213" s="595"/>
      <c r="R213" s="595"/>
      <c r="S213" s="599"/>
      <c r="T213" s="599"/>
      <c r="U213" s="599"/>
      <c r="V213" s="599"/>
      <c r="W213" s="599"/>
      <c r="X213" s="599"/>
      <c r="Y213" s="599"/>
      <c r="Z213" s="599"/>
    </row>
    <row r="214" spans="1:26" ht="15.75" customHeight="1">
      <c r="A214" s="595"/>
      <c r="B214" s="699">
        <v>2001</v>
      </c>
      <c r="C214" s="932">
        <v>32</v>
      </c>
      <c r="D214" s="933">
        <v>41</v>
      </c>
      <c r="E214" s="933">
        <v>11</v>
      </c>
      <c r="F214" s="933">
        <v>11.5</v>
      </c>
      <c r="G214" s="933">
        <v>7.8</v>
      </c>
      <c r="H214" s="933">
        <v>6.5</v>
      </c>
      <c r="I214" s="937">
        <v>1.6</v>
      </c>
      <c r="J214" s="857">
        <v>1.28</v>
      </c>
      <c r="K214" s="824">
        <v>1.03</v>
      </c>
      <c r="L214" s="824">
        <v>0.91</v>
      </c>
      <c r="M214" s="824">
        <v>0.49</v>
      </c>
      <c r="N214" s="824">
        <v>0.2</v>
      </c>
      <c r="O214" s="824">
        <v>1.41</v>
      </c>
      <c r="P214" s="820">
        <v>0.16</v>
      </c>
      <c r="Q214" s="595"/>
      <c r="R214" s="595"/>
      <c r="S214" s="599"/>
      <c r="T214" s="599"/>
      <c r="U214" s="599"/>
      <c r="V214" s="599"/>
      <c r="W214" s="599"/>
      <c r="X214" s="599"/>
      <c r="Y214" s="599"/>
      <c r="Z214" s="599"/>
    </row>
    <row r="215" spans="1:26" ht="15.75" customHeight="1">
      <c r="A215" s="595"/>
      <c r="B215" s="699">
        <v>2002</v>
      </c>
      <c r="C215" s="932">
        <v>33.179844077126312</v>
      </c>
      <c r="D215" s="933">
        <v>53.067682318557168</v>
      </c>
      <c r="E215" s="933">
        <v>19.509866860366124</v>
      </c>
      <c r="F215" s="933">
        <v>18.111208071758718</v>
      </c>
      <c r="G215" s="933">
        <v>7.3163540328983041</v>
      </c>
      <c r="H215" s="933">
        <v>11.259057065907365</v>
      </c>
      <c r="I215" s="937">
        <v>0.51646739542761366</v>
      </c>
      <c r="J215" s="857">
        <v>1.0932985497863459</v>
      </c>
      <c r="K215" s="824">
        <v>2.5858246811135861</v>
      </c>
      <c r="L215" s="824">
        <v>1.2770314984283573</v>
      </c>
      <c r="M215" s="824">
        <v>0.7100072296353267</v>
      </c>
      <c r="N215" s="824">
        <v>0.17475549051137437</v>
      </c>
      <c r="O215" s="824">
        <v>1.3624602284654388</v>
      </c>
      <c r="P215" s="820">
        <v>0.11049212382329084</v>
      </c>
      <c r="Q215" s="595"/>
      <c r="R215" s="595"/>
      <c r="S215" s="599"/>
      <c r="T215" s="599"/>
      <c r="U215" s="599"/>
      <c r="V215" s="599"/>
      <c r="W215" s="599"/>
      <c r="X215" s="599"/>
      <c r="Y215" s="599"/>
      <c r="Z215" s="599"/>
    </row>
    <row r="216" spans="1:26" ht="15.75" customHeight="1">
      <c r="A216" s="595"/>
      <c r="B216" s="699">
        <v>2003</v>
      </c>
      <c r="C216" s="932">
        <v>46.147496452497073</v>
      </c>
      <c r="D216" s="933">
        <v>28.764170311240445</v>
      </c>
      <c r="E216" s="933">
        <v>8.3558233766506902</v>
      </c>
      <c r="F216" s="933">
        <v>8.0643914343248007</v>
      </c>
      <c r="G216" s="933">
        <v>9.9125090808926561</v>
      </c>
      <c r="H216" s="933">
        <v>7.1182441581480731</v>
      </c>
      <c r="I216" s="937">
        <v>0.57533981731529527</v>
      </c>
      <c r="J216" s="857">
        <v>0.70816966065447595</v>
      </c>
      <c r="K216" s="824">
        <v>1.1366298104791166</v>
      </c>
      <c r="L216" s="824">
        <v>0.54213461869725166</v>
      </c>
      <c r="M216" s="824">
        <v>0.3198913831150878</v>
      </c>
      <c r="N216" s="824">
        <v>0.21280767103304729</v>
      </c>
      <c r="O216" s="824">
        <v>1.0401701494458266</v>
      </c>
      <c r="P216" s="820">
        <v>0.10264110097532381</v>
      </c>
      <c r="Q216" s="595"/>
      <c r="R216" s="595"/>
      <c r="S216" s="599"/>
      <c r="T216" s="599"/>
      <c r="U216" s="599"/>
      <c r="V216" s="599"/>
      <c r="W216" s="599"/>
      <c r="X216" s="599"/>
      <c r="Y216" s="599"/>
      <c r="Z216" s="599"/>
    </row>
    <row r="217" spans="1:26" ht="15.75" customHeight="1">
      <c r="A217" s="595"/>
      <c r="B217" s="699">
        <v>2004</v>
      </c>
      <c r="C217" s="932">
        <v>21.395149965976284</v>
      </c>
      <c r="D217" s="933">
        <v>40.631622144502323</v>
      </c>
      <c r="E217" s="933">
        <v>12.134795331161378</v>
      </c>
      <c r="F217" s="933">
        <v>11.548846433349043</v>
      </c>
      <c r="G217" s="933">
        <v>1.6150434426653859</v>
      </c>
      <c r="H217" s="933">
        <v>10.536530531982153</v>
      </c>
      <c r="I217" s="937">
        <v>0.10720940354428178</v>
      </c>
      <c r="J217" s="857">
        <v>1.3277423586409964</v>
      </c>
      <c r="K217" s="824">
        <v>0.73143588213563804</v>
      </c>
      <c r="L217" s="824">
        <v>1.2885465274980652</v>
      </c>
      <c r="M217" s="824">
        <v>0.48538797682036838</v>
      </c>
      <c r="N217" s="824">
        <v>8.9008244344443807E-2</v>
      </c>
      <c r="O217" s="824">
        <v>1.0127125777151458</v>
      </c>
      <c r="P217" s="820">
        <v>0.10139767627155451</v>
      </c>
      <c r="Q217" s="595"/>
      <c r="R217" s="595"/>
      <c r="S217" s="599"/>
      <c r="T217" s="599"/>
      <c r="U217" s="599"/>
      <c r="V217" s="599"/>
      <c r="W217" s="599"/>
      <c r="X217" s="599"/>
      <c r="Y217" s="599"/>
      <c r="Z217" s="599"/>
    </row>
    <row r="218" spans="1:26" ht="15.75" customHeight="1">
      <c r="A218" s="595"/>
      <c r="B218" s="699">
        <v>2005</v>
      </c>
      <c r="C218" s="932">
        <v>18</v>
      </c>
      <c r="D218" s="933">
        <v>40</v>
      </c>
      <c r="E218" s="933">
        <v>13.5</v>
      </c>
      <c r="F218" s="933">
        <v>13.5</v>
      </c>
      <c r="G218" s="933">
        <v>0.5</v>
      </c>
      <c r="H218" s="933">
        <v>12.7</v>
      </c>
      <c r="I218" s="937">
        <v>0.3</v>
      </c>
      <c r="J218" s="857">
        <v>0.62</v>
      </c>
      <c r="K218" s="824">
        <v>0.43</v>
      </c>
      <c r="L218" s="824">
        <v>1.03</v>
      </c>
      <c r="M218" s="824">
        <v>0.19</v>
      </c>
      <c r="N218" s="824">
        <v>0.1</v>
      </c>
      <c r="O218" s="824">
        <v>1</v>
      </c>
      <c r="P218" s="820">
        <v>0.1</v>
      </c>
      <c r="Q218" s="595"/>
      <c r="R218" s="595"/>
      <c r="S218" s="599"/>
      <c r="T218" s="599"/>
      <c r="U218" s="599"/>
      <c r="V218" s="599"/>
      <c r="W218" s="599"/>
      <c r="X218" s="599"/>
      <c r="Y218" s="599"/>
      <c r="Z218" s="599"/>
    </row>
    <row r="219" spans="1:26" ht="15.75" customHeight="1">
      <c r="A219" s="595"/>
      <c r="B219" s="699">
        <v>2006</v>
      </c>
      <c r="C219" s="932">
        <v>18</v>
      </c>
      <c r="D219" s="933">
        <v>36</v>
      </c>
      <c r="E219" s="933">
        <v>10.4</v>
      </c>
      <c r="F219" s="933">
        <v>9.1999999999999993</v>
      </c>
      <c r="G219" s="933">
        <v>0.2</v>
      </c>
      <c r="H219" s="933">
        <v>6.7</v>
      </c>
      <c r="I219" s="937">
        <v>0.1</v>
      </c>
      <c r="J219" s="857">
        <v>1.1100000000000001</v>
      </c>
      <c r="K219" s="824">
        <v>0.41</v>
      </c>
      <c r="L219" s="824">
        <v>0.88</v>
      </c>
      <c r="M219" s="824">
        <v>0.21</v>
      </c>
      <c r="N219" s="824">
        <v>0.1</v>
      </c>
      <c r="O219" s="824">
        <v>0.9</v>
      </c>
      <c r="P219" s="820">
        <v>0.1</v>
      </c>
      <c r="Q219" s="595"/>
      <c r="R219" s="595"/>
      <c r="S219" s="599"/>
      <c r="T219" s="599"/>
      <c r="U219" s="599"/>
      <c r="V219" s="599"/>
      <c r="W219" s="599"/>
      <c r="X219" s="599"/>
      <c r="Y219" s="599"/>
      <c r="Z219" s="599"/>
    </row>
    <row r="220" spans="1:26" ht="15.75" customHeight="1">
      <c r="A220" s="595"/>
      <c r="B220" s="699">
        <v>2007</v>
      </c>
      <c r="C220" s="932">
        <v>13.055184351610437</v>
      </c>
      <c r="D220" s="933">
        <v>23.475047415729819</v>
      </c>
      <c r="E220" s="933">
        <v>8.2842756208222266</v>
      </c>
      <c r="F220" s="933">
        <v>7.3498095336620812</v>
      </c>
      <c r="G220" s="933">
        <v>0.17544271863213567</v>
      </c>
      <c r="H220" s="933">
        <v>5.9725752810230874</v>
      </c>
      <c r="I220" s="937">
        <v>9.4711257024004444E-2</v>
      </c>
      <c r="J220" s="857">
        <v>0.5057095775507493</v>
      </c>
      <c r="K220" s="824">
        <v>0.28363994566505307</v>
      </c>
      <c r="L220" s="824">
        <v>0.81727657539464393</v>
      </c>
      <c r="M220" s="824">
        <v>0.15980491223331572</v>
      </c>
      <c r="N220" s="824">
        <v>4.8643386342371357E-2</v>
      </c>
      <c r="O220" s="824">
        <v>0.70224223802980268</v>
      </c>
      <c r="P220" s="820">
        <v>7.9088623127435059E-2</v>
      </c>
      <c r="Q220" s="595"/>
      <c r="R220" s="595"/>
      <c r="S220" s="599"/>
      <c r="T220" s="599"/>
      <c r="U220" s="599"/>
      <c r="V220" s="599"/>
      <c r="W220" s="599"/>
      <c r="X220" s="599"/>
      <c r="Y220" s="599"/>
      <c r="Z220" s="599"/>
    </row>
    <row r="221" spans="1:26" ht="15.75" customHeight="1">
      <c r="A221" s="595"/>
      <c r="B221" s="699">
        <v>2008</v>
      </c>
      <c r="C221" s="932">
        <v>16.426847272064148</v>
      </c>
      <c r="D221" s="933">
        <v>24.664163076561621</v>
      </c>
      <c r="E221" s="933">
        <v>4.7418847519055829</v>
      </c>
      <c r="F221" s="933">
        <v>4.7037343574321095</v>
      </c>
      <c r="G221" s="933">
        <v>0.21643934125153583</v>
      </c>
      <c r="H221" s="933">
        <v>4.6583108280208636</v>
      </c>
      <c r="I221" s="937">
        <v>3.1515295664326169E-2</v>
      </c>
      <c r="J221" s="857">
        <v>0.19298831601633051</v>
      </c>
      <c r="K221" s="824">
        <v>0.21310766756791708</v>
      </c>
      <c r="L221" s="824">
        <v>0.48472769564221685</v>
      </c>
      <c r="M221" s="824">
        <v>0.11095158795149503</v>
      </c>
      <c r="N221" s="824">
        <v>1.2092668666697308E-2</v>
      </c>
      <c r="O221" s="824">
        <v>0.21523463140488863</v>
      </c>
      <c r="P221" s="820">
        <v>2.4130520979452216E-2</v>
      </c>
      <c r="Q221" s="595"/>
      <c r="R221" s="595"/>
      <c r="S221" s="599"/>
      <c r="T221" s="599"/>
      <c r="U221" s="599"/>
      <c r="V221" s="599"/>
      <c r="W221" s="599"/>
      <c r="X221" s="599"/>
      <c r="Y221" s="599"/>
      <c r="Z221" s="599"/>
    </row>
    <row r="222" spans="1:26" ht="15.75" customHeight="1">
      <c r="A222" s="595"/>
      <c r="B222" s="699">
        <v>2009</v>
      </c>
      <c r="C222" s="932">
        <v>39.230032928359009</v>
      </c>
      <c r="D222" s="933">
        <v>30.553997077082531</v>
      </c>
      <c r="E222" s="933">
        <v>8.6365101996261</v>
      </c>
      <c r="F222" s="933">
        <v>8.3434925207632382</v>
      </c>
      <c r="G222" s="933">
        <v>7.5239196455706958</v>
      </c>
      <c r="H222" s="933">
        <v>7.7801534424896834</v>
      </c>
      <c r="I222" s="937">
        <v>0.4003638514764562</v>
      </c>
      <c r="J222" s="857">
        <v>0.70274162847228672</v>
      </c>
      <c r="K222" s="824">
        <v>0.93665260527713612</v>
      </c>
      <c r="L222" s="824">
        <v>0.60312772319116781</v>
      </c>
      <c r="M222" s="824">
        <v>0.28819527015108831</v>
      </c>
      <c r="N222" s="824">
        <v>0.17760946573753134</v>
      </c>
      <c r="O222" s="824">
        <v>0.88659954453617484</v>
      </c>
      <c r="P222" s="820">
        <v>8.9844712091640855E-2</v>
      </c>
      <c r="Q222" s="595"/>
      <c r="R222" s="595"/>
      <c r="S222" s="599"/>
      <c r="T222" s="599"/>
      <c r="U222" s="599"/>
      <c r="V222" s="599"/>
      <c r="W222" s="599"/>
      <c r="X222" s="599"/>
      <c r="Y222" s="599"/>
      <c r="Z222" s="599"/>
    </row>
    <row r="223" spans="1:26" ht="15.75" customHeight="1">
      <c r="A223" s="595"/>
      <c r="B223" s="706">
        <v>2010</v>
      </c>
      <c r="C223" s="947">
        <v>38.159026753816278</v>
      </c>
      <c r="D223" s="948">
        <v>49.569508730123317</v>
      </c>
      <c r="E223" s="948">
        <v>9.489621990031802</v>
      </c>
      <c r="F223" s="948">
        <v>11.292187287449918</v>
      </c>
      <c r="G223" s="948">
        <v>0.19548416848952913</v>
      </c>
      <c r="H223" s="948">
        <v>10.61077539006312</v>
      </c>
      <c r="I223" s="949">
        <v>7.9911384730909363E-2</v>
      </c>
      <c r="J223" s="950">
        <v>8.8918057891466298E-2</v>
      </c>
      <c r="K223" s="832">
        <v>0.10450639594231291</v>
      </c>
      <c r="L223" s="832">
        <v>0.44482800707582776</v>
      </c>
      <c r="M223" s="832">
        <v>7.3558532665414234E-2</v>
      </c>
      <c r="N223" s="832">
        <v>2.9938384223143637E-2</v>
      </c>
      <c r="O223" s="832">
        <v>7.2808612472520115E-2</v>
      </c>
      <c r="P223" s="828">
        <v>2.3260150571391479E-3</v>
      </c>
      <c r="Q223" s="595"/>
      <c r="R223" s="595"/>
      <c r="S223" s="599"/>
      <c r="T223" s="599"/>
      <c r="U223" s="599"/>
      <c r="V223" s="599"/>
      <c r="W223" s="599"/>
      <c r="X223" s="599"/>
      <c r="Y223" s="599"/>
      <c r="Z223" s="599"/>
    </row>
    <row r="224" spans="1:26" ht="15.75" customHeight="1">
      <c r="A224" s="595"/>
      <c r="B224" s="699">
        <v>2011</v>
      </c>
      <c r="C224" s="932">
        <v>45.725566703647878</v>
      </c>
      <c r="D224" s="933">
        <v>65.651645398800369</v>
      </c>
      <c r="E224" s="933">
        <v>14.31048540053464</v>
      </c>
      <c r="F224" s="933">
        <v>14.421105625648368</v>
      </c>
      <c r="G224" s="933">
        <v>0.2658911227393978</v>
      </c>
      <c r="H224" s="933">
        <v>11.87844994479722</v>
      </c>
      <c r="I224" s="937">
        <v>2.4411364473981043E-2</v>
      </c>
      <c r="J224" s="857">
        <v>7.1598311265447787E-2</v>
      </c>
      <c r="K224" s="824">
        <v>0.12386722557724798</v>
      </c>
      <c r="L224" s="824">
        <v>0.56103160748025205</v>
      </c>
      <c r="M224" s="824">
        <v>9.1354493591606786E-2</v>
      </c>
      <c r="N224" s="824">
        <v>2.0239883443504132E-3</v>
      </c>
      <c r="O224" s="824">
        <v>5.4844433962822875E-2</v>
      </c>
      <c r="P224" s="820">
        <v>1.2327160493827159E-4</v>
      </c>
      <c r="Q224" s="595"/>
      <c r="R224" s="595"/>
      <c r="S224" s="599"/>
      <c r="T224" s="599"/>
      <c r="U224" s="599"/>
      <c r="V224" s="599"/>
      <c r="W224" s="599"/>
      <c r="X224" s="599"/>
      <c r="Y224" s="599"/>
      <c r="Z224" s="599"/>
    </row>
    <row r="225" spans="1:26" ht="15.75" customHeight="1">
      <c r="A225" s="595"/>
      <c r="B225" s="699">
        <v>2012</v>
      </c>
      <c r="C225" s="953">
        <v>32.932884292307342</v>
      </c>
      <c r="D225" s="955">
        <v>72.809434702659203</v>
      </c>
      <c r="E225" s="955">
        <v>10.787570963462906</v>
      </c>
      <c r="F225" s="955">
        <v>12.504678281976934</v>
      </c>
      <c r="G225" s="955">
        <v>0.19430229579802993</v>
      </c>
      <c r="H225" s="955">
        <v>13.055668860399413</v>
      </c>
      <c r="I225" s="957">
        <v>2.5860009656631131E-2</v>
      </c>
      <c r="J225" s="959">
        <v>8.052711649256146E-2</v>
      </c>
      <c r="K225" s="842">
        <v>9.6420238275317163E-2</v>
      </c>
      <c r="L225" s="842">
        <v>0.61781247971899989</v>
      </c>
      <c r="M225" s="842">
        <v>0.10623000096580111</v>
      </c>
      <c r="N225" s="842">
        <v>8.400641025641026E-5</v>
      </c>
      <c r="O225" s="842">
        <v>8.1569541480272678E-2</v>
      </c>
      <c r="P225" s="838">
        <v>0</v>
      </c>
      <c r="Q225" s="595"/>
      <c r="R225" s="595"/>
      <c r="S225" s="599"/>
      <c r="T225" s="599"/>
      <c r="U225" s="599"/>
      <c r="V225" s="599"/>
      <c r="W225" s="599"/>
      <c r="X225" s="599"/>
      <c r="Y225" s="599"/>
      <c r="Z225" s="599"/>
    </row>
    <row r="226" spans="1:26" ht="15.75" customHeight="1">
      <c r="A226" s="595"/>
      <c r="B226" s="699">
        <v>2013</v>
      </c>
      <c r="C226" s="953">
        <v>16.440383439893441</v>
      </c>
      <c r="D226" s="955">
        <v>51.551405001167758</v>
      </c>
      <c r="E226" s="955">
        <v>5.0053811163444069</v>
      </c>
      <c r="F226" s="955">
        <v>4.6021788523934877</v>
      </c>
      <c r="G226" s="955">
        <v>0.17299984761538245</v>
      </c>
      <c r="H226" s="955">
        <v>8.0941384627433877</v>
      </c>
      <c r="I226" s="957">
        <v>7.9795898649807004E-2</v>
      </c>
      <c r="J226" s="959">
        <v>6.8492696658010332E-2</v>
      </c>
      <c r="K226" s="842">
        <v>6.972939857362663E-2</v>
      </c>
      <c r="L226" s="842">
        <v>0.80372716090251239</v>
      </c>
      <c r="M226" s="842">
        <v>0.11459566315184165</v>
      </c>
      <c r="N226" s="842">
        <v>5.5005746885648842E-4</v>
      </c>
      <c r="O226" s="842">
        <v>8.8246274022969459E-2</v>
      </c>
      <c r="P226" s="838">
        <v>0</v>
      </c>
      <c r="Q226" s="595"/>
      <c r="R226" s="595"/>
      <c r="S226" s="599"/>
      <c r="T226" s="599"/>
      <c r="U226" s="599"/>
      <c r="V226" s="599"/>
      <c r="W226" s="599"/>
      <c r="X226" s="599"/>
      <c r="Y226" s="599"/>
      <c r="Z226" s="599"/>
    </row>
    <row r="227" spans="1:26" ht="15.75" customHeight="1">
      <c r="A227" s="595"/>
      <c r="B227" s="699">
        <v>2014</v>
      </c>
      <c r="C227" s="966">
        <f t="shared" ref="C227:P227" si="48">C66</f>
        <v>965.16590401388885</v>
      </c>
      <c r="D227" s="967">
        <f t="shared" si="48"/>
        <v>1475.9108679027777</v>
      </c>
      <c r="E227" s="967">
        <f t="shared" si="48"/>
        <v>9.8098922916666655</v>
      </c>
      <c r="F227" s="967">
        <f t="shared" si="48"/>
        <v>140.18452597222225</v>
      </c>
      <c r="G227" s="967" t="str">
        <f t="shared" si="48"/>
        <v/>
      </c>
      <c r="H227" s="967">
        <f t="shared" si="48"/>
        <v>397.53641302777777</v>
      </c>
      <c r="I227" s="968" t="str">
        <f t="shared" si="48"/>
        <v/>
      </c>
      <c r="J227" s="969">
        <f t="shared" si="48"/>
        <v>0.64805066666666666</v>
      </c>
      <c r="K227" s="967">
        <f t="shared" si="48"/>
        <v>0.57949642063492057</v>
      </c>
      <c r="L227" s="967">
        <f t="shared" si="48"/>
        <v>6.5253458333333333E-2</v>
      </c>
      <c r="M227" s="967">
        <f t="shared" si="48"/>
        <v>0.16952875000000003</v>
      </c>
      <c r="N227" s="967" t="e">
        <f t="shared" si="48"/>
        <v>#DIV/0!</v>
      </c>
      <c r="O227" s="967">
        <f t="shared" si="48"/>
        <v>2.7018749166666662</v>
      </c>
      <c r="P227" s="968">
        <f t="shared" si="48"/>
        <v>4.9050986111111118E-2</v>
      </c>
      <c r="Q227" s="595"/>
      <c r="R227" s="595"/>
      <c r="S227" s="599"/>
      <c r="T227" s="599"/>
      <c r="U227" s="599"/>
      <c r="V227" s="599"/>
      <c r="W227" s="599"/>
      <c r="X227" s="599"/>
      <c r="Y227" s="599"/>
      <c r="Z227" s="599"/>
    </row>
    <row r="228" spans="1:26" ht="15.75" customHeight="1">
      <c r="A228" s="595"/>
      <c r="B228" s="845" t="s">
        <v>235</v>
      </c>
      <c r="C228" s="972">
        <f t="shared" ref="C228:P228" si="49">AVERAGE(C205:C227)</f>
        <v>78.283926960887626</v>
      </c>
      <c r="D228" s="974">
        <f t="shared" si="49"/>
        <v>98.193755991282458</v>
      </c>
      <c r="E228" s="974">
        <f t="shared" si="49"/>
        <v>8.8075569454912994</v>
      </c>
      <c r="F228" s="974">
        <f t="shared" si="49"/>
        <v>14.363584164005287</v>
      </c>
      <c r="G228" s="974">
        <f t="shared" si="49"/>
        <v>6.1773234431560669</v>
      </c>
      <c r="H228" s="974">
        <f t="shared" si="49"/>
        <v>31.188496605421143</v>
      </c>
      <c r="I228" s="977">
        <f t="shared" si="49"/>
        <v>0.31224717978339717</v>
      </c>
      <c r="J228" s="979">
        <f t="shared" si="49"/>
        <v>0.59619005944235259</v>
      </c>
      <c r="K228" s="980">
        <f t="shared" si="49"/>
        <v>0.77978198359907369</v>
      </c>
      <c r="L228" s="980">
        <f t="shared" si="49"/>
        <v>0.58628591197866076</v>
      </c>
      <c r="M228" s="980">
        <f t="shared" si="49"/>
        <v>0.24907581514253427</v>
      </c>
      <c r="N228" s="980" t="e">
        <f t="shared" si="49"/>
        <v>#DIV/0!</v>
      </c>
      <c r="O228" s="980">
        <f t="shared" si="49"/>
        <v>0.8030988015392192</v>
      </c>
      <c r="P228" s="981">
        <f t="shared" si="49"/>
        <v>6.7112386007911029E-2</v>
      </c>
      <c r="Q228" s="595"/>
      <c r="R228" s="595"/>
      <c r="S228" s="599"/>
      <c r="T228" s="599"/>
      <c r="U228" s="599"/>
      <c r="V228" s="599"/>
      <c r="W228" s="599"/>
      <c r="X228" s="599"/>
      <c r="Y228" s="599"/>
      <c r="Z228" s="599"/>
    </row>
    <row r="229" spans="1:26" ht="15.75" customHeight="1">
      <c r="A229" s="595"/>
      <c r="B229" s="595"/>
      <c r="C229" s="595"/>
      <c r="D229" s="595"/>
      <c r="E229" s="595"/>
      <c r="F229" s="595"/>
      <c r="G229" s="595"/>
      <c r="H229" s="595"/>
      <c r="I229" s="595"/>
      <c r="J229" s="595"/>
      <c r="K229" s="595"/>
      <c r="L229" s="595"/>
      <c r="M229" s="595"/>
      <c r="N229" s="595"/>
      <c r="O229" s="595"/>
      <c r="P229" s="595"/>
      <c r="Q229" s="595"/>
      <c r="R229" s="595"/>
      <c r="S229" s="599"/>
      <c r="T229" s="599"/>
      <c r="U229" s="599"/>
      <c r="V229" s="599"/>
      <c r="W229" s="599"/>
      <c r="X229" s="599"/>
      <c r="Y229" s="599"/>
      <c r="Z229" s="599"/>
    </row>
    <row r="230" spans="1:26" ht="15.75" customHeight="1">
      <c r="A230" s="595"/>
      <c r="B230" s="595"/>
      <c r="C230" s="595"/>
      <c r="D230" s="595"/>
      <c r="E230" s="595"/>
      <c r="F230" s="595"/>
      <c r="G230" s="1541" t="s">
        <v>272</v>
      </c>
      <c r="H230" s="1520"/>
      <c r="I230" s="1520"/>
      <c r="J230" s="1520"/>
      <c r="K230" s="1520"/>
      <c r="L230" s="1520"/>
      <c r="M230" s="1520"/>
      <c r="N230" s="1520"/>
      <c r="O230" s="1522"/>
      <c r="P230" s="595"/>
      <c r="Q230" s="595"/>
      <c r="R230" s="595"/>
      <c r="S230" s="599"/>
      <c r="T230" s="599"/>
      <c r="U230" s="599"/>
      <c r="V230" s="599"/>
      <c r="W230" s="599"/>
      <c r="X230" s="599"/>
      <c r="Y230" s="599"/>
      <c r="Z230" s="599"/>
    </row>
    <row r="231" spans="1:26" ht="15.75" customHeight="1">
      <c r="A231" s="595"/>
      <c r="B231" s="595"/>
      <c r="C231" s="595"/>
      <c r="D231" s="595"/>
      <c r="E231" s="595"/>
      <c r="F231" s="595"/>
      <c r="G231" s="595"/>
      <c r="H231" s="595"/>
      <c r="I231" s="595"/>
      <c r="J231" s="595"/>
      <c r="K231" s="595"/>
      <c r="L231" s="595"/>
      <c r="M231" s="595"/>
      <c r="N231" s="595"/>
      <c r="O231" s="595"/>
      <c r="P231" s="595"/>
      <c r="Q231" s="595"/>
      <c r="R231" s="595"/>
      <c r="S231" s="599"/>
      <c r="T231" s="599"/>
      <c r="U231" s="599"/>
      <c r="V231" s="599"/>
      <c r="W231" s="599"/>
      <c r="X231" s="599"/>
      <c r="Y231" s="599"/>
      <c r="Z231" s="599"/>
    </row>
    <row r="232" spans="1:26" ht="15.75" customHeight="1">
      <c r="A232" s="595"/>
      <c r="B232" s="593"/>
      <c r="C232" s="1524" t="s">
        <v>221</v>
      </c>
      <c r="D232" s="1420"/>
      <c r="E232" s="1420"/>
      <c r="F232" s="1420"/>
      <c r="G232" s="1420"/>
      <c r="H232" s="1420"/>
      <c r="I232" s="1421"/>
      <c r="J232" s="1524" t="s">
        <v>222</v>
      </c>
      <c r="K232" s="1420"/>
      <c r="L232" s="1420"/>
      <c r="M232" s="1420"/>
      <c r="N232" s="1420"/>
      <c r="O232" s="1420"/>
      <c r="P232" s="1421"/>
      <c r="Q232" s="595"/>
      <c r="R232" s="595"/>
      <c r="S232" s="599"/>
      <c r="T232" s="599"/>
      <c r="U232" s="599"/>
      <c r="V232" s="599"/>
      <c r="W232" s="599"/>
      <c r="X232" s="599"/>
      <c r="Y232" s="599"/>
      <c r="Z232" s="599"/>
    </row>
    <row r="233" spans="1:26" ht="15.75" customHeight="1">
      <c r="A233" s="595"/>
      <c r="B233" s="593"/>
      <c r="C233" s="593"/>
      <c r="D233" s="593"/>
      <c r="E233" s="593"/>
      <c r="F233" s="593"/>
      <c r="G233" s="593"/>
      <c r="H233" s="593"/>
      <c r="I233" s="729"/>
      <c r="J233" s="593"/>
      <c r="K233" s="593"/>
      <c r="L233" s="593"/>
      <c r="M233" s="593"/>
      <c r="N233" s="593"/>
      <c r="O233" s="595"/>
      <c r="P233" s="595"/>
      <c r="Q233" s="595"/>
      <c r="R233" s="595"/>
      <c r="S233" s="599"/>
      <c r="T233" s="599"/>
      <c r="U233" s="599"/>
      <c r="V233" s="599"/>
      <c r="W233" s="599"/>
      <c r="X233" s="599"/>
      <c r="Y233" s="599"/>
      <c r="Z233" s="599"/>
    </row>
    <row r="234" spans="1:26" ht="15.75" customHeight="1">
      <c r="A234" s="595"/>
      <c r="B234" s="1529" t="s">
        <v>267</v>
      </c>
      <c r="C234" s="730" t="s">
        <v>156</v>
      </c>
      <c r="D234" s="731" t="s">
        <v>163</v>
      </c>
      <c r="E234" s="731" t="s">
        <v>161</v>
      </c>
      <c r="F234" s="731" t="s">
        <v>157</v>
      </c>
      <c r="G234" s="731" t="s">
        <v>251</v>
      </c>
      <c r="H234" s="731" t="s">
        <v>155</v>
      </c>
      <c r="I234" s="733" t="s">
        <v>162</v>
      </c>
      <c r="J234" s="730" t="s">
        <v>156</v>
      </c>
      <c r="K234" s="731" t="s">
        <v>163</v>
      </c>
      <c r="L234" s="731" t="s">
        <v>161</v>
      </c>
      <c r="M234" s="731" t="s">
        <v>157</v>
      </c>
      <c r="N234" s="731" t="s">
        <v>251</v>
      </c>
      <c r="O234" s="731" t="s">
        <v>155</v>
      </c>
      <c r="P234" s="733" t="s">
        <v>162</v>
      </c>
      <c r="Q234" s="595"/>
      <c r="R234" s="595"/>
      <c r="S234" s="599"/>
      <c r="T234" s="599"/>
      <c r="U234" s="599"/>
      <c r="V234" s="599"/>
      <c r="W234" s="599"/>
      <c r="X234" s="599"/>
      <c r="Y234" s="599"/>
      <c r="Z234" s="599"/>
    </row>
    <row r="235" spans="1:26" ht="15.75" customHeight="1">
      <c r="A235" s="595"/>
      <c r="B235" s="1516"/>
      <c r="C235" s="608" t="s">
        <v>230</v>
      </c>
      <c r="D235" s="609" t="s">
        <v>230</v>
      </c>
      <c r="E235" s="609" t="s">
        <v>230</v>
      </c>
      <c r="F235" s="609" t="s">
        <v>230</v>
      </c>
      <c r="G235" s="609" t="s">
        <v>232</v>
      </c>
      <c r="H235" s="609" t="s">
        <v>230</v>
      </c>
      <c r="I235" s="757" t="s">
        <v>230</v>
      </c>
      <c r="J235" s="608" t="s">
        <v>230</v>
      </c>
      <c r="K235" s="609" t="s">
        <v>230</v>
      </c>
      <c r="L235" s="609" t="s">
        <v>230</v>
      </c>
      <c r="M235" s="609" t="s">
        <v>230</v>
      </c>
      <c r="N235" s="609" t="s">
        <v>232</v>
      </c>
      <c r="O235" s="609" t="s">
        <v>230</v>
      </c>
      <c r="P235" s="757" t="s">
        <v>230</v>
      </c>
      <c r="Q235" s="595"/>
      <c r="R235" s="595"/>
      <c r="S235" s="599"/>
      <c r="T235" s="599"/>
      <c r="U235" s="599"/>
      <c r="V235" s="599"/>
      <c r="W235" s="599"/>
      <c r="X235" s="599"/>
      <c r="Y235" s="599"/>
      <c r="Z235" s="599"/>
    </row>
    <row r="236" spans="1:26" ht="15.75" customHeight="1">
      <c r="A236" s="595"/>
      <c r="B236" s="692">
        <v>1992</v>
      </c>
      <c r="C236" s="986">
        <v>30538</v>
      </c>
      <c r="D236" s="987">
        <v>7016</v>
      </c>
      <c r="E236" s="987">
        <v>2870</v>
      </c>
      <c r="F236" s="987">
        <v>2567</v>
      </c>
      <c r="G236" s="987">
        <v>3632</v>
      </c>
      <c r="H236" s="991"/>
      <c r="I236" s="994"/>
      <c r="J236" s="986">
        <v>662</v>
      </c>
      <c r="K236" s="987">
        <v>85</v>
      </c>
      <c r="L236" s="987">
        <v>112</v>
      </c>
      <c r="M236" s="987">
        <v>65</v>
      </c>
      <c r="N236" s="987">
        <v>40</v>
      </c>
      <c r="O236" s="991"/>
      <c r="P236" s="994"/>
      <c r="Q236" s="595"/>
      <c r="R236" s="595"/>
      <c r="S236" s="599"/>
      <c r="T236" s="599"/>
      <c r="U236" s="599"/>
      <c r="V236" s="599"/>
      <c r="W236" s="599"/>
      <c r="X236" s="599"/>
      <c r="Y236" s="599"/>
      <c r="Z236" s="599"/>
    </row>
    <row r="237" spans="1:26" ht="15.75" customHeight="1">
      <c r="A237" s="595"/>
      <c r="B237" s="699">
        <v>1993</v>
      </c>
      <c r="C237" s="997">
        <v>16005</v>
      </c>
      <c r="D237" s="998">
        <v>5497</v>
      </c>
      <c r="E237" s="998">
        <v>1100</v>
      </c>
      <c r="F237" s="998">
        <v>1589</v>
      </c>
      <c r="G237" s="998">
        <v>2615</v>
      </c>
      <c r="H237" s="999"/>
      <c r="I237" s="1000"/>
      <c r="J237" s="997">
        <v>324</v>
      </c>
      <c r="K237" s="998">
        <v>54</v>
      </c>
      <c r="L237" s="998">
        <v>52</v>
      </c>
      <c r="M237" s="998">
        <v>39</v>
      </c>
      <c r="N237" s="998">
        <v>44</v>
      </c>
      <c r="O237" s="999"/>
      <c r="P237" s="1000"/>
      <c r="Q237" s="595"/>
      <c r="R237" s="595"/>
      <c r="S237" s="599"/>
      <c r="T237" s="599"/>
      <c r="U237" s="599"/>
      <c r="V237" s="599"/>
      <c r="W237" s="599"/>
      <c r="X237" s="599"/>
      <c r="Y237" s="599"/>
      <c r="Z237" s="599"/>
    </row>
    <row r="238" spans="1:26" ht="15.75" customHeight="1">
      <c r="A238" s="595"/>
      <c r="B238" s="699">
        <v>1994</v>
      </c>
      <c r="C238" s="997">
        <v>10369</v>
      </c>
      <c r="D238" s="998">
        <v>4636</v>
      </c>
      <c r="E238" s="998">
        <v>1264</v>
      </c>
      <c r="F238" s="998">
        <v>1244</v>
      </c>
      <c r="G238" s="998">
        <v>2837</v>
      </c>
      <c r="H238" s="999"/>
      <c r="I238" s="1000"/>
      <c r="J238" s="997">
        <v>357</v>
      </c>
      <c r="K238" s="998">
        <v>101</v>
      </c>
      <c r="L238" s="998">
        <v>58</v>
      </c>
      <c r="M238" s="998">
        <v>23</v>
      </c>
      <c r="N238" s="998">
        <v>59</v>
      </c>
      <c r="O238" s="999"/>
      <c r="P238" s="1000"/>
      <c r="Q238" s="595"/>
      <c r="R238" s="595"/>
      <c r="S238" s="599"/>
      <c r="T238" s="599"/>
      <c r="U238" s="599"/>
      <c r="V238" s="599"/>
      <c r="W238" s="599"/>
      <c r="X238" s="599"/>
      <c r="Y238" s="599"/>
      <c r="Z238" s="599"/>
    </row>
    <row r="239" spans="1:26" ht="15.75" customHeight="1">
      <c r="A239" s="595"/>
      <c r="B239" s="699">
        <v>1995</v>
      </c>
      <c r="C239" s="997">
        <v>13217</v>
      </c>
      <c r="D239" s="998">
        <v>6499</v>
      </c>
      <c r="E239" s="998">
        <v>1555</v>
      </c>
      <c r="F239" s="998">
        <v>1511</v>
      </c>
      <c r="G239" s="998">
        <v>4545</v>
      </c>
      <c r="H239" s="999"/>
      <c r="I239" s="1000"/>
      <c r="J239" s="997">
        <v>130</v>
      </c>
      <c r="K239" s="998">
        <v>82</v>
      </c>
      <c r="L239" s="998">
        <v>73</v>
      </c>
      <c r="M239" s="998">
        <v>19</v>
      </c>
      <c r="N239" s="998">
        <v>42</v>
      </c>
      <c r="O239" s="999"/>
      <c r="P239" s="1000"/>
      <c r="Q239" s="595"/>
      <c r="R239" s="595"/>
      <c r="S239" s="599"/>
      <c r="T239" s="599"/>
      <c r="U239" s="599"/>
      <c r="V239" s="599"/>
      <c r="W239" s="599"/>
      <c r="X239" s="599"/>
      <c r="Y239" s="599"/>
      <c r="Z239" s="599"/>
    </row>
    <row r="240" spans="1:26" ht="15.75" customHeight="1">
      <c r="A240" s="595"/>
      <c r="B240" s="699">
        <v>1996</v>
      </c>
      <c r="C240" s="997">
        <v>7522</v>
      </c>
      <c r="D240" s="998">
        <v>4354</v>
      </c>
      <c r="E240" s="998">
        <v>1280</v>
      </c>
      <c r="F240" s="998">
        <v>1028</v>
      </c>
      <c r="G240" s="998">
        <v>2443</v>
      </c>
      <c r="H240" s="998">
        <v>986.4</v>
      </c>
      <c r="I240" s="1004">
        <v>795.7</v>
      </c>
      <c r="J240" s="997">
        <v>139</v>
      </c>
      <c r="K240" s="998">
        <v>79</v>
      </c>
      <c r="L240" s="998">
        <v>76</v>
      </c>
      <c r="M240" s="998">
        <v>18</v>
      </c>
      <c r="N240" s="998">
        <v>31</v>
      </c>
      <c r="O240" s="998">
        <v>133.5</v>
      </c>
      <c r="P240" s="1004">
        <v>50.1</v>
      </c>
      <c r="Q240" s="595"/>
      <c r="R240" s="595"/>
      <c r="S240" s="599"/>
      <c r="T240" s="599"/>
      <c r="U240" s="599"/>
      <c r="V240" s="599"/>
      <c r="W240" s="599"/>
      <c r="X240" s="599"/>
      <c r="Y240" s="599"/>
      <c r="Z240" s="599"/>
    </row>
    <row r="241" spans="1:26" ht="15.75" customHeight="1">
      <c r="A241" s="595"/>
      <c r="B241" s="699">
        <v>1997</v>
      </c>
      <c r="C241" s="997">
        <v>8124</v>
      </c>
      <c r="D241" s="998">
        <v>6367</v>
      </c>
      <c r="E241" s="998">
        <v>1573</v>
      </c>
      <c r="F241" s="998">
        <v>1396</v>
      </c>
      <c r="G241" s="998">
        <v>2124</v>
      </c>
      <c r="H241" s="998">
        <v>1134.17</v>
      </c>
      <c r="I241" s="1004">
        <v>196.59</v>
      </c>
      <c r="J241" s="997">
        <v>280</v>
      </c>
      <c r="K241" s="998">
        <v>232</v>
      </c>
      <c r="L241" s="998">
        <v>120</v>
      </c>
      <c r="M241" s="998">
        <v>48</v>
      </c>
      <c r="N241" s="998">
        <v>60</v>
      </c>
      <c r="O241" s="998">
        <v>187.36</v>
      </c>
      <c r="P241" s="1004">
        <v>35.26</v>
      </c>
      <c r="Q241" s="595"/>
      <c r="R241" s="595"/>
      <c r="S241" s="599"/>
      <c r="T241" s="599"/>
      <c r="U241" s="599"/>
      <c r="V241" s="599"/>
      <c r="W241" s="599"/>
      <c r="X241" s="599"/>
      <c r="Y241" s="599"/>
      <c r="Z241" s="599"/>
    </row>
    <row r="242" spans="1:26" ht="15.75" customHeight="1">
      <c r="A242" s="595"/>
      <c r="B242" s="699">
        <v>1998</v>
      </c>
      <c r="C242" s="997">
        <v>9842.027900000001</v>
      </c>
      <c r="D242" s="998">
        <v>7522.4376000000011</v>
      </c>
      <c r="E242" s="998">
        <v>1699.6748500000001</v>
      </c>
      <c r="F242" s="998">
        <v>1574.9949999999999</v>
      </c>
      <c r="G242" s="998">
        <v>2636.9566</v>
      </c>
      <c r="H242" s="998">
        <v>1168.7679599999999</v>
      </c>
      <c r="I242" s="1004">
        <v>124.78252000000001</v>
      </c>
      <c r="J242" s="997">
        <v>277.85245999999995</v>
      </c>
      <c r="K242" s="998">
        <v>133.68962000000002</v>
      </c>
      <c r="L242" s="998">
        <v>114.38511999999999</v>
      </c>
      <c r="M242" s="998">
        <v>81.774850000000001</v>
      </c>
      <c r="N242" s="998">
        <v>141.02651</v>
      </c>
      <c r="O242" s="998">
        <v>136.31780999999998</v>
      </c>
      <c r="P242" s="1004">
        <v>28.478159999999999</v>
      </c>
      <c r="Q242" s="595"/>
      <c r="R242" s="595"/>
      <c r="S242" s="599"/>
      <c r="T242" s="599"/>
      <c r="U242" s="599"/>
      <c r="V242" s="599"/>
      <c r="W242" s="599"/>
      <c r="X242" s="599"/>
      <c r="Y242" s="599"/>
      <c r="Z242" s="599"/>
    </row>
    <row r="243" spans="1:26" ht="15.75" customHeight="1">
      <c r="A243" s="595"/>
      <c r="B243" s="699">
        <v>1999</v>
      </c>
      <c r="C243" s="997">
        <v>9537.9322454545454</v>
      </c>
      <c r="D243" s="998">
        <v>7666.2090000000007</v>
      </c>
      <c r="E243" s="998">
        <v>1485.1154999999999</v>
      </c>
      <c r="F243" s="998">
        <v>1107.2020499999999</v>
      </c>
      <c r="G243" s="998">
        <v>2922.8872499999998</v>
      </c>
      <c r="H243" s="998">
        <v>1775.0430999999999</v>
      </c>
      <c r="I243" s="1004">
        <v>81.632100000000008</v>
      </c>
      <c r="J243" s="997">
        <v>178.12454000000002</v>
      </c>
      <c r="K243" s="998">
        <v>133.62245000000001</v>
      </c>
      <c r="L243" s="998">
        <v>76.022949999999994</v>
      </c>
      <c r="M243" s="998">
        <v>19.612470000000002</v>
      </c>
      <c r="N243" s="998">
        <v>64.798389999999998</v>
      </c>
      <c r="O243" s="998">
        <v>220.48365000000001</v>
      </c>
      <c r="P243" s="1004">
        <v>14.41952</v>
      </c>
      <c r="Q243" s="595"/>
      <c r="R243" s="595"/>
      <c r="S243" s="599"/>
      <c r="T243" s="599"/>
      <c r="U243" s="599"/>
      <c r="V243" s="599"/>
      <c r="W243" s="599"/>
      <c r="X243" s="599"/>
      <c r="Y243" s="599"/>
      <c r="Z243" s="599"/>
    </row>
    <row r="244" spans="1:26" ht="15.75" customHeight="1">
      <c r="A244" s="595"/>
      <c r="B244" s="699">
        <v>2000</v>
      </c>
      <c r="C244" s="997">
        <v>9120.6355000000003</v>
      </c>
      <c r="D244" s="998">
        <v>7748.8832199999997</v>
      </c>
      <c r="E244" s="998">
        <v>1761.1927500000002</v>
      </c>
      <c r="F244" s="998">
        <v>2033.5506000000003</v>
      </c>
      <c r="G244" s="998">
        <v>1655.1966999999997</v>
      </c>
      <c r="H244" s="998">
        <v>1450.83446</v>
      </c>
      <c r="I244" s="1004">
        <v>77.202390000000008</v>
      </c>
      <c r="J244" s="997">
        <v>386.35948000000013</v>
      </c>
      <c r="K244" s="998">
        <v>185.76167999999996</v>
      </c>
      <c r="L244" s="998">
        <v>114.92133000000001</v>
      </c>
      <c r="M244" s="998">
        <v>46.465210000000006</v>
      </c>
      <c r="N244" s="998">
        <v>106.42624000000001</v>
      </c>
      <c r="O244" s="998">
        <v>241.58020000000005</v>
      </c>
      <c r="P244" s="1004">
        <v>16.747290000000003</v>
      </c>
      <c r="Q244" s="595"/>
      <c r="R244" s="595"/>
      <c r="S244" s="599"/>
      <c r="T244" s="599"/>
      <c r="U244" s="599"/>
      <c r="V244" s="599"/>
      <c r="W244" s="599"/>
      <c r="X244" s="599"/>
      <c r="Y244" s="599"/>
      <c r="Z244" s="599"/>
    </row>
    <row r="245" spans="1:26" ht="15.75" customHeight="1">
      <c r="A245" s="595"/>
      <c r="B245" s="699">
        <v>2001</v>
      </c>
      <c r="C245" s="997">
        <v>9026</v>
      </c>
      <c r="D245" s="998">
        <v>11654</v>
      </c>
      <c r="E245" s="998">
        <v>3171</v>
      </c>
      <c r="F245" s="998">
        <v>3300</v>
      </c>
      <c r="G245" s="998">
        <v>2184</v>
      </c>
      <c r="H245" s="998">
        <v>1836</v>
      </c>
      <c r="I245" s="1004">
        <v>445</v>
      </c>
      <c r="J245" s="997">
        <v>365</v>
      </c>
      <c r="K245" s="998">
        <v>292</v>
      </c>
      <c r="L245" s="998">
        <v>262</v>
      </c>
      <c r="M245" s="998">
        <v>139</v>
      </c>
      <c r="N245" s="998">
        <v>65</v>
      </c>
      <c r="O245" s="998">
        <v>409</v>
      </c>
      <c r="P245" s="1004">
        <v>46</v>
      </c>
      <c r="Q245" s="595"/>
      <c r="R245" s="595"/>
      <c r="S245" s="599"/>
      <c r="T245" s="599"/>
      <c r="U245" s="599"/>
      <c r="V245" s="599"/>
      <c r="W245" s="599"/>
      <c r="X245" s="599"/>
      <c r="Y245" s="599"/>
      <c r="Z245" s="599"/>
    </row>
    <row r="246" spans="1:26" ht="15.75" customHeight="1">
      <c r="A246" s="595"/>
      <c r="B246" s="699">
        <v>2002</v>
      </c>
      <c r="C246" s="997">
        <v>9707.2468499999995</v>
      </c>
      <c r="D246" s="998">
        <v>15091.233519999996</v>
      </c>
      <c r="E246" s="998">
        <v>5664.3032830769234</v>
      </c>
      <c r="F246" s="998">
        <v>5085.4903400000003</v>
      </c>
      <c r="G246" s="998">
        <v>2066.6909100000003</v>
      </c>
      <c r="H246" s="998">
        <v>3148.20226</v>
      </c>
      <c r="I246" s="1004">
        <v>147.17358999999996</v>
      </c>
      <c r="J246" s="997">
        <v>309.26438999999993</v>
      </c>
      <c r="K246" s="998">
        <v>781.96161999999993</v>
      </c>
      <c r="L246" s="998">
        <v>369.76676000000003</v>
      </c>
      <c r="M246" s="998">
        <v>211.14341000000002</v>
      </c>
      <c r="N246" s="998">
        <v>49.323120000000003</v>
      </c>
      <c r="O246" s="998">
        <v>378.78660000000002</v>
      </c>
      <c r="P246" s="1004">
        <v>31.267619999999997</v>
      </c>
      <c r="Q246" s="595"/>
      <c r="R246" s="595"/>
      <c r="S246" s="599"/>
      <c r="T246" s="599"/>
      <c r="U246" s="599"/>
      <c r="V246" s="599"/>
      <c r="W246" s="599"/>
      <c r="X246" s="599"/>
      <c r="Y246" s="599"/>
      <c r="Z246" s="599"/>
    </row>
    <row r="247" spans="1:26" ht="15.75" customHeight="1">
      <c r="A247" s="595"/>
      <c r="B247" s="699">
        <v>2003</v>
      </c>
      <c r="C247" s="997">
        <v>11630.31692128788</v>
      </c>
      <c r="D247" s="998">
        <v>7606.8425233333337</v>
      </c>
      <c r="E247" s="998">
        <v>2257.1000060897436</v>
      </c>
      <c r="F247" s="998">
        <v>2150.0350466666664</v>
      </c>
      <c r="G247" s="998">
        <v>2565.8668683333335</v>
      </c>
      <c r="H247" s="998">
        <v>1749.4244650000001</v>
      </c>
      <c r="I247" s="1004">
        <v>243.20530350000001</v>
      </c>
      <c r="J247" s="997">
        <v>304.4153025</v>
      </c>
      <c r="K247" s="998">
        <v>198.11966333333336</v>
      </c>
      <c r="L247" s="998">
        <v>145.12194083333335</v>
      </c>
      <c r="M247" s="998">
        <v>68.905920833333326</v>
      </c>
      <c r="N247" s="998">
        <v>60.849830000000004</v>
      </c>
      <c r="O247" s="998">
        <v>260.99836749999997</v>
      </c>
      <c r="P247" s="1004">
        <v>32.108053749999996</v>
      </c>
      <c r="Q247" s="595"/>
      <c r="R247" s="595"/>
      <c r="S247" s="599"/>
      <c r="T247" s="599"/>
      <c r="U247" s="599"/>
      <c r="V247" s="599"/>
      <c r="W247" s="599"/>
      <c r="X247" s="599"/>
      <c r="Y247" s="599"/>
      <c r="Z247" s="599"/>
    </row>
    <row r="248" spans="1:26" ht="15.75" customHeight="1">
      <c r="A248" s="595"/>
      <c r="B248" s="1008">
        <v>2004</v>
      </c>
      <c r="C248" s="997">
        <v>5970.6234100000011</v>
      </c>
      <c r="D248" s="998">
        <v>10889.561749999999</v>
      </c>
      <c r="E248" s="998">
        <v>3471.6500799999999</v>
      </c>
      <c r="F248" s="998">
        <v>3271.0915000000005</v>
      </c>
      <c r="G248" s="998">
        <v>467.79585000000003</v>
      </c>
      <c r="H248" s="998">
        <v>3015.8252999999995</v>
      </c>
      <c r="I248" s="1004">
        <v>30.33174</v>
      </c>
      <c r="J248" s="997">
        <v>388.25441000000001</v>
      </c>
      <c r="K248" s="998">
        <v>198.41956000000002</v>
      </c>
      <c r="L248" s="998">
        <v>364.83915000000002</v>
      </c>
      <c r="M248" s="998">
        <v>133.95593</v>
      </c>
      <c r="N248" s="998">
        <v>24.912779999999998</v>
      </c>
      <c r="O248" s="998">
        <v>287.47185999999999</v>
      </c>
      <c r="P248" s="1004">
        <v>28.797443999999999</v>
      </c>
      <c r="Q248" s="595"/>
      <c r="R248" s="595"/>
      <c r="S248" s="599"/>
      <c r="T248" s="599"/>
      <c r="U248" s="599"/>
      <c r="V248" s="599"/>
      <c r="W248" s="599"/>
      <c r="X248" s="599"/>
      <c r="Y248" s="599"/>
      <c r="Z248" s="599"/>
    </row>
    <row r="249" spans="1:26" ht="15.75" customHeight="1">
      <c r="A249" s="595"/>
      <c r="B249" s="1008">
        <v>2005</v>
      </c>
      <c r="C249" s="997">
        <v>5550</v>
      </c>
      <c r="D249" s="998">
        <v>12312</v>
      </c>
      <c r="E249" s="998">
        <v>4141</v>
      </c>
      <c r="F249" s="998">
        <v>4144</v>
      </c>
      <c r="G249" s="998">
        <v>162</v>
      </c>
      <c r="H249" s="998">
        <v>3874</v>
      </c>
      <c r="I249" s="1004">
        <v>97</v>
      </c>
      <c r="J249" s="997">
        <v>191</v>
      </c>
      <c r="K249" s="998">
        <v>118</v>
      </c>
      <c r="L249" s="998">
        <v>305</v>
      </c>
      <c r="M249" s="998">
        <v>51</v>
      </c>
      <c r="N249" s="998">
        <v>20</v>
      </c>
      <c r="O249" s="998">
        <v>301</v>
      </c>
      <c r="P249" s="1004">
        <v>30</v>
      </c>
      <c r="Q249" s="595"/>
      <c r="R249" s="595"/>
      <c r="S249" s="599"/>
      <c r="T249" s="599"/>
      <c r="U249" s="599"/>
      <c r="V249" s="599"/>
      <c r="W249" s="599"/>
      <c r="X249" s="599"/>
      <c r="Y249" s="599"/>
      <c r="Z249" s="599"/>
    </row>
    <row r="250" spans="1:26" ht="15.75" customHeight="1">
      <c r="A250" s="595"/>
      <c r="B250" s="1008">
        <v>2006</v>
      </c>
      <c r="C250" s="997">
        <v>5168</v>
      </c>
      <c r="D250" s="998">
        <v>10603</v>
      </c>
      <c r="E250" s="998">
        <v>3325</v>
      </c>
      <c r="F250" s="998">
        <v>2912</v>
      </c>
      <c r="G250" s="998">
        <v>66</v>
      </c>
      <c r="H250" s="998">
        <v>1937</v>
      </c>
      <c r="I250" s="1004">
        <v>40</v>
      </c>
      <c r="J250" s="997">
        <v>360</v>
      </c>
      <c r="K250" s="998">
        <v>129</v>
      </c>
      <c r="L250" s="998">
        <v>280</v>
      </c>
      <c r="M250" s="998">
        <v>67</v>
      </c>
      <c r="N250" s="998">
        <v>19</v>
      </c>
      <c r="O250" s="998">
        <v>283</v>
      </c>
      <c r="P250" s="1004">
        <v>31</v>
      </c>
      <c r="Q250" s="595"/>
      <c r="R250" s="595"/>
      <c r="S250" s="599"/>
      <c r="T250" s="599"/>
      <c r="U250" s="599"/>
      <c r="V250" s="599"/>
      <c r="W250" s="599"/>
      <c r="X250" s="599"/>
      <c r="Y250" s="599"/>
      <c r="Z250" s="599"/>
    </row>
    <row r="251" spans="1:26" ht="15.75" customHeight="1">
      <c r="A251" s="595"/>
      <c r="B251" s="1008">
        <v>2007</v>
      </c>
      <c r="C251" s="997">
        <v>4378.7469633999999</v>
      </c>
      <c r="D251" s="998">
        <v>7749.8302211999999</v>
      </c>
      <c r="E251" s="998">
        <v>2749.5371369999993</v>
      </c>
      <c r="F251" s="998">
        <v>2452.1931626000001</v>
      </c>
      <c r="G251" s="998">
        <v>58.0616974</v>
      </c>
      <c r="H251" s="998">
        <v>1980.0044023999999</v>
      </c>
      <c r="I251" s="1004">
        <v>31.430131000000006</v>
      </c>
      <c r="J251" s="997">
        <v>166.96395320000002</v>
      </c>
      <c r="K251" s="998">
        <v>93.010052399999992</v>
      </c>
      <c r="L251" s="998">
        <v>270.74388759999999</v>
      </c>
      <c r="M251" s="998">
        <v>52.127246800000002</v>
      </c>
      <c r="N251" s="998">
        <v>15.938587</v>
      </c>
      <c r="O251" s="998">
        <v>224.21512079999997</v>
      </c>
      <c r="P251" s="1004">
        <v>25.999559999999999</v>
      </c>
      <c r="Q251" s="595"/>
      <c r="R251" s="595"/>
      <c r="S251" s="599"/>
      <c r="T251" s="599"/>
      <c r="U251" s="599"/>
      <c r="V251" s="599"/>
      <c r="W251" s="599"/>
      <c r="X251" s="599"/>
      <c r="Y251" s="599"/>
      <c r="Z251" s="599"/>
    </row>
    <row r="252" spans="1:26" ht="15.75" customHeight="1">
      <c r="A252" s="595"/>
      <c r="B252" s="1008">
        <v>2008</v>
      </c>
      <c r="C252" s="997">
        <v>4718.2181700000001</v>
      </c>
      <c r="D252" s="998">
        <v>7444.9031100000002</v>
      </c>
      <c r="E252" s="998">
        <v>1562.2143199999996</v>
      </c>
      <c r="F252" s="998">
        <v>1523.6107199999997</v>
      </c>
      <c r="G252" s="998">
        <v>73.36478000000001</v>
      </c>
      <c r="H252" s="998">
        <v>1381.87589</v>
      </c>
      <c r="I252" s="1004">
        <v>10.037209999999998</v>
      </c>
      <c r="J252" s="997">
        <v>62.084739999999996</v>
      </c>
      <c r="K252" s="998">
        <v>70.624859999999998</v>
      </c>
      <c r="L252" s="998">
        <v>155.85081</v>
      </c>
      <c r="M252" s="998">
        <v>35.343920000000004</v>
      </c>
      <c r="N252" s="998">
        <v>4.1412399999999998</v>
      </c>
      <c r="O252" s="998">
        <v>73.98814999999999</v>
      </c>
      <c r="P252" s="1004">
        <v>8.4209899999999998</v>
      </c>
      <c r="Q252" s="595"/>
      <c r="R252" s="595"/>
      <c r="S252" s="599"/>
      <c r="T252" s="599"/>
      <c r="U252" s="599"/>
      <c r="V252" s="599"/>
      <c r="W252" s="599"/>
      <c r="X252" s="599"/>
      <c r="Y252" s="599"/>
      <c r="Z252" s="599"/>
    </row>
    <row r="253" spans="1:26" ht="15.75" customHeight="1">
      <c r="A253" s="595"/>
      <c r="B253" s="1008">
        <v>2009</v>
      </c>
      <c r="C253" s="1011">
        <v>10132.188433445908</v>
      </c>
      <c r="D253" s="1011">
        <v>8441.0864555106473</v>
      </c>
      <c r="E253" s="1011">
        <v>2451.7094864751152</v>
      </c>
      <c r="F253" s="1011">
        <v>2343.3380336372688</v>
      </c>
      <c r="G253" s="1011">
        <v>1949.4132859981482</v>
      </c>
      <c r="H253" s="1011">
        <v>2074.2861290249998</v>
      </c>
      <c r="I253" s="1012">
        <v>179.09989612202384</v>
      </c>
      <c r="J253" s="1011">
        <v>285.33817189895831</v>
      </c>
      <c r="K253" s="1011">
        <v>172.05505478287034</v>
      </c>
      <c r="L253" s="1011">
        <v>170.9261149769676</v>
      </c>
      <c r="M253" s="1011">
        <v>65.984463471412028</v>
      </c>
      <c r="N253" s="1011">
        <v>49.873490725694445</v>
      </c>
      <c r="O253" s="1011">
        <v>240.1574775470238</v>
      </c>
      <c r="P253" s="1012">
        <v>28.765284647321426</v>
      </c>
      <c r="Q253" s="595"/>
      <c r="R253" s="595"/>
      <c r="S253" s="599"/>
      <c r="T253" s="599"/>
      <c r="U253" s="599"/>
      <c r="V253" s="599"/>
      <c r="W253" s="599"/>
      <c r="X253" s="599"/>
      <c r="Y253" s="599"/>
      <c r="Z253" s="599"/>
    </row>
    <row r="254" spans="1:26" ht="15.75" customHeight="1">
      <c r="A254" s="595"/>
      <c r="B254" s="1008">
        <v>2010</v>
      </c>
      <c r="C254" s="1013">
        <v>12256.287000000002</v>
      </c>
      <c r="D254" s="997">
        <v>16087.677000000001</v>
      </c>
      <c r="E254" s="997">
        <v>3104.0108999999998</v>
      </c>
      <c r="F254" s="997">
        <v>3691.0042000000008</v>
      </c>
      <c r="G254" s="997">
        <v>64.11469799999999</v>
      </c>
      <c r="H254" s="997">
        <v>3460.8343999999993</v>
      </c>
      <c r="I254" s="1004">
        <v>27.89771</v>
      </c>
      <c r="J254" s="997">
        <v>27.599170000000001</v>
      </c>
      <c r="K254" s="997">
        <v>33.087020000000003</v>
      </c>
      <c r="L254" s="997">
        <v>146.86870999999999</v>
      </c>
      <c r="M254" s="997">
        <v>24.017228000000003</v>
      </c>
      <c r="N254" s="997">
        <v>1.2538399999999998</v>
      </c>
      <c r="O254" s="997">
        <v>23.870319999999996</v>
      </c>
      <c r="P254" s="1004">
        <v>0.77501999999999993</v>
      </c>
      <c r="Q254" s="595"/>
      <c r="R254" s="595"/>
      <c r="S254" s="599"/>
      <c r="T254" s="599"/>
      <c r="U254" s="599"/>
      <c r="V254" s="599"/>
      <c r="W254" s="599"/>
      <c r="X254" s="599"/>
      <c r="Y254" s="599"/>
      <c r="Z254" s="599"/>
    </row>
    <row r="255" spans="1:26" ht="15.75" customHeight="1">
      <c r="A255" s="595"/>
      <c r="B255" s="1008">
        <v>2011</v>
      </c>
      <c r="C255" s="1014">
        <v>13815.451799999999</v>
      </c>
      <c r="D255" s="1014">
        <v>20465.718999999997</v>
      </c>
      <c r="E255" s="1014">
        <v>4611.1904999999997</v>
      </c>
      <c r="F255" s="1014">
        <v>4604.4993000000004</v>
      </c>
      <c r="G255" s="1014">
        <v>84.747709999999998</v>
      </c>
      <c r="H255" s="1014">
        <v>3604.2698</v>
      </c>
      <c r="I255" s="1012">
        <v>7.1215999999999999</v>
      </c>
      <c r="J255" s="1014">
        <v>22.690719999999999</v>
      </c>
      <c r="K255" s="1014">
        <v>38.641120000000001</v>
      </c>
      <c r="L255" s="1014">
        <v>171.94094000000001</v>
      </c>
      <c r="M255" s="1014">
        <v>25.226427999999995</v>
      </c>
      <c r="N255" s="1014">
        <v>0.68006000000000011</v>
      </c>
      <c r="O255" s="1014">
        <v>17.45842</v>
      </c>
      <c r="P255" s="1012">
        <v>3.9939999999999996E-2</v>
      </c>
      <c r="Q255" s="595"/>
      <c r="R255" s="595"/>
      <c r="S255" s="599"/>
      <c r="T255" s="599"/>
      <c r="U255" s="599"/>
      <c r="V255" s="599"/>
      <c r="W255" s="599"/>
      <c r="X255" s="599"/>
      <c r="Y255" s="599"/>
      <c r="Z255" s="599"/>
    </row>
    <row r="256" spans="1:26" ht="15.75" customHeight="1">
      <c r="A256" s="595"/>
      <c r="B256" s="1008">
        <v>2012</v>
      </c>
      <c r="C256" s="1014">
        <v>9363.1564999999991</v>
      </c>
      <c r="D256" s="1014">
        <v>21653.639000000003</v>
      </c>
      <c r="E256" s="1014">
        <v>3286.3743999999997</v>
      </c>
      <c r="F256" s="1014">
        <v>3845.6915000000008</v>
      </c>
      <c r="G256" s="1014">
        <v>57.670900000000003</v>
      </c>
      <c r="H256" s="1014">
        <v>3756.2103999999999</v>
      </c>
      <c r="I256" s="1012">
        <v>7.7032880000000006</v>
      </c>
      <c r="J256" s="1014">
        <v>23.435470000000002</v>
      </c>
      <c r="K256" s="1014">
        <v>27.705338999999999</v>
      </c>
      <c r="L256" s="1014">
        <v>183.69759999999999</v>
      </c>
      <c r="M256" s="1014">
        <v>31.334508</v>
      </c>
      <c r="N256" s="1014">
        <v>2.6210000000000001E-2</v>
      </c>
      <c r="O256" s="1014">
        <v>24.511278999999998</v>
      </c>
      <c r="P256" s="1012">
        <v>0</v>
      </c>
      <c r="Q256" s="595"/>
      <c r="R256" s="595"/>
      <c r="S256" s="599"/>
      <c r="T256" s="599"/>
      <c r="U256" s="599"/>
      <c r="V256" s="599"/>
      <c r="W256" s="599"/>
      <c r="X256" s="599"/>
      <c r="Y256" s="599"/>
      <c r="Z256" s="599"/>
    </row>
    <row r="257" spans="1:26" ht="15.75" customHeight="1">
      <c r="A257" s="595"/>
      <c r="B257" s="1008">
        <v>2013</v>
      </c>
      <c r="C257" s="1014">
        <v>4444.3051500000001</v>
      </c>
      <c r="D257" s="1014">
        <v>14390.887200000001</v>
      </c>
      <c r="E257" s="1014">
        <v>1363.64715</v>
      </c>
      <c r="F257" s="1014">
        <v>1263.0484899999999</v>
      </c>
      <c r="G257" s="1014">
        <v>45.219700000000003</v>
      </c>
      <c r="H257" s="1014">
        <v>2167.8450800000001</v>
      </c>
      <c r="I257" s="1012">
        <v>20.247050000000005</v>
      </c>
      <c r="J257" s="1014">
        <v>18.835970000000003</v>
      </c>
      <c r="K257" s="1014">
        <v>18.951000000000001</v>
      </c>
      <c r="L257" s="1014">
        <v>229.17650499999996</v>
      </c>
      <c r="M257" s="1014">
        <v>32.616506999999999</v>
      </c>
      <c r="N257" s="1014">
        <v>0.16331000000000001</v>
      </c>
      <c r="O257" s="1014">
        <v>25.034219999999998</v>
      </c>
      <c r="P257" s="1012">
        <v>0</v>
      </c>
      <c r="Q257" s="595"/>
      <c r="R257" s="595"/>
      <c r="S257" s="599"/>
      <c r="T257" s="599"/>
      <c r="U257" s="599"/>
      <c r="V257" s="599"/>
      <c r="W257" s="599"/>
      <c r="X257" s="599"/>
      <c r="Y257" s="599"/>
      <c r="Z257" s="599"/>
    </row>
    <row r="258" spans="1:26" ht="15.75" customHeight="1">
      <c r="A258" s="595"/>
      <c r="B258" s="1008">
        <v>2014</v>
      </c>
      <c r="C258" s="1016">
        <f t="shared" ref="C258:P258" si="50">C86</f>
        <v>46872.371209999998</v>
      </c>
      <c r="D258" s="1016">
        <f t="shared" si="50"/>
        <v>72241.830229999992</v>
      </c>
      <c r="E258" s="1016">
        <f t="shared" si="50"/>
        <v>473.21754099999998</v>
      </c>
      <c r="F258" s="1016">
        <f t="shared" si="50"/>
        <v>6955.2117100000005</v>
      </c>
      <c r="G258" s="1016" t="e">
        <f t="shared" si="50"/>
        <v>#DIV/0!</v>
      </c>
      <c r="H258" s="1016">
        <f t="shared" si="50"/>
        <v>18073.657739999999</v>
      </c>
      <c r="I258" s="1016">
        <f t="shared" si="50"/>
        <v>139.72383300000001</v>
      </c>
      <c r="J258" s="1016">
        <f t="shared" si="50"/>
        <v>35.057549999999999</v>
      </c>
      <c r="K258" s="1016">
        <f t="shared" si="50"/>
        <v>36.813268999999991</v>
      </c>
      <c r="L258" s="1016">
        <f t="shared" si="50"/>
        <v>3.1070579999999999</v>
      </c>
      <c r="M258" s="1016">
        <f t="shared" si="50"/>
        <v>8.0235600000000016</v>
      </c>
      <c r="N258" s="1016">
        <f t="shared" si="50"/>
        <v>0.1436325</v>
      </c>
      <c r="O258" s="1016">
        <f t="shared" si="50"/>
        <v>137.77293</v>
      </c>
      <c r="P258" s="1016">
        <f t="shared" si="50"/>
        <v>2.2975779999999997</v>
      </c>
      <c r="Q258" s="595"/>
      <c r="R258" s="595"/>
      <c r="S258" s="599"/>
      <c r="T258" s="599"/>
      <c r="U258" s="599"/>
      <c r="V258" s="599"/>
      <c r="W258" s="599"/>
      <c r="X258" s="599"/>
      <c r="Y258" s="599"/>
      <c r="Z258" s="599"/>
    </row>
    <row r="259" spans="1:26" ht="15.75" customHeight="1">
      <c r="A259" s="595"/>
      <c r="B259" s="845" t="s">
        <v>235</v>
      </c>
      <c r="C259" s="1017">
        <f t="shared" ref="C259:P259" si="51">AVERAGE(C236:C258)</f>
        <v>11622.109045808191</v>
      </c>
      <c r="D259" s="1017">
        <f t="shared" si="51"/>
        <v>12779.945210001912</v>
      </c>
      <c r="E259" s="1017">
        <f t="shared" si="51"/>
        <v>2444.3451262452941</v>
      </c>
      <c r="F259" s="1017">
        <f t="shared" si="51"/>
        <v>2677.9113762132151</v>
      </c>
      <c r="G259" s="1017" t="e">
        <f t="shared" si="51"/>
        <v>#DIV/0!</v>
      </c>
      <c r="H259" s="1017">
        <f t="shared" si="51"/>
        <v>3082.8763887592099</v>
      </c>
      <c r="I259" s="1017">
        <f t="shared" si="51"/>
        <v>142.20412429589601</v>
      </c>
      <c r="J259" s="1017">
        <f t="shared" si="51"/>
        <v>230.18592728691127</v>
      </c>
      <c r="K259" s="1017">
        <f t="shared" si="51"/>
        <v>143.23749167461756</v>
      </c>
      <c r="L259" s="1017">
        <f t="shared" si="51"/>
        <v>167.62473375696962</v>
      </c>
      <c r="M259" s="1017">
        <f t="shared" si="51"/>
        <v>56.762245743684566</v>
      </c>
      <c r="N259" s="1017">
        <f t="shared" si="51"/>
        <v>39.111184357638891</v>
      </c>
      <c r="O259" s="1017">
        <f t="shared" si="51"/>
        <v>189.81612657089599</v>
      </c>
      <c r="P259" s="1018">
        <f t="shared" si="51"/>
        <v>21.604024231437968</v>
      </c>
      <c r="Q259" s="595"/>
      <c r="R259" s="595"/>
      <c r="S259" s="599"/>
      <c r="T259" s="599"/>
      <c r="U259" s="599"/>
      <c r="V259" s="599"/>
      <c r="W259" s="599"/>
      <c r="X259" s="599"/>
      <c r="Y259" s="599"/>
      <c r="Z259" s="599"/>
    </row>
    <row r="260" spans="1:26" ht="15.75" customHeight="1">
      <c r="A260" s="684"/>
      <c r="B260" s="685"/>
      <c r="C260" s="685"/>
      <c r="D260" s="724"/>
      <c r="E260" s="724"/>
      <c r="F260" s="724"/>
      <c r="G260" s="724"/>
      <c r="H260" s="724"/>
      <c r="I260" s="753"/>
      <c r="J260" s="753"/>
      <c r="K260" s="753"/>
      <c r="L260" s="753"/>
      <c r="M260" s="724"/>
      <c r="N260" s="753"/>
      <c r="O260" s="753"/>
      <c r="P260" s="595"/>
      <c r="Q260" s="595"/>
      <c r="R260" s="595"/>
      <c r="S260" s="599"/>
      <c r="T260" s="599"/>
      <c r="U260" s="599"/>
      <c r="V260" s="599"/>
      <c r="W260" s="599"/>
      <c r="X260" s="599"/>
      <c r="Y260" s="599"/>
      <c r="Z260" s="599"/>
    </row>
    <row r="261" spans="1:26" ht="15.75" customHeight="1">
      <c r="A261" s="595"/>
      <c r="B261" s="595"/>
      <c r="C261" s="595"/>
      <c r="D261" s="595"/>
      <c r="E261" s="595"/>
      <c r="F261" s="595"/>
      <c r="G261" s="595"/>
      <c r="H261" s="595"/>
      <c r="I261" s="595"/>
      <c r="J261" s="595"/>
      <c r="K261" s="595"/>
      <c r="L261" s="595"/>
      <c r="M261" s="595"/>
      <c r="N261" s="595"/>
      <c r="O261" s="595"/>
      <c r="P261" s="595"/>
      <c r="Q261" s="595"/>
      <c r="R261" s="595"/>
      <c r="S261" s="599"/>
      <c r="T261" s="599"/>
      <c r="U261" s="599"/>
      <c r="V261" s="599"/>
      <c r="W261" s="599"/>
      <c r="X261" s="599"/>
      <c r="Y261" s="599"/>
      <c r="Z261" s="599"/>
    </row>
    <row r="262" spans="1:26" ht="15.75" customHeight="1">
      <c r="A262" s="595"/>
      <c r="B262" s="595"/>
      <c r="C262" s="595"/>
      <c r="D262" s="595"/>
      <c r="E262" s="595"/>
      <c r="F262" s="595"/>
      <c r="G262" s="595"/>
      <c r="H262" s="595"/>
      <c r="I262" s="595"/>
      <c r="J262" s="595"/>
      <c r="K262" s="595"/>
      <c r="L262" s="595"/>
      <c r="M262" s="595"/>
      <c r="N262" s="595"/>
      <c r="O262" s="595"/>
      <c r="P262" s="595"/>
      <c r="Q262" s="595"/>
      <c r="R262" s="595"/>
      <c r="S262" s="599"/>
      <c r="T262" s="599"/>
      <c r="U262" s="599"/>
      <c r="V262" s="599"/>
      <c r="W262" s="599"/>
      <c r="X262" s="599"/>
      <c r="Y262" s="599"/>
      <c r="Z262" s="599"/>
    </row>
    <row r="263" spans="1:26" ht="15.75" customHeight="1">
      <c r="A263" s="595"/>
      <c r="B263" s="595"/>
      <c r="C263" s="595"/>
      <c r="D263" s="595"/>
      <c r="E263" s="595"/>
      <c r="F263" s="595"/>
      <c r="G263" s="595"/>
      <c r="H263" s="595"/>
      <c r="I263" s="595"/>
      <c r="J263" s="595"/>
      <c r="K263" s="595"/>
      <c r="L263" s="595"/>
      <c r="M263" s="595"/>
      <c r="N263" s="595"/>
      <c r="O263" s="595"/>
      <c r="P263" s="595"/>
      <c r="Q263" s="595"/>
      <c r="R263" s="595"/>
      <c r="S263" s="599"/>
      <c r="T263" s="599"/>
      <c r="U263" s="599"/>
      <c r="V263" s="599"/>
      <c r="W263" s="599"/>
      <c r="X263" s="599"/>
      <c r="Y263" s="599"/>
      <c r="Z263" s="599"/>
    </row>
    <row r="264" spans="1:26" ht="15.75" customHeight="1">
      <c r="A264" s="599"/>
      <c r="B264" s="599"/>
      <c r="C264" s="599"/>
      <c r="D264" s="599"/>
      <c r="E264" s="599"/>
      <c r="F264" s="599"/>
      <c r="G264" s="599"/>
      <c r="H264" s="599"/>
      <c r="I264" s="599"/>
      <c r="J264" s="599"/>
      <c r="K264" s="599"/>
      <c r="L264" s="599"/>
      <c r="M264" s="599"/>
      <c r="N264" s="599"/>
      <c r="O264" s="599"/>
      <c r="P264" s="599"/>
      <c r="Q264" s="599"/>
      <c r="R264" s="599"/>
      <c r="S264" s="599"/>
      <c r="T264" s="599"/>
      <c r="U264" s="599"/>
      <c r="V264" s="599"/>
      <c r="W264" s="599"/>
      <c r="X264" s="599"/>
      <c r="Y264" s="599"/>
      <c r="Z264" s="599"/>
    </row>
    <row r="265" spans="1:26" ht="15.75" customHeight="1">
      <c r="A265" s="599"/>
      <c r="B265" s="599"/>
      <c r="C265" s="599"/>
      <c r="D265" s="599"/>
      <c r="E265" s="599"/>
      <c r="F265" s="599"/>
      <c r="G265" s="599"/>
      <c r="H265" s="599"/>
      <c r="I265" s="599"/>
      <c r="J265" s="599"/>
      <c r="K265" s="599"/>
      <c r="L265" s="599"/>
      <c r="M265" s="599"/>
      <c r="N265" s="599"/>
      <c r="O265" s="599"/>
      <c r="P265" s="599"/>
      <c r="Q265" s="599"/>
      <c r="R265" s="599"/>
      <c r="S265" s="599"/>
      <c r="T265" s="599"/>
      <c r="U265" s="599"/>
      <c r="V265" s="599"/>
      <c r="W265" s="599"/>
      <c r="X265" s="599"/>
      <c r="Y265" s="599"/>
      <c r="Z265" s="599"/>
    </row>
    <row r="266" spans="1:26" ht="15.75" customHeight="1">
      <c r="A266" s="599"/>
      <c r="B266" s="599"/>
      <c r="C266" s="599"/>
      <c r="D266" s="599"/>
      <c r="E266" s="599"/>
      <c r="F266" s="599"/>
      <c r="G266" s="599"/>
      <c r="H266" s="599"/>
      <c r="I266" s="599"/>
      <c r="J266" s="599"/>
      <c r="K266" s="599"/>
      <c r="L266" s="599"/>
      <c r="M266" s="599"/>
      <c r="N266" s="599"/>
      <c r="O266" s="599"/>
      <c r="P266" s="599"/>
      <c r="Q266" s="599"/>
      <c r="R266" s="599"/>
      <c r="S266" s="599"/>
      <c r="T266" s="599"/>
      <c r="U266" s="599"/>
      <c r="V266" s="599"/>
      <c r="W266" s="599"/>
      <c r="X266" s="599"/>
      <c r="Y266" s="599"/>
      <c r="Z266" s="599"/>
    </row>
    <row r="267" spans="1:26" ht="15.75" customHeight="1">
      <c r="A267" s="599"/>
      <c r="B267" s="599"/>
      <c r="C267" s="599"/>
      <c r="D267" s="599"/>
      <c r="E267" s="599"/>
      <c r="F267" s="599"/>
      <c r="G267" s="599"/>
      <c r="H267" s="599"/>
      <c r="I267" s="599"/>
      <c r="J267" s="599"/>
      <c r="K267" s="599"/>
      <c r="L267" s="599"/>
      <c r="M267" s="599"/>
      <c r="N267" s="599"/>
      <c r="O267" s="599"/>
      <c r="P267" s="599"/>
      <c r="Q267" s="599"/>
      <c r="R267" s="599"/>
      <c r="S267" s="599"/>
      <c r="T267" s="599"/>
      <c r="U267" s="599"/>
      <c r="V267" s="599"/>
      <c r="W267" s="599"/>
      <c r="X267" s="599"/>
      <c r="Y267" s="599"/>
      <c r="Z267" s="599"/>
    </row>
    <row r="268" spans="1:26" ht="15.75" customHeight="1">
      <c r="A268" s="599"/>
      <c r="B268" s="599"/>
      <c r="C268" s="599"/>
      <c r="D268" s="599"/>
      <c r="E268" s="599"/>
      <c r="F268" s="599"/>
      <c r="G268" s="599"/>
      <c r="H268" s="599"/>
      <c r="I268" s="599"/>
      <c r="J268" s="599"/>
      <c r="K268" s="599"/>
      <c r="L268" s="599"/>
      <c r="M268" s="599"/>
      <c r="N268" s="599"/>
      <c r="O268" s="599"/>
      <c r="P268" s="599"/>
      <c r="Q268" s="599"/>
      <c r="R268" s="599"/>
      <c r="S268" s="599"/>
      <c r="T268" s="599"/>
      <c r="U268" s="599"/>
      <c r="V268" s="599"/>
      <c r="W268" s="599"/>
      <c r="X268" s="599"/>
      <c r="Y268" s="599"/>
      <c r="Z268" s="599"/>
    </row>
    <row r="269" spans="1:26" ht="15.75" customHeight="1">
      <c r="A269" s="599"/>
      <c r="B269" s="599"/>
      <c r="C269" s="599"/>
      <c r="D269" s="599"/>
      <c r="E269" s="599"/>
      <c r="F269" s="599"/>
      <c r="G269" s="599"/>
      <c r="H269" s="599"/>
      <c r="I269" s="599"/>
      <c r="J269" s="599"/>
      <c r="K269" s="599"/>
      <c r="L269" s="599"/>
      <c r="M269" s="599"/>
      <c r="N269" s="599"/>
      <c r="O269" s="599"/>
      <c r="P269" s="599"/>
      <c r="Q269" s="599"/>
      <c r="R269" s="599"/>
      <c r="S269" s="599"/>
      <c r="T269" s="599"/>
      <c r="U269" s="599"/>
      <c r="V269" s="599"/>
      <c r="W269" s="599"/>
      <c r="X269" s="599"/>
      <c r="Y269" s="599"/>
      <c r="Z269" s="599"/>
    </row>
    <row r="270" spans="1:26" ht="15.75" customHeight="1">
      <c r="A270" s="599"/>
      <c r="B270" s="599"/>
      <c r="C270" s="599"/>
      <c r="D270" s="599"/>
      <c r="E270" s="599"/>
      <c r="F270" s="599"/>
      <c r="G270" s="599"/>
      <c r="H270" s="599"/>
      <c r="I270" s="599"/>
      <c r="J270" s="599"/>
      <c r="K270" s="599"/>
      <c r="L270" s="599"/>
      <c r="M270" s="599"/>
      <c r="N270" s="599"/>
      <c r="O270" s="599"/>
      <c r="P270" s="599"/>
      <c r="Q270" s="599"/>
      <c r="R270" s="599"/>
      <c r="S270" s="599"/>
      <c r="T270" s="599"/>
      <c r="U270" s="599"/>
      <c r="V270" s="599"/>
      <c r="W270" s="599"/>
      <c r="X270" s="599"/>
      <c r="Y270" s="599"/>
      <c r="Z270" s="599"/>
    </row>
    <row r="271" spans="1:26" ht="15.75" customHeight="1">
      <c r="A271" s="599"/>
      <c r="B271" s="599"/>
      <c r="C271" s="599"/>
      <c r="D271" s="599"/>
      <c r="E271" s="599"/>
      <c r="F271" s="599"/>
      <c r="G271" s="599"/>
      <c r="H271" s="599"/>
      <c r="I271" s="599"/>
      <c r="J271" s="599"/>
      <c r="K271" s="599"/>
      <c r="L271" s="599"/>
      <c r="M271" s="599"/>
      <c r="N271" s="599"/>
      <c r="O271" s="599"/>
      <c r="P271" s="599"/>
      <c r="Q271" s="599"/>
      <c r="R271" s="599"/>
      <c r="S271" s="599"/>
      <c r="T271" s="599"/>
      <c r="U271" s="599"/>
      <c r="V271" s="599"/>
      <c r="W271" s="599"/>
      <c r="X271" s="599"/>
      <c r="Y271" s="599"/>
      <c r="Z271" s="599"/>
    </row>
    <row r="272" spans="1:26" ht="15.75" customHeight="1">
      <c r="A272" s="599"/>
      <c r="B272" s="599"/>
      <c r="C272" s="599"/>
      <c r="D272" s="599"/>
      <c r="E272" s="599"/>
      <c r="F272" s="599"/>
      <c r="G272" s="599"/>
      <c r="H272" s="599"/>
      <c r="I272" s="599"/>
      <c r="J272" s="599"/>
      <c r="K272" s="599"/>
      <c r="L272" s="599"/>
      <c r="M272" s="599"/>
      <c r="N272" s="599"/>
      <c r="O272" s="599"/>
      <c r="P272" s="599"/>
      <c r="Q272" s="599"/>
      <c r="R272" s="599"/>
      <c r="S272" s="599"/>
      <c r="T272" s="599"/>
      <c r="U272" s="599"/>
      <c r="V272" s="599"/>
      <c r="W272" s="599"/>
      <c r="X272" s="599"/>
      <c r="Y272" s="599"/>
      <c r="Z272" s="599"/>
    </row>
    <row r="273" spans="1:26" ht="15.75" customHeight="1">
      <c r="A273" s="599"/>
      <c r="B273" s="599"/>
      <c r="C273" s="599"/>
      <c r="D273" s="599"/>
      <c r="E273" s="599"/>
      <c r="F273" s="599"/>
      <c r="G273" s="599"/>
      <c r="H273" s="599"/>
      <c r="I273" s="599"/>
      <c r="J273" s="599"/>
      <c r="K273" s="599"/>
      <c r="L273" s="599"/>
      <c r="M273" s="599"/>
      <c r="N273" s="599"/>
      <c r="O273" s="599"/>
      <c r="P273" s="599"/>
      <c r="Q273" s="599"/>
      <c r="R273" s="599"/>
      <c r="S273" s="599"/>
      <c r="T273" s="599"/>
      <c r="U273" s="599"/>
      <c r="V273" s="599"/>
      <c r="W273" s="599"/>
      <c r="X273" s="599"/>
      <c r="Y273" s="599"/>
      <c r="Z273" s="599"/>
    </row>
    <row r="274" spans="1:26" ht="15.75" customHeight="1">
      <c r="A274" s="599"/>
      <c r="B274" s="599"/>
      <c r="C274" s="599"/>
      <c r="D274" s="599"/>
      <c r="E274" s="599"/>
      <c r="F274" s="599"/>
      <c r="G274" s="599"/>
      <c r="H274" s="599"/>
      <c r="I274" s="599"/>
      <c r="J274" s="599"/>
      <c r="K274" s="599"/>
      <c r="L274" s="599"/>
      <c r="M274" s="599"/>
      <c r="N274" s="599"/>
      <c r="O274" s="599"/>
      <c r="P274" s="599"/>
      <c r="Q274" s="599"/>
      <c r="R274" s="599"/>
      <c r="S274" s="599"/>
      <c r="T274" s="599"/>
      <c r="U274" s="599"/>
      <c r="V274" s="599"/>
      <c r="W274" s="599"/>
      <c r="X274" s="599"/>
      <c r="Y274" s="599"/>
      <c r="Z274" s="599"/>
    </row>
    <row r="275" spans="1:26" ht="15.75" customHeight="1">
      <c r="A275" s="599"/>
      <c r="B275" s="599"/>
      <c r="C275" s="599"/>
      <c r="D275" s="599"/>
      <c r="E275" s="599"/>
      <c r="F275" s="599"/>
      <c r="G275" s="599"/>
      <c r="H275" s="599"/>
      <c r="I275" s="599"/>
      <c r="J275" s="599"/>
      <c r="K275" s="599"/>
      <c r="L275" s="599"/>
      <c r="M275" s="599"/>
      <c r="N275" s="599"/>
      <c r="O275" s="599"/>
      <c r="P275" s="599"/>
      <c r="Q275" s="599"/>
      <c r="R275" s="599"/>
      <c r="S275" s="599"/>
      <c r="T275" s="599"/>
      <c r="U275" s="599"/>
      <c r="V275" s="599"/>
      <c r="W275" s="599"/>
      <c r="X275" s="599"/>
      <c r="Y275" s="599"/>
      <c r="Z275" s="599"/>
    </row>
    <row r="276" spans="1:26" ht="15.75" customHeight="1">
      <c r="A276" s="599"/>
      <c r="B276" s="599"/>
      <c r="C276" s="599"/>
      <c r="D276" s="599"/>
      <c r="E276" s="599"/>
      <c r="F276" s="599"/>
      <c r="G276" s="599"/>
      <c r="H276" s="599"/>
      <c r="I276" s="599"/>
      <c r="J276" s="599"/>
      <c r="K276" s="599"/>
      <c r="L276" s="599"/>
      <c r="M276" s="599"/>
      <c r="N276" s="599"/>
      <c r="O276" s="599"/>
      <c r="P276" s="599"/>
      <c r="Q276" s="599"/>
      <c r="R276" s="599"/>
      <c r="S276" s="599"/>
      <c r="T276" s="599"/>
      <c r="U276" s="599"/>
      <c r="V276" s="599"/>
      <c r="W276" s="599"/>
      <c r="X276" s="599"/>
      <c r="Y276" s="599"/>
      <c r="Z276" s="599"/>
    </row>
    <row r="277" spans="1:26" ht="15.75" customHeight="1">
      <c r="A277" s="599"/>
      <c r="B277" s="599"/>
      <c r="C277" s="599"/>
      <c r="D277" s="599"/>
      <c r="E277" s="599"/>
      <c r="F277" s="599"/>
      <c r="G277" s="599"/>
      <c r="H277" s="599"/>
      <c r="I277" s="599"/>
      <c r="J277" s="599"/>
      <c r="K277" s="599"/>
      <c r="L277" s="599"/>
      <c r="M277" s="599"/>
      <c r="N277" s="599"/>
      <c r="O277" s="599"/>
      <c r="P277" s="599"/>
      <c r="Q277" s="599"/>
      <c r="R277" s="599"/>
      <c r="S277" s="599"/>
      <c r="T277" s="599"/>
      <c r="U277" s="599"/>
      <c r="V277" s="599"/>
      <c r="W277" s="599"/>
      <c r="X277" s="599"/>
      <c r="Y277" s="599"/>
      <c r="Z277" s="599"/>
    </row>
    <row r="278" spans="1:26" ht="15.75" customHeight="1">
      <c r="A278" s="599"/>
      <c r="B278" s="599"/>
      <c r="C278" s="599"/>
      <c r="D278" s="599"/>
      <c r="E278" s="599"/>
      <c r="F278" s="599"/>
      <c r="G278" s="599"/>
      <c r="H278" s="599"/>
      <c r="I278" s="599"/>
      <c r="J278" s="599"/>
      <c r="K278" s="599"/>
      <c r="L278" s="599"/>
      <c r="M278" s="599"/>
      <c r="N278" s="599"/>
      <c r="O278" s="599"/>
      <c r="P278" s="599"/>
      <c r="Q278" s="599"/>
      <c r="R278" s="599"/>
      <c r="S278" s="599"/>
      <c r="T278" s="599"/>
      <c r="U278" s="599"/>
      <c r="V278" s="599"/>
      <c r="W278" s="599"/>
      <c r="X278" s="599"/>
      <c r="Y278" s="599"/>
      <c r="Z278" s="599"/>
    </row>
    <row r="279" spans="1:26" ht="15.75" customHeight="1">
      <c r="A279" s="599"/>
      <c r="B279" s="599"/>
      <c r="C279" s="599"/>
      <c r="D279" s="599"/>
      <c r="E279" s="599"/>
      <c r="F279" s="599"/>
      <c r="G279" s="599"/>
      <c r="H279" s="599"/>
      <c r="I279" s="599"/>
      <c r="J279" s="599"/>
      <c r="K279" s="599"/>
      <c r="L279" s="599"/>
      <c r="M279" s="599"/>
      <c r="N279" s="599"/>
      <c r="O279" s="599"/>
      <c r="P279" s="599"/>
      <c r="Q279" s="599"/>
      <c r="R279" s="599"/>
      <c r="S279" s="599"/>
      <c r="T279" s="599"/>
      <c r="U279" s="599"/>
      <c r="V279" s="599"/>
      <c r="W279" s="599"/>
      <c r="X279" s="599"/>
      <c r="Y279" s="599"/>
      <c r="Z279" s="599"/>
    </row>
    <row r="280" spans="1:26" ht="15.75" customHeight="1">
      <c r="A280" s="599"/>
      <c r="B280" s="599"/>
      <c r="C280" s="599"/>
      <c r="D280" s="599"/>
      <c r="E280" s="599"/>
      <c r="F280" s="599"/>
      <c r="G280" s="599"/>
      <c r="H280" s="599"/>
      <c r="I280" s="599"/>
      <c r="J280" s="599"/>
      <c r="K280" s="599"/>
      <c r="L280" s="599"/>
      <c r="M280" s="599"/>
      <c r="N280" s="599"/>
      <c r="O280" s="599"/>
      <c r="P280" s="599"/>
      <c r="Q280" s="599"/>
      <c r="R280" s="599"/>
      <c r="S280" s="599"/>
      <c r="T280" s="599"/>
      <c r="U280" s="599"/>
      <c r="V280" s="599"/>
      <c r="W280" s="599"/>
      <c r="X280" s="599"/>
      <c r="Y280" s="599"/>
      <c r="Z280" s="599"/>
    </row>
    <row r="281" spans="1:26" ht="15.75" customHeight="1">
      <c r="A281" s="599"/>
      <c r="B281" s="599"/>
      <c r="C281" s="599"/>
      <c r="D281" s="599"/>
      <c r="E281" s="599"/>
      <c r="F281" s="599"/>
      <c r="G281" s="599"/>
      <c r="H281" s="599"/>
      <c r="I281" s="599"/>
      <c r="J281" s="599"/>
      <c r="K281" s="599"/>
      <c r="L281" s="599"/>
      <c r="M281" s="599"/>
      <c r="N281" s="599"/>
      <c r="O281" s="599"/>
      <c r="P281" s="599"/>
      <c r="Q281" s="599"/>
      <c r="R281" s="599"/>
      <c r="S281" s="599"/>
      <c r="T281" s="599"/>
      <c r="U281" s="599"/>
      <c r="V281" s="599"/>
      <c r="W281" s="599"/>
      <c r="X281" s="599"/>
      <c r="Y281" s="599"/>
      <c r="Z281" s="599"/>
    </row>
    <row r="282" spans="1:26" ht="15.75" customHeight="1">
      <c r="A282" s="599"/>
      <c r="B282" s="599"/>
      <c r="C282" s="599"/>
      <c r="D282" s="599"/>
      <c r="E282" s="599"/>
      <c r="F282" s="599"/>
      <c r="G282" s="599"/>
      <c r="H282" s="599"/>
      <c r="I282" s="599"/>
      <c r="J282" s="599"/>
      <c r="K282" s="599"/>
      <c r="L282" s="599"/>
      <c r="M282" s="599"/>
      <c r="N282" s="599"/>
      <c r="O282" s="599"/>
      <c r="P282" s="599"/>
      <c r="Q282" s="599"/>
      <c r="R282" s="599"/>
      <c r="S282" s="599"/>
      <c r="T282" s="599"/>
      <c r="U282" s="599"/>
      <c r="V282" s="599"/>
      <c r="W282" s="599"/>
      <c r="X282" s="599"/>
      <c r="Y282" s="599"/>
      <c r="Z282" s="599"/>
    </row>
    <row r="283" spans="1:26" ht="15.75" customHeight="1">
      <c r="A283" s="599"/>
      <c r="B283" s="599"/>
      <c r="C283" s="599"/>
      <c r="D283" s="599"/>
      <c r="E283" s="599"/>
      <c r="F283" s="599"/>
      <c r="G283" s="599"/>
      <c r="H283" s="599"/>
      <c r="I283" s="599"/>
      <c r="J283" s="599"/>
      <c r="K283" s="599"/>
      <c r="L283" s="599"/>
      <c r="M283" s="599"/>
      <c r="N283" s="599"/>
      <c r="O283" s="599"/>
      <c r="P283" s="599"/>
      <c r="Q283" s="599"/>
      <c r="R283" s="599"/>
      <c r="S283" s="599"/>
      <c r="T283" s="599"/>
      <c r="U283" s="599"/>
      <c r="V283" s="599"/>
      <c r="W283" s="599"/>
      <c r="X283" s="599"/>
      <c r="Y283" s="599"/>
      <c r="Z283" s="599"/>
    </row>
    <row r="284" spans="1:26" ht="15.75" customHeight="1">
      <c r="A284" s="599"/>
      <c r="B284" s="599"/>
      <c r="C284" s="599"/>
      <c r="D284" s="599"/>
      <c r="E284" s="599"/>
      <c r="F284" s="599"/>
      <c r="G284" s="599"/>
      <c r="H284" s="599"/>
      <c r="I284" s="599"/>
      <c r="J284" s="599"/>
      <c r="K284" s="599"/>
      <c r="L284" s="599"/>
      <c r="M284" s="599"/>
      <c r="N284" s="599"/>
      <c r="O284" s="599"/>
      <c r="P284" s="599"/>
      <c r="Q284" s="599"/>
      <c r="R284" s="599"/>
      <c r="S284" s="599"/>
      <c r="T284" s="599"/>
      <c r="U284" s="599"/>
      <c r="V284" s="599"/>
      <c r="W284" s="599"/>
      <c r="X284" s="599"/>
      <c r="Y284" s="599"/>
      <c r="Z284" s="599"/>
    </row>
    <row r="285" spans="1:26" ht="15.75" customHeight="1">
      <c r="A285" s="599"/>
      <c r="B285" s="599"/>
      <c r="C285" s="599"/>
      <c r="D285" s="599"/>
      <c r="E285" s="599"/>
      <c r="F285" s="599"/>
      <c r="G285" s="599"/>
      <c r="H285" s="599"/>
      <c r="I285" s="599"/>
      <c r="J285" s="599"/>
      <c r="K285" s="599"/>
      <c r="L285" s="599"/>
      <c r="M285" s="599"/>
      <c r="N285" s="599"/>
      <c r="O285" s="599"/>
      <c r="P285" s="599"/>
      <c r="Q285" s="599"/>
      <c r="R285" s="599"/>
      <c r="S285" s="599"/>
      <c r="T285" s="599"/>
      <c r="U285" s="599"/>
      <c r="V285" s="599"/>
      <c r="W285" s="599"/>
      <c r="X285" s="599"/>
      <c r="Y285" s="599"/>
      <c r="Z285" s="599"/>
    </row>
    <row r="286" spans="1:26" ht="15.75" customHeight="1">
      <c r="A286" s="599"/>
      <c r="B286" s="599"/>
      <c r="C286" s="599"/>
      <c r="D286" s="599"/>
      <c r="E286" s="599"/>
      <c r="F286" s="599"/>
      <c r="G286" s="599"/>
      <c r="H286" s="599"/>
      <c r="I286" s="599"/>
      <c r="J286" s="599"/>
      <c r="K286" s="599"/>
      <c r="L286" s="599"/>
      <c r="M286" s="599"/>
      <c r="N286" s="599"/>
      <c r="O286" s="599"/>
      <c r="P286" s="599"/>
      <c r="Q286" s="599"/>
      <c r="R286" s="599"/>
      <c r="S286" s="599"/>
      <c r="T286" s="599"/>
      <c r="U286" s="599"/>
      <c r="V286" s="599"/>
      <c r="W286" s="599"/>
      <c r="X286" s="599"/>
      <c r="Y286" s="599"/>
      <c r="Z286" s="599"/>
    </row>
    <row r="287" spans="1:26" ht="15.75" customHeight="1">
      <c r="A287" s="599"/>
      <c r="B287" s="599"/>
      <c r="C287" s="599"/>
      <c r="D287" s="599"/>
      <c r="E287" s="599"/>
      <c r="F287" s="599"/>
      <c r="G287" s="599"/>
      <c r="H287" s="599"/>
      <c r="I287" s="599"/>
      <c r="J287" s="599"/>
      <c r="K287" s="599"/>
      <c r="L287" s="599"/>
      <c r="M287" s="599"/>
      <c r="N287" s="599"/>
      <c r="O287" s="599"/>
      <c r="P287" s="599"/>
      <c r="Q287" s="599"/>
      <c r="R287" s="599"/>
      <c r="S287" s="599"/>
      <c r="T287" s="599"/>
      <c r="U287" s="599"/>
      <c r="V287" s="599"/>
      <c r="W287" s="599"/>
      <c r="X287" s="599"/>
      <c r="Y287" s="599"/>
      <c r="Z287" s="599"/>
    </row>
    <row r="288" spans="1:26" ht="15.75" customHeight="1">
      <c r="A288" s="599"/>
      <c r="B288" s="599"/>
      <c r="C288" s="599"/>
      <c r="D288" s="599"/>
      <c r="E288" s="599"/>
      <c r="F288" s="599"/>
      <c r="G288" s="599"/>
      <c r="H288" s="599"/>
      <c r="I288" s="599"/>
      <c r="J288" s="599"/>
      <c r="K288" s="599"/>
      <c r="L288" s="599"/>
      <c r="M288" s="599"/>
      <c r="N288" s="599"/>
      <c r="O288" s="599"/>
      <c r="P288" s="599"/>
      <c r="Q288" s="599"/>
      <c r="R288" s="599"/>
      <c r="S288" s="599"/>
      <c r="T288" s="599"/>
      <c r="U288" s="599"/>
      <c r="V288" s="599"/>
      <c r="W288" s="599"/>
      <c r="X288" s="599"/>
      <c r="Y288" s="599"/>
      <c r="Z288" s="599"/>
    </row>
    <row r="289" spans="1:26" ht="15.75" customHeight="1">
      <c r="A289" s="599"/>
      <c r="B289" s="599"/>
      <c r="C289" s="599"/>
      <c r="D289" s="599"/>
      <c r="E289" s="599"/>
      <c r="F289" s="599"/>
      <c r="G289" s="599"/>
      <c r="H289" s="599"/>
      <c r="I289" s="599"/>
      <c r="J289" s="599"/>
      <c r="K289" s="599"/>
      <c r="L289" s="599"/>
      <c r="M289" s="599"/>
      <c r="N289" s="599"/>
      <c r="O289" s="599"/>
      <c r="P289" s="599"/>
      <c r="Q289" s="599"/>
      <c r="R289" s="599"/>
      <c r="S289" s="599"/>
      <c r="T289" s="599"/>
      <c r="U289" s="599"/>
      <c r="V289" s="599"/>
      <c r="W289" s="599"/>
      <c r="X289" s="599"/>
      <c r="Y289" s="599"/>
      <c r="Z289" s="599"/>
    </row>
    <row r="290" spans="1:26" ht="15.75" customHeight="1">
      <c r="A290" s="599"/>
      <c r="B290" s="599"/>
      <c r="C290" s="599"/>
      <c r="D290" s="599"/>
      <c r="E290" s="599"/>
      <c r="F290" s="599"/>
      <c r="G290" s="599"/>
      <c r="H290" s="599"/>
      <c r="I290" s="599"/>
      <c r="J290" s="599"/>
      <c r="K290" s="599"/>
      <c r="L290" s="599"/>
      <c r="M290" s="599"/>
      <c r="N290" s="599"/>
      <c r="O290" s="599"/>
      <c r="P290" s="599"/>
      <c r="Q290" s="599"/>
      <c r="R290" s="599"/>
      <c r="S290" s="599"/>
      <c r="T290" s="599"/>
      <c r="U290" s="599"/>
      <c r="V290" s="599"/>
      <c r="W290" s="599"/>
      <c r="X290" s="599"/>
      <c r="Y290" s="599"/>
      <c r="Z290" s="599"/>
    </row>
    <row r="291" spans="1:26" ht="15.75" customHeight="1">
      <c r="A291" s="599"/>
      <c r="B291" s="599"/>
      <c r="C291" s="599"/>
      <c r="D291" s="599"/>
      <c r="E291" s="599"/>
      <c r="F291" s="599"/>
      <c r="G291" s="599"/>
      <c r="H291" s="599"/>
      <c r="I291" s="599"/>
      <c r="J291" s="599"/>
      <c r="K291" s="599"/>
      <c r="L291" s="599"/>
      <c r="M291" s="599"/>
      <c r="N291" s="599"/>
      <c r="O291" s="599"/>
      <c r="P291" s="599"/>
      <c r="Q291" s="599"/>
      <c r="R291" s="599"/>
      <c r="S291" s="599"/>
      <c r="T291" s="599"/>
      <c r="U291" s="599"/>
      <c r="V291" s="599"/>
      <c r="W291" s="599"/>
      <c r="X291" s="599"/>
      <c r="Y291" s="599"/>
      <c r="Z291" s="599"/>
    </row>
    <row r="292" spans="1:26" ht="15.75" customHeight="1">
      <c r="A292" s="599"/>
      <c r="B292" s="599"/>
      <c r="C292" s="599"/>
      <c r="D292" s="599"/>
      <c r="E292" s="599"/>
      <c r="F292" s="599"/>
      <c r="G292" s="599"/>
      <c r="H292" s="599"/>
      <c r="I292" s="599"/>
      <c r="J292" s="599"/>
      <c r="K292" s="599"/>
      <c r="L292" s="599"/>
      <c r="M292" s="599"/>
      <c r="N292" s="599"/>
      <c r="O292" s="599"/>
      <c r="P292" s="599"/>
      <c r="Q292" s="599"/>
      <c r="R292" s="599"/>
      <c r="S292" s="599"/>
      <c r="T292" s="599"/>
      <c r="U292" s="599"/>
      <c r="V292" s="599"/>
      <c r="W292" s="599"/>
      <c r="X292" s="599"/>
      <c r="Y292" s="599"/>
      <c r="Z292" s="599"/>
    </row>
    <row r="293" spans="1:26" ht="15.75" customHeight="1">
      <c r="A293" s="599"/>
      <c r="B293" s="599"/>
      <c r="C293" s="599"/>
      <c r="D293" s="599"/>
      <c r="E293" s="599"/>
      <c r="F293" s="599"/>
      <c r="G293" s="599"/>
      <c r="H293" s="599"/>
      <c r="I293" s="599"/>
      <c r="J293" s="599"/>
      <c r="K293" s="599"/>
      <c r="L293" s="599"/>
      <c r="M293" s="599"/>
      <c r="N293" s="599"/>
      <c r="O293" s="599"/>
      <c r="P293" s="599"/>
      <c r="Q293" s="599"/>
      <c r="R293" s="599"/>
      <c r="S293" s="599"/>
      <c r="T293" s="599"/>
      <c r="U293" s="599"/>
      <c r="V293" s="599"/>
      <c r="W293" s="599"/>
      <c r="X293" s="599"/>
      <c r="Y293" s="599"/>
      <c r="Z293" s="599"/>
    </row>
    <row r="294" spans="1:26" ht="15.75" customHeight="1">
      <c r="A294" s="599"/>
      <c r="B294" s="599"/>
      <c r="C294" s="599"/>
      <c r="D294" s="599"/>
      <c r="E294" s="599"/>
      <c r="F294" s="599"/>
      <c r="G294" s="599"/>
      <c r="H294" s="599"/>
      <c r="I294" s="599"/>
      <c r="J294" s="599"/>
      <c r="K294" s="599"/>
      <c r="L294" s="599"/>
      <c r="M294" s="599"/>
      <c r="N294" s="599"/>
      <c r="O294" s="599"/>
      <c r="P294" s="599"/>
      <c r="Q294" s="599"/>
      <c r="R294" s="599"/>
      <c r="S294" s="599"/>
      <c r="T294" s="599"/>
      <c r="U294" s="599"/>
      <c r="V294" s="599"/>
      <c r="W294" s="599"/>
      <c r="X294" s="599"/>
      <c r="Y294" s="599"/>
      <c r="Z294" s="599"/>
    </row>
    <row r="295" spans="1:26" ht="15.75" customHeight="1">
      <c r="A295" s="599"/>
      <c r="B295" s="599"/>
      <c r="C295" s="599"/>
      <c r="D295" s="599"/>
      <c r="E295" s="599"/>
      <c r="F295" s="599"/>
      <c r="G295" s="599"/>
      <c r="H295" s="599"/>
      <c r="I295" s="599"/>
      <c r="J295" s="599"/>
      <c r="K295" s="599"/>
      <c r="L295" s="599"/>
      <c r="M295" s="599"/>
      <c r="N295" s="599"/>
      <c r="O295" s="599"/>
      <c r="P295" s="599"/>
      <c r="Q295" s="599"/>
      <c r="R295" s="599"/>
      <c r="S295" s="599"/>
      <c r="T295" s="599"/>
      <c r="U295" s="599"/>
      <c r="V295" s="599"/>
      <c r="W295" s="599"/>
      <c r="X295" s="599"/>
      <c r="Y295" s="599"/>
      <c r="Z295" s="599"/>
    </row>
    <row r="296" spans="1:26" ht="15.75" customHeight="1">
      <c r="A296" s="599"/>
      <c r="B296" s="599"/>
      <c r="C296" s="599"/>
      <c r="D296" s="599"/>
      <c r="E296" s="599"/>
      <c r="F296" s="599"/>
      <c r="G296" s="599"/>
      <c r="H296" s="599"/>
      <c r="I296" s="599"/>
      <c r="J296" s="599"/>
      <c r="K296" s="599"/>
      <c r="L296" s="599"/>
      <c r="M296" s="599"/>
      <c r="N296" s="599"/>
      <c r="O296" s="599"/>
      <c r="P296" s="599"/>
      <c r="Q296" s="599"/>
      <c r="R296" s="599"/>
      <c r="S296" s="599"/>
      <c r="T296" s="599"/>
      <c r="U296" s="599"/>
      <c r="V296" s="599"/>
      <c r="W296" s="599"/>
      <c r="X296" s="599"/>
      <c r="Y296" s="599"/>
      <c r="Z296" s="599"/>
    </row>
    <row r="297" spans="1:26" ht="15.75" customHeight="1">
      <c r="A297" s="599"/>
      <c r="B297" s="599"/>
      <c r="C297" s="599"/>
      <c r="D297" s="599"/>
      <c r="E297" s="599"/>
      <c r="F297" s="599"/>
      <c r="G297" s="599"/>
      <c r="H297" s="599"/>
      <c r="I297" s="599"/>
      <c r="J297" s="599"/>
      <c r="K297" s="599"/>
      <c r="L297" s="599"/>
      <c r="M297" s="599"/>
      <c r="N297" s="599"/>
      <c r="O297" s="599"/>
      <c r="P297" s="599"/>
      <c r="Q297" s="599"/>
      <c r="R297" s="599"/>
      <c r="S297" s="599"/>
      <c r="T297" s="599"/>
      <c r="U297" s="599"/>
      <c r="V297" s="599"/>
      <c r="W297" s="599"/>
      <c r="X297" s="599"/>
      <c r="Y297" s="599"/>
      <c r="Z297" s="599"/>
    </row>
    <row r="298" spans="1:26" ht="15.75" customHeight="1">
      <c r="A298" s="599"/>
      <c r="B298" s="599"/>
      <c r="C298" s="599"/>
      <c r="D298" s="599"/>
      <c r="E298" s="599"/>
      <c r="F298" s="599"/>
      <c r="G298" s="599"/>
      <c r="H298" s="599"/>
      <c r="I298" s="599"/>
      <c r="J298" s="599"/>
      <c r="K298" s="599"/>
      <c r="L298" s="599"/>
      <c r="M298" s="599"/>
      <c r="N298" s="599"/>
      <c r="O298" s="599"/>
      <c r="P298" s="599"/>
      <c r="Q298" s="599"/>
      <c r="R298" s="599"/>
      <c r="S298" s="599"/>
      <c r="T298" s="599"/>
      <c r="U298" s="599"/>
      <c r="V298" s="599"/>
      <c r="W298" s="599"/>
      <c r="X298" s="599"/>
      <c r="Y298" s="599"/>
      <c r="Z298" s="599"/>
    </row>
    <row r="299" spans="1:26" ht="15.75" customHeight="1">
      <c r="A299" s="599"/>
      <c r="B299" s="599"/>
      <c r="C299" s="599"/>
      <c r="D299" s="599"/>
      <c r="E299" s="599"/>
      <c r="F299" s="599"/>
      <c r="G299" s="599"/>
      <c r="H299" s="599"/>
      <c r="I299" s="599"/>
      <c r="J299" s="599"/>
      <c r="K299" s="599"/>
      <c r="L299" s="599"/>
      <c r="M299" s="599"/>
      <c r="N299" s="599"/>
      <c r="O299" s="599"/>
      <c r="P299" s="599"/>
      <c r="Q299" s="599"/>
      <c r="R299" s="599"/>
      <c r="S299" s="599"/>
      <c r="T299" s="599"/>
      <c r="U299" s="599"/>
      <c r="V299" s="599"/>
      <c r="W299" s="599"/>
      <c r="X299" s="599"/>
      <c r="Y299" s="599"/>
      <c r="Z299" s="599"/>
    </row>
    <row r="300" spans="1:26" ht="15.75" customHeight="1">
      <c r="A300" s="599"/>
      <c r="B300" s="599"/>
      <c r="C300" s="599"/>
      <c r="D300" s="599"/>
      <c r="E300" s="599"/>
      <c r="F300" s="599"/>
      <c r="G300" s="599"/>
      <c r="H300" s="599"/>
      <c r="I300" s="599"/>
      <c r="J300" s="599"/>
      <c r="K300" s="599"/>
      <c r="L300" s="599"/>
      <c r="M300" s="599"/>
      <c r="N300" s="599"/>
      <c r="O300" s="599"/>
      <c r="P300" s="599"/>
      <c r="Q300" s="599"/>
      <c r="R300" s="599"/>
      <c r="S300" s="599"/>
      <c r="T300" s="599"/>
      <c r="U300" s="599"/>
      <c r="V300" s="599"/>
      <c r="W300" s="599"/>
      <c r="X300" s="599"/>
      <c r="Y300" s="599"/>
      <c r="Z300" s="599"/>
    </row>
    <row r="301" spans="1:26" ht="15.75" customHeight="1">
      <c r="A301" s="599"/>
      <c r="B301" s="599"/>
      <c r="C301" s="599"/>
      <c r="D301" s="599"/>
      <c r="E301" s="599"/>
      <c r="F301" s="599"/>
      <c r="G301" s="599"/>
      <c r="H301" s="599"/>
      <c r="I301" s="599"/>
      <c r="J301" s="599"/>
      <c r="K301" s="599"/>
      <c r="L301" s="599"/>
      <c r="M301" s="599"/>
      <c r="N301" s="599"/>
      <c r="O301" s="599"/>
      <c r="P301" s="599"/>
      <c r="Q301" s="599"/>
      <c r="R301" s="599"/>
      <c r="S301" s="599"/>
      <c r="T301" s="599"/>
      <c r="U301" s="599"/>
      <c r="V301" s="599"/>
      <c r="W301" s="599"/>
      <c r="X301" s="599"/>
      <c r="Y301" s="599"/>
      <c r="Z301" s="599"/>
    </row>
    <row r="302" spans="1:26" ht="15.75" customHeight="1">
      <c r="A302" s="599"/>
      <c r="B302" s="599"/>
      <c r="C302" s="599"/>
      <c r="D302" s="599"/>
      <c r="E302" s="599"/>
      <c r="F302" s="599"/>
      <c r="G302" s="599"/>
      <c r="H302" s="599"/>
      <c r="I302" s="599"/>
      <c r="J302" s="599"/>
      <c r="K302" s="599"/>
      <c r="L302" s="599"/>
      <c r="M302" s="599"/>
      <c r="N302" s="599"/>
      <c r="O302" s="599"/>
      <c r="P302" s="599"/>
      <c r="Q302" s="599"/>
      <c r="R302" s="599"/>
      <c r="S302" s="599"/>
      <c r="T302" s="599"/>
      <c r="U302" s="599"/>
      <c r="V302" s="599"/>
      <c r="W302" s="599"/>
      <c r="X302" s="599"/>
      <c r="Y302" s="599"/>
      <c r="Z302" s="599"/>
    </row>
    <row r="303" spans="1:26" ht="15.75" customHeight="1">
      <c r="A303" s="599"/>
      <c r="B303" s="599"/>
      <c r="C303" s="599"/>
      <c r="D303" s="599"/>
      <c r="E303" s="599"/>
      <c r="F303" s="599"/>
      <c r="G303" s="599"/>
      <c r="H303" s="599"/>
      <c r="I303" s="599"/>
      <c r="J303" s="599"/>
      <c r="K303" s="599"/>
      <c r="L303" s="599"/>
      <c r="M303" s="599"/>
      <c r="N303" s="599"/>
      <c r="O303" s="599"/>
      <c r="P303" s="599"/>
      <c r="Q303" s="599"/>
      <c r="R303" s="599"/>
      <c r="S303" s="599"/>
      <c r="T303" s="599"/>
      <c r="U303" s="599"/>
      <c r="V303" s="599"/>
      <c r="W303" s="599"/>
      <c r="X303" s="599"/>
      <c r="Y303" s="599"/>
      <c r="Z303" s="599"/>
    </row>
    <row r="304" spans="1:26" ht="15.75" customHeight="1">
      <c r="A304" s="599"/>
      <c r="B304" s="599"/>
      <c r="C304" s="599"/>
      <c r="D304" s="599"/>
      <c r="E304" s="599"/>
      <c r="F304" s="599"/>
      <c r="G304" s="599"/>
      <c r="H304" s="599"/>
      <c r="I304" s="599"/>
      <c r="J304" s="599"/>
      <c r="K304" s="599"/>
      <c r="L304" s="599"/>
      <c r="M304" s="599"/>
      <c r="N304" s="599"/>
      <c r="O304" s="599"/>
      <c r="P304" s="599"/>
      <c r="Q304" s="599"/>
      <c r="R304" s="599"/>
      <c r="S304" s="599"/>
      <c r="T304" s="599"/>
      <c r="U304" s="599"/>
      <c r="V304" s="599"/>
      <c r="W304" s="599"/>
      <c r="X304" s="599"/>
      <c r="Y304" s="599"/>
      <c r="Z304" s="599"/>
    </row>
    <row r="305" spans="1:26" ht="15.75" customHeight="1">
      <c r="A305" s="599"/>
      <c r="B305" s="599"/>
      <c r="C305" s="599"/>
      <c r="D305" s="599"/>
      <c r="E305" s="599"/>
      <c r="F305" s="599"/>
      <c r="G305" s="599"/>
      <c r="H305" s="599"/>
      <c r="I305" s="599"/>
      <c r="J305" s="599"/>
      <c r="K305" s="599"/>
      <c r="L305" s="599"/>
      <c r="M305" s="599"/>
      <c r="N305" s="599"/>
      <c r="O305" s="599"/>
      <c r="P305" s="599"/>
      <c r="Q305" s="599"/>
      <c r="R305" s="599"/>
      <c r="S305" s="599"/>
      <c r="T305" s="599"/>
      <c r="U305" s="599"/>
      <c r="V305" s="599"/>
      <c r="W305" s="599"/>
      <c r="X305" s="599"/>
      <c r="Y305" s="599"/>
      <c r="Z305" s="599"/>
    </row>
    <row r="306" spans="1:26" ht="15.75" customHeight="1">
      <c r="A306" s="599"/>
      <c r="B306" s="599"/>
      <c r="C306" s="599"/>
      <c r="D306" s="599"/>
      <c r="E306" s="599"/>
      <c r="F306" s="599"/>
      <c r="G306" s="599"/>
      <c r="H306" s="599"/>
      <c r="I306" s="599"/>
      <c r="J306" s="599"/>
      <c r="K306" s="599"/>
      <c r="L306" s="599"/>
      <c r="M306" s="599"/>
      <c r="N306" s="599"/>
      <c r="O306" s="599"/>
      <c r="P306" s="599"/>
      <c r="Q306" s="599"/>
      <c r="R306" s="599"/>
      <c r="S306" s="599"/>
      <c r="T306" s="599"/>
      <c r="U306" s="599"/>
      <c r="V306" s="599"/>
      <c r="W306" s="599"/>
      <c r="X306" s="599"/>
      <c r="Y306" s="599"/>
      <c r="Z306" s="599"/>
    </row>
    <row r="307" spans="1:26" ht="15.75" customHeight="1">
      <c r="A307" s="599"/>
      <c r="B307" s="599"/>
      <c r="C307" s="599"/>
      <c r="D307" s="599"/>
      <c r="E307" s="599"/>
      <c r="F307" s="599"/>
      <c r="G307" s="599"/>
      <c r="H307" s="599"/>
      <c r="I307" s="599"/>
      <c r="J307" s="599"/>
      <c r="K307" s="599"/>
      <c r="L307" s="599"/>
      <c r="M307" s="599"/>
      <c r="N307" s="599"/>
      <c r="O307" s="599"/>
      <c r="P307" s="599"/>
      <c r="Q307" s="599"/>
      <c r="R307" s="599"/>
      <c r="S307" s="599"/>
      <c r="T307" s="599"/>
      <c r="U307" s="599"/>
      <c r="V307" s="599"/>
      <c r="W307" s="599"/>
      <c r="X307" s="599"/>
      <c r="Y307" s="599"/>
      <c r="Z307" s="599"/>
    </row>
    <row r="308" spans="1:26" ht="15.75" customHeight="1">
      <c r="A308" s="599"/>
      <c r="B308" s="599"/>
      <c r="C308" s="599"/>
      <c r="D308" s="599"/>
      <c r="E308" s="599"/>
      <c r="F308" s="599"/>
      <c r="G308" s="599"/>
      <c r="H308" s="599"/>
      <c r="I308" s="599"/>
      <c r="J308" s="599"/>
      <c r="K308" s="599"/>
      <c r="L308" s="599"/>
      <c r="M308" s="599"/>
      <c r="N308" s="599"/>
      <c r="O308" s="599"/>
      <c r="P308" s="599"/>
      <c r="Q308" s="599"/>
      <c r="R308" s="599"/>
      <c r="S308" s="599"/>
      <c r="T308" s="599"/>
      <c r="U308" s="599"/>
      <c r="V308" s="599"/>
      <c r="W308" s="599"/>
      <c r="X308" s="599"/>
      <c r="Y308" s="599"/>
      <c r="Z308" s="599"/>
    </row>
    <row r="309" spans="1:26" ht="15.75" customHeight="1">
      <c r="A309" s="599"/>
      <c r="B309" s="599"/>
      <c r="C309" s="599"/>
      <c r="D309" s="599"/>
      <c r="E309" s="599"/>
      <c r="F309" s="599"/>
      <c r="G309" s="599"/>
      <c r="H309" s="599"/>
      <c r="I309" s="599"/>
      <c r="J309" s="599"/>
      <c r="K309" s="599"/>
      <c r="L309" s="599"/>
      <c r="M309" s="599"/>
      <c r="N309" s="599"/>
      <c r="O309" s="599"/>
      <c r="P309" s="599"/>
      <c r="Q309" s="599"/>
      <c r="R309" s="599"/>
      <c r="S309" s="599"/>
      <c r="T309" s="599"/>
      <c r="U309" s="599"/>
      <c r="V309" s="599"/>
      <c r="W309" s="599"/>
      <c r="X309" s="599"/>
      <c r="Y309" s="599"/>
      <c r="Z309" s="599"/>
    </row>
    <row r="310" spans="1:26" ht="15.75" customHeight="1">
      <c r="A310" s="599"/>
      <c r="B310" s="599"/>
      <c r="C310" s="599"/>
      <c r="D310" s="599"/>
      <c r="E310" s="599"/>
      <c r="F310" s="599"/>
      <c r="G310" s="599"/>
      <c r="H310" s="599"/>
      <c r="I310" s="599"/>
      <c r="J310" s="599"/>
      <c r="K310" s="599"/>
      <c r="L310" s="599"/>
      <c r="M310" s="599"/>
      <c r="N310" s="599"/>
      <c r="O310" s="599"/>
      <c r="P310" s="599"/>
      <c r="Q310" s="599"/>
      <c r="R310" s="599"/>
      <c r="S310" s="599"/>
      <c r="T310" s="599"/>
      <c r="U310" s="599"/>
      <c r="V310" s="599"/>
      <c r="W310" s="599"/>
      <c r="X310" s="599"/>
      <c r="Y310" s="599"/>
      <c r="Z310" s="599"/>
    </row>
    <row r="311" spans="1:26" ht="15.75" customHeight="1">
      <c r="A311" s="599"/>
      <c r="B311" s="599"/>
      <c r="C311" s="599"/>
      <c r="D311" s="599"/>
      <c r="E311" s="599"/>
      <c r="F311" s="599"/>
      <c r="G311" s="599"/>
      <c r="H311" s="599"/>
      <c r="I311" s="599"/>
      <c r="J311" s="599"/>
      <c r="K311" s="599"/>
      <c r="L311" s="599"/>
      <c r="M311" s="599"/>
      <c r="N311" s="599"/>
      <c r="O311" s="599"/>
      <c r="P311" s="599"/>
      <c r="Q311" s="599"/>
      <c r="R311" s="599"/>
      <c r="S311" s="599"/>
      <c r="T311" s="599"/>
      <c r="U311" s="599"/>
      <c r="V311" s="599"/>
      <c r="W311" s="599"/>
      <c r="X311" s="599"/>
      <c r="Y311" s="599"/>
      <c r="Z311" s="599"/>
    </row>
    <row r="312" spans="1:26" ht="15.75" customHeight="1">
      <c r="A312" s="599"/>
      <c r="B312" s="599"/>
      <c r="C312" s="599"/>
      <c r="D312" s="599"/>
      <c r="E312" s="599"/>
      <c r="F312" s="599"/>
      <c r="G312" s="599"/>
      <c r="H312" s="599"/>
      <c r="I312" s="599"/>
      <c r="J312" s="599"/>
      <c r="K312" s="599"/>
      <c r="L312" s="599"/>
      <c r="M312" s="599"/>
      <c r="N312" s="599"/>
      <c r="O312" s="599"/>
      <c r="P312" s="599"/>
      <c r="Q312" s="599"/>
      <c r="R312" s="599"/>
      <c r="S312" s="599"/>
      <c r="T312" s="599"/>
      <c r="U312" s="599"/>
      <c r="V312" s="599"/>
      <c r="W312" s="599"/>
      <c r="X312" s="599"/>
      <c r="Y312" s="599"/>
      <c r="Z312" s="599"/>
    </row>
    <row r="313" spans="1:26" ht="15.75" customHeight="1">
      <c r="A313" s="599"/>
      <c r="B313" s="599"/>
      <c r="C313" s="599"/>
      <c r="D313" s="599"/>
      <c r="E313" s="599"/>
      <c r="F313" s="599"/>
      <c r="G313" s="599"/>
      <c r="H313" s="599"/>
      <c r="I313" s="599"/>
      <c r="J313" s="599"/>
      <c r="K313" s="599"/>
      <c r="L313" s="599"/>
      <c r="M313" s="599"/>
      <c r="N313" s="599"/>
      <c r="O313" s="599"/>
      <c r="P313" s="599"/>
      <c r="Q313" s="599"/>
      <c r="R313" s="599"/>
      <c r="S313" s="599"/>
      <c r="T313" s="599"/>
      <c r="U313" s="599"/>
      <c r="V313" s="599"/>
      <c r="W313" s="599"/>
      <c r="X313" s="599"/>
      <c r="Y313" s="599"/>
      <c r="Z313" s="599"/>
    </row>
    <row r="314" spans="1:26" ht="15.75" customHeight="1">
      <c r="A314" s="599"/>
      <c r="B314" s="599"/>
      <c r="C314" s="599"/>
      <c r="D314" s="599"/>
      <c r="E314" s="599"/>
      <c r="F314" s="599"/>
      <c r="G314" s="599"/>
      <c r="H314" s="599"/>
      <c r="I314" s="599"/>
      <c r="J314" s="599"/>
      <c r="K314" s="599"/>
      <c r="L314" s="599"/>
      <c r="M314" s="599"/>
      <c r="N314" s="599"/>
      <c r="O314" s="599"/>
      <c r="P314" s="599"/>
      <c r="Q314" s="599"/>
      <c r="R314" s="599"/>
      <c r="S314" s="599"/>
      <c r="T314" s="599"/>
      <c r="U314" s="599"/>
      <c r="V314" s="599"/>
      <c r="W314" s="599"/>
      <c r="X314" s="599"/>
      <c r="Y314" s="599"/>
      <c r="Z314" s="599"/>
    </row>
    <row r="315" spans="1:26" ht="15.75" customHeight="1">
      <c r="A315" s="599"/>
      <c r="B315" s="599"/>
      <c r="C315" s="599"/>
      <c r="D315" s="599"/>
      <c r="E315" s="599"/>
      <c r="F315" s="599"/>
      <c r="G315" s="599"/>
      <c r="H315" s="599"/>
      <c r="I315" s="599"/>
      <c r="J315" s="599"/>
      <c r="K315" s="599"/>
      <c r="L315" s="599"/>
      <c r="M315" s="599"/>
      <c r="N315" s="599"/>
      <c r="O315" s="599"/>
      <c r="P315" s="599"/>
      <c r="Q315" s="599"/>
      <c r="R315" s="599"/>
      <c r="S315" s="599"/>
      <c r="T315" s="599"/>
      <c r="U315" s="599"/>
      <c r="V315" s="599"/>
      <c r="W315" s="599"/>
      <c r="X315" s="599"/>
      <c r="Y315" s="599"/>
      <c r="Z315" s="599"/>
    </row>
    <row r="316" spans="1:26" ht="15.75" customHeight="1">
      <c r="A316" s="599"/>
      <c r="B316" s="599"/>
      <c r="C316" s="599"/>
      <c r="D316" s="599"/>
      <c r="E316" s="599"/>
      <c r="F316" s="599"/>
      <c r="G316" s="599"/>
      <c r="H316" s="599"/>
      <c r="I316" s="599"/>
      <c r="J316" s="599"/>
      <c r="K316" s="599"/>
      <c r="L316" s="599"/>
      <c r="M316" s="599"/>
      <c r="N316" s="599"/>
      <c r="O316" s="599"/>
      <c r="P316" s="599"/>
      <c r="Q316" s="599"/>
      <c r="R316" s="599"/>
      <c r="S316" s="599"/>
      <c r="T316" s="599"/>
      <c r="U316" s="599"/>
      <c r="V316" s="599"/>
      <c r="W316" s="599"/>
      <c r="X316" s="599"/>
      <c r="Y316" s="599"/>
      <c r="Z316" s="599"/>
    </row>
    <row r="317" spans="1:26" ht="15.75" customHeight="1">
      <c r="A317" s="599"/>
      <c r="B317" s="599"/>
      <c r="C317" s="599"/>
      <c r="D317" s="599"/>
      <c r="E317" s="599"/>
      <c r="F317" s="599"/>
      <c r="G317" s="599"/>
      <c r="H317" s="599"/>
      <c r="I317" s="599"/>
      <c r="J317" s="599"/>
      <c r="K317" s="599"/>
      <c r="L317" s="599"/>
      <c r="M317" s="599"/>
      <c r="N317" s="599"/>
      <c r="O317" s="599"/>
      <c r="P317" s="599"/>
      <c r="Q317" s="599"/>
      <c r="R317" s="599"/>
      <c r="S317" s="599"/>
      <c r="T317" s="599"/>
      <c r="U317" s="599"/>
      <c r="V317" s="599"/>
      <c r="W317" s="599"/>
      <c r="X317" s="599"/>
      <c r="Y317" s="599"/>
      <c r="Z317" s="599"/>
    </row>
    <row r="318" spans="1:26" ht="15.75" customHeight="1">
      <c r="A318" s="599"/>
      <c r="B318" s="599"/>
      <c r="C318" s="599"/>
      <c r="D318" s="599"/>
      <c r="E318" s="599"/>
      <c r="F318" s="599"/>
      <c r="G318" s="599"/>
      <c r="H318" s="599"/>
      <c r="I318" s="599"/>
      <c r="J318" s="599"/>
      <c r="K318" s="599"/>
      <c r="L318" s="599"/>
      <c r="M318" s="599"/>
      <c r="N318" s="599"/>
      <c r="O318" s="599"/>
      <c r="P318" s="599"/>
      <c r="Q318" s="599"/>
      <c r="R318" s="599"/>
      <c r="S318" s="599"/>
      <c r="T318" s="599"/>
      <c r="U318" s="599"/>
      <c r="V318" s="599"/>
      <c r="W318" s="599"/>
      <c r="X318" s="599"/>
      <c r="Y318" s="599"/>
      <c r="Z318" s="599"/>
    </row>
    <row r="319" spans="1:26" ht="15.75" customHeight="1">
      <c r="A319" s="599"/>
      <c r="B319" s="599"/>
      <c r="C319" s="599"/>
      <c r="D319" s="599"/>
      <c r="E319" s="599"/>
      <c r="F319" s="599"/>
      <c r="G319" s="599"/>
      <c r="H319" s="599"/>
      <c r="I319" s="599"/>
      <c r="J319" s="599"/>
      <c r="K319" s="599"/>
      <c r="L319" s="599"/>
      <c r="M319" s="599"/>
      <c r="N319" s="599"/>
      <c r="O319" s="599"/>
      <c r="P319" s="599"/>
      <c r="Q319" s="599"/>
      <c r="R319" s="599"/>
      <c r="S319" s="599"/>
      <c r="T319" s="599"/>
      <c r="U319" s="599"/>
      <c r="V319" s="599"/>
      <c r="W319" s="599"/>
      <c r="X319" s="599"/>
      <c r="Y319" s="599"/>
      <c r="Z319" s="599"/>
    </row>
    <row r="320" spans="1:26" ht="15.75" customHeight="1">
      <c r="A320" s="599"/>
      <c r="B320" s="599"/>
      <c r="C320" s="599"/>
      <c r="D320" s="599"/>
      <c r="E320" s="599"/>
      <c r="F320" s="599"/>
      <c r="G320" s="599"/>
      <c r="H320" s="599"/>
      <c r="I320" s="599"/>
      <c r="J320" s="599"/>
      <c r="K320" s="599"/>
      <c r="L320" s="599"/>
      <c r="M320" s="599"/>
      <c r="N320" s="599"/>
      <c r="O320" s="599"/>
      <c r="P320" s="599"/>
      <c r="Q320" s="599"/>
      <c r="R320" s="599"/>
      <c r="S320" s="599"/>
      <c r="T320" s="599"/>
      <c r="U320" s="599"/>
      <c r="V320" s="599"/>
      <c r="W320" s="599"/>
      <c r="X320" s="599"/>
      <c r="Y320" s="599"/>
      <c r="Z320" s="599"/>
    </row>
    <row r="321" spans="1:26" ht="15.75" customHeight="1">
      <c r="A321" s="599"/>
      <c r="B321" s="599"/>
      <c r="C321" s="599"/>
      <c r="D321" s="599"/>
      <c r="E321" s="599"/>
      <c r="F321" s="599"/>
      <c r="G321" s="599"/>
      <c r="H321" s="599"/>
      <c r="I321" s="599"/>
      <c r="J321" s="599"/>
      <c r="K321" s="599"/>
      <c r="L321" s="599"/>
      <c r="M321" s="599"/>
      <c r="N321" s="599"/>
      <c r="O321" s="599"/>
      <c r="P321" s="599"/>
      <c r="Q321" s="599"/>
      <c r="R321" s="599"/>
      <c r="S321" s="599"/>
      <c r="T321" s="599"/>
      <c r="U321" s="599"/>
      <c r="V321" s="599"/>
      <c r="W321" s="599"/>
      <c r="X321" s="599"/>
      <c r="Y321" s="599"/>
      <c r="Z321" s="599"/>
    </row>
    <row r="322" spans="1:26" ht="15.75" customHeight="1">
      <c r="A322" s="599"/>
      <c r="B322" s="599"/>
      <c r="C322" s="599"/>
      <c r="D322" s="599"/>
      <c r="E322" s="599"/>
      <c r="F322" s="599"/>
      <c r="G322" s="599"/>
      <c r="H322" s="599"/>
      <c r="I322" s="599"/>
      <c r="J322" s="599"/>
      <c r="K322" s="599"/>
      <c r="L322" s="599"/>
      <c r="M322" s="599"/>
      <c r="N322" s="599"/>
      <c r="O322" s="599"/>
      <c r="P322" s="599"/>
      <c r="Q322" s="599"/>
      <c r="R322" s="599"/>
      <c r="S322" s="599"/>
      <c r="T322" s="599"/>
      <c r="U322" s="599"/>
      <c r="V322" s="599"/>
      <c r="W322" s="599"/>
      <c r="X322" s="599"/>
      <c r="Y322" s="599"/>
      <c r="Z322" s="599"/>
    </row>
    <row r="323" spans="1:26" ht="15.75" customHeight="1">
      <c r="A323" s="599"/>
      <c r="B323" s="599"/>
      <c r="C323" s="599"/>
      <c r="D323" s="599"/>
      <c r="E323" s="599"/>
      <c r="F323" s="599"/>
      <c r="G323" s="599"/>
      <c r="H323" s="599"/>
      <c r="I323" s="599"/>
      <c r="J323" s="599"/>
      <c r="K323" s="599"/>
      <c r="L323" s="599"/>
      <c r="M323" s="599"/>
      <c r="N323" s="599"/>
      <c r="O323" s="599"/>
      <c r="P323" s="599"/>
      <c r="Q323" s="599"/>
      <c r="R323" s="599"/>
      <c r="S323" s="599"/>
      <c r="T323" s="599"/>
      <c r="U323" s="599"/>
      <c r="V323" s="599"/>
      <c r="W323" s="599"/>
      <c r="X323" s="599"/>
      <c r="Y323" s="599"/>
      <c r="Z323" s="599"/>
    </row>
    <row r="324" spans="1:26" ht="15.75" customHeight="1">
      <c r="A324" s="599"/>
      <c r="B324" s="599"/>
      <c r="C324" s="599"/>
      <c r="D324" s="599"/>
      <c r="E324" s="599"/>
      <c r="F324" s="599"/>
      <c r="G324" s="599"/>
      <c r="H324" s="599"/>
      <c r="I324" s="599"/>
      <c r="J324" s="599"/>
      <c r="K324" s="599"/>
      <c r="L324" s="599"/>
      <c r="M324" s="599"/>
      <c r="N324" s="599"/>
      <c r="O324" s="599"/>
      <c r="P324" s="599"/>
      <c r="Q324" s="599"/>
      <c r="R324" s="599"/>
      <c r="S324" s="599"/>
      <c r="T324" s="599"/>
      <c r="U324" s="599"/>
      <c r="V324" s="599"/>
      <c r="W324" s="599"/>
      <c r="X324" s="599"/>
      <c r="Y324" s="599"/>
      <c r="Z324" s="599"/>
    </row>
    <row r="325" spans="1:26" ht="15.75" customHeight="1">
      <c r="A325" s="599"/>
      <c r="B325" s="599"/>
      <c r="C325" s="599"/>
      <c r="D325" s="599"/>
      <c r="E325" s="599"/>
      <c r="F325" s="599"/>
      <c r="G325" s="599"/>
      <c r="H325" s="599"/>
      <c r="I325" s="599"/>
      <c r="J325" s="599"/>
      <c r="K325" s="599"/>
      <c r="L325" s="599"/>
      <c r="M325" s="599"/>
      <c r="N325" s="599"/>
      <c r="O325" s="599"/>
      <c r="P325" s="599"/>
      <c r="Q325" s="599"/>
      <c r="R325" s="599"/>
      <c r="S325" s="599"/>
      <c r="T325" s="599"/>
      <c r="U325" s="599"/>
      <c r="V325" s="599"/>
      <c r="W325" s="599"/>
      <c r="X325" s="599"/>
      <c r="Y325" s="599"/>
      <c r="Z325" s="599"/>
    </row>
    <row r="326" spans="1:26" ht="15.75" customHeight="1">
      <c r="A326" s="599"/>
      <c r="B326" s="599"/>
      <c r="C326" s="599"/>
      <c r="D326" s="599"/>
      <c r="E326" s="599"/>
      <c r="F326" s="599"/>
      <c r="G326" s="599"/>
      <c r="H326" s="599"/>
      <c r="I326" s="599"/>
      <c r="J326" s="599"/>
      <c r="K326" s="599"/>
      <c r="L326" s="599"/>
      <c r="M326" s="599"/>
      <c r="N326" s="599"/>
      <c r="O326" s="599"/>
      <c r="P326" s="599"/>
      <c r="Q326" s="599"/>
      <c r="R326" s="599"/>
      <c r="S326" s="599"/>
      <c r="T326" s="599"/>
      <c r="U326" s="599"/>
      <c r="V326" s="599"/>
      <c r="W326" s="599"/>
      <c r="X326" s="599"/>
      <c r="Y326" s="599"/>
      <c r="Z326" s="599"/>
    </row>
    <row r="327" spans="1:26" ht="15.75" customHeight="1">
      <c r="A327" s="599"/>
      <c r="B327" s="599"/>
      <c r="C327" s="599"/>
      <c r="D327" s="599"/>
      <c r="E327" s="599"/>
      <c r="F327" s="599"/>
      <c r="G327" s="599"/>
      <c r="H327" s="599"/>
      <c r="I327" s="599"/>
      <c r="J327" s="599"/>
      <c r="K327" s="599"/>
      <c r="L327" s="599"/>
      <c r="M327" s="599"/>
      <c r="N327" s="599"/>
      <c r="O327" s="599"/>
      <c r="P327" s="599"/>
      <c r="Q327" s="599"/>
      <c r="R327" s="599"/>
      <c r="S327" s="599"/>
      <c r="T327" s="599"/>
      <c r="U327" s="599"/>
      <c r="V327" s="599"/>
      <c r="W327" s="599"/>
      <c r="X327" s="599"/>
      <c r="Y327" s="599"/>
      <c r="Z327" s="599"/>
    </row>
    <row r="328" spans="1:26" ht="15.75" customHeight="1">
      <c r="A328" s="599"/>
      <c r="B328" s="599"/>
      <c r="C328" s="599"/>
      <c r="D328" s="599"/>
      <c r="E328" s="599"/>
      <c r="F328" s="599"/>
      <c r="G328" s="599"/>
      <c r="H328" s="599"/>
      <c r="I328" s="599"/>
      <c r="J328" s="599"/>
      <c r="K328" s="599"/>
      <c r="L328" s="599"/>
      <c r="M328" s="599"/>
      <c r="N328" s="599"/>
      <c r="O328" s="599"/>
      <c r="P328" s="599"/>
      <c r="Q328" s="599"/>
      <c r="R328" s="599"/>
      <c r="S328" s="599"/>
      <c r="T328" s="599"/>
      <c r="U328" s="599"/>
      <c r="V328" s="599"/>
      <c r="W328" s="599"/>
      <c r="X328" s="599"/>
      <c r="Y328" s="599"/>
      <c r="Z328" s="599"/>
    </row>
    <row r="329" spans="1:26" ht="15.75" customHeight="1">
      <c r="A329" s="599"/>
      <c r="B329" s="599"/>
      <c r="C329" s="599"/>
      <c r="D329" s="599"/>
      <c r="E329" s="599"/>
      <c r="F329" s="599"/>
      <c r="G329" s="599"/>
      <c r="H329" s="599"/>
      <c r="I329" s="599"/>
      <c r="J329" s="599"/>
      <c r="K329" s="599"/>
      <c r="L329" s="599"/>
      <c r="M329" s="599"/>
      <c r="N329" s="599"/>
      <c r="O329" s="599"/>
      <c r="P329" s="599"/>
      <c r="Q329" s="599"/>
      <c r="R329" s="599"/>
      <c r="S329" s="599"/>
      <c r="T329" s="599"/>
      <c r="U329" s="599"/>
      <c r="V329" s="599"/>
      <c r="W329" s="599"/>
      <c r="X329" s="599"/>
      <c r="Y329" s="599"/>
      <c r="Z329" s="599"/>
    </row>
    <row r="330" spans="1:26" ht="15.75" customHeight="1">
      <c r="A330" s="599"/>
      <c r="B330" s="599"/>
      <c r="C330" s="599"/>
      <c r="D330" s="599"/>
      <c r="E330" s="599"/>
      <c r="F330" s="599"/>
      <c r="G330" s="599"/>
      <c r="H330" s="599"/>
      <c r="I330" s="599"/>
      <c r="J330" s="599"/>
      <c r="K330" s="599"/>
      <c r="L330" s="599"/>
      <c r="M330" s="599"/>
      <c r="N330" s="599"/>
      <c r="O330" s="599"/>
      <c r="P330" s="599"/>
      <c r="Q330" s="599"/>
      <c r="R330" s="599"/>
      <c r="S330" s="599"/>
      <c r="T330" s="599"/>
      <c r="U330" s="599"/>
      <c r="V330" s="599"/>
      <c r="W330" s="599"/>
      <c r="X330" s="599"/>
      <c r="Y330" s="599"/>
      <c r="Z330" s="599"/>
    </row>
    <row r="331" spans="1:26" ht="15.75" customHeight="1">
      <c r="A331" s="599"/>
      <c r="B331" s="599"/>
      <c r="C331" s="599"/>
      <c r="D331" s="599"/>
      <c r="E331" s="599"/>
      <c r="F331" s="599"/>
      <c r="G331" s="599"/>
      <c r="H331" s="599"/>
      <c r="I331" s="599"/>
      <c r="J331" s="599"/>
      <c r="K331" s="599"/>
      <c r="L331" s="599"/>
      <c r="M331" s="599"/>
      <c r="N331" s="599"/>
      <c r="O331" s="599"/>
      <c r="P331" s="599"/>
      <c r="Q331" s="599"/>
      <c r="R331" s="599"/>
      <c r="S331" s="599"/>
      <c r="T331" s="599"/>
      <c r="U331" s="599"/>
      <c r="V331" s="599"/>
      <c r="W331" s="599"/>
      <c r="X331" s="599"/>
      <c r="Y331" s="599"/>
      <c r="Z331" s="599"/>
    </row>
    <row r="332" spans="1:26" ht="15.75" customHeight="1">
      <c r="A332" s="599"/>
      <c r="B332" s="599"/>
      <c r="C332" s="599"/>
      <c r="D332" s="599"/>
      <c r="E332" s="599"/>
      <c r="F332" s="599"/>
      <c r="G332" s="599"/>
      <c r="H332" s="599"/>
      <c r="I332" s="599"/>
      <c r="J332" s="599"/>
      <c r="K332" s="599"/>
      <c r="L332" s="599"/>
      <c r="M332" s="599"/>
      <c r="N332" s="599"/>
      <c r="O332" s="599"/>
      <c r="P332" s="599"/>
      <c r="Q332" s="599"/>
      <c r="R332" s="599"/>
      <c r="S332" s="599"/>
      <c r="T332" s="599"/>
      <c r="U332" s="599"/>
      <c r="V332" s="599"/>
      <c r="W332" s="599"/>
      <c r="X332" s="599"/>
      <c r="Y332" s="599"/>
      <c r="Z332" s="599"/>
    </row>
    <row r="333" spans="1:26" ht="15.75" customHeight="1">
      <c r="A333" s="599"/>
      <c r="B333" s="599"/>
      <c r="C333" s="599"/>
      <c r="D333" s="599"/>
      <c r="E333" s="599"/>
      <c r="F333" s="599"/>
      <c r="G333" s="599"/>
      <c r="H333" s="599"/>
      <c r="I333" s="599"/>
      <c r="J333" s="599"/>
      <c r="K333" s="599"/>
      <c r="L333" s="599"/>
      <c r="M333" s="599"/>
      <c r="N333" s="599"/>
      <c r="O333" s="599"/>
      <c r="P333" s="599"/>
      <c r="Q333" s="599"/>
      <c r="R333" s="599"/>
      <c r="S333" s="599"/>
      <c r="T333" s="599"/>
      <c r="U333" s="599"/>
      <c r="V333" s="599"/>
      <c r="W333" s="599"/>
      <c r="X333" s="599"/>
      <c r="Y333" s="599"/>
      <c r="Z333" s="599"/>
    </row>
    <row r="334" spans="1:26" ht="15.75" customHeight="1">
      <c r="A334" s="599"/>
      <c r="B334" s="599"/>
      <c r="C334" s="599"/>
      <c r="D334" s="599"/>
      <c r="E334" s="599"/>
      <c r="F334" s="599"/>
      <c r="G334" s="599"/>
      <c r="H334" s="599"/>
      <c r="I334" s="599"/>
      <c r="J334" s="599"/>
      <c r="K334" s="599"/>
      <c r="L334" s="599"/>
      <c r="M334" s="599"/>
      <c r="N334" s="599"/>
      <c r="O334" s="599"/>
      <c r="P334" s="599"/>
      <c r="Q334" s="599"/>
      <c r="R334" s="599"/>
      <c r="S334" s="599"/>
      <c r="T334" s="599"/>
      <c r="U334" s="599"/>
      <c r="V334" s="599"/>
      <c r="W334" s="599"/>
      <c r="X334" s="599"/>
      <c r="Y334" s="599"/>
      <c r="Z334" s="599"/>
    </row>
    <row r="335" spans="1:26" ht="15.75" customHeight="1">
      <c r="A335" s="599"/>
      <c r="B335" s="599"/>
      <c r="C335" s="599"/>
      <c r="D335" s="599"/>
      <c r="E335" s="599"/>
      <c r="F335" s="599"/>
      <c r="G335" s="599"/>
      <c r="H335" s="599"/>
      <c r="I335" s="599"/>
      <c r="J335" s="599"/>
      <c r="K335" s="599"/>
      <c r="L335" s="599"/>
      <c r="M335" s="599"/>
      <c r="N335" s="599"/>
      <c r="O335" s="599"/>
      <c r="P335" s="599"/>
      <c r="Q335" s="599"/>
      <c r="R335" s="599"/>
      <c r="S335" s="599"/>
      <c r="T335" s="599"/>
      <c r="U335" s="599"/>
      <c r="V335" s="599"/>
      <c r="W335" s="599"/>
      <c r="X335" s="599"/>
      <c r="Y335" s="599"/>
      <c r="Z335" s="599"/>
    </row>
    <row r="336" spans="1:26" ht="15.75" customHeight="1">
      <c r="A336" s="599"/>
      <c r="B336" s="599"/>
      <c r="C336" s="599"/>
      <c r="D336" s="599"/>
      <c r="E336" s="599"/>
      <c r="F336" s="599"/>
      <c r="G336" s="599"/>
      <c r="H336" s="599"/>
      <c r="I336" s="599"/>
      <c r="J336" s="599"/>
      <c r="K336" s="599"/>
      <c r="L336" s="599"/>
      <c r="M336" s="599"/>
      <c r="N336" s="599"/>
      <c r="O336" s="599"/>
      <c r="P336" s="599"/>
      <c r="Q336" s="599"/>
      <c r="R336" s="599"/>
      <c r="S336" s="599"/>
      <c r="T336" s="599"/>
      <c r="U336" s="599"/>
      <c r="V336" s="599"/>
      <c r="W336" s="599"/>
      <c r="X336" s="599"/>
      <c r="Y336" s="599"/>
      <c r="Z336" s="599"/>
    </row>
    <row r="337" spans="1:26" ht="15.75" customHeight="1">
      <c r="A337" s="599"/>
      <c r="B337" s="599"/>
      <c r="C337" s="599"/>
      <c r="D337" s="599"/>
      <c r="E337" s="599"/>
      <c r="F337" s="599"/>
      <c r="G337" s="599"/>
      <c r="H337" s="599"/>
      <c r="I337" s="599"/>
      <c r="J337" s="599"/>
      <c r="K337" s="599"/>
      <c r="L337" s="599"/>
      <c r="M337" s="599"/>
      <c r="N337" s="599"/>
      <c r="O337" s="599"/>
      <c r="P337" s="599"/>
      <c r="Q337" s="599"/>
      <c r="R337" s="599"/>
      <c r="S337" s="599"/>
      <c r="T337" s="599"/>
      <c r="U337" s="599"/>
      <c r="V337" s="599"/>
      <c r="W337" s="599"/>
      <c r="X337" s="599"/>
      <c r="Y337" s="599"/>
      <c r="Z337" s="599"/>
    </row>
    <row r="338" spans="1:26" ht="15.75" customHeight="1">
      <c r="A338" s="599"/>
      <c r="B338" s="599"/>
      <c r="C338" s="599"/>
      <c r="D338" s="599"/>
      <c r="E338" s="599"/>
      <c r="F338" s="599"/>
      <c r="G338" s="599"/>
      <c r="H338" s="599"/>
      <c r="I338" s="599"/>
      <c r="J338" s="599"/>
      <c r="K338" s="599"/>
      <c r="L338" s="599"/>
      <c r="M338" s="599"/>
      <c r="N338" s="599"/>
      <c r="O338" s="599"/>
      <c r="P338" s="599"/>
      <c r="Q338" s="599"/>
      <c r="R338" s="599"/>
      <c r="S338" s="599"/>
      <c r="T338" s="599"/>
      <c r="U338" s="599"/>
      <c r="V338" s="599"/>
      <c r="W338" s="599"/>
      <c r="X338" s="599"/>
      <c r="Y338" s="599"/>
      <c r="Z338" s="599"/>
    </row>
    <row r="339" spans="1:26" ht="15.75" customHeight="1">
      <c r="A339" s="599"/>
      <c r="B339" s="599"/>
      <c r="C339" s="599"/>
      <c r="D339" s="599"/>
      <c r="E339" s="599"/>
      <c r="F339" s="599"/>
      <c r="G339" s="599"/>
      <c r="H339" s="599"/>
      <c r="I339" s="599"/>
      <c r="J339" s="599"/>
      <c r="K339" s="599"/>
      <c r="L339" s="599"/>
      <c r="M339" s="599"/>
      <c r="N339" s="599"/>
      <c r="O339" s="599"/>
      <c r="P339" s="599"/>
      <c r="Q339" s="599"/>
      <c r="R339" s="599"/>
      <c r="S339" s="599"/>
      <c r="T339" s="599"/>
      <c r="U339" s="599"/>
      <c r="V339" s="599"/>
      <c r="W339" s="599"/>
      <c r="X339" s="599"/>
      <c r="Y339" s="599"/>
      <c r="Z339" s="599"/>
    </row>
    <row r="340" spans="1:26" ht="15.75" customHeight="1">
      <c r="A340" s="599"/>
      <c r="B340" s="599"/>
      <c r="C340" s="599"/>
      <c r="D340" s="599"/>
      <c r="E340" s="599"/>
      <c r="F340" s="599"/>
      <c r="G340" s="599"/>
      <c r="H340" s="599"/>
      <c r="I340" s="599"/>
      <c r="J340" s="599"/>
      <c r="K340" s="599"/>
      <c r="L340" s="599"/>
      <c r="M340" s="599"/>
      <c r="N340" s="599"/>
      <c r="O340" s="599"/>
      <c r="P340" s="599"/>
      <c r="Q340" s="599"/>
      <c r="R340" s="599"/>
      <c r="S340" s="599"/>
      <c r="T340" s="599"/>
      <c r="U340" s="599"/>
      <c r="V340" s="599"/>
      <c r="W340" s="599"/>
      <c r="X340" s="599"/>
      <c r="Y340" s="599"/>
      <c r="Z340" s="599"/>
    </row>
    <row r="341" spans="1:26" ht="15.75" customHeight="1">
      <c r="A341" s="599"/>
      <c r="B341" s="599"/>
      <c r="C341" s="599"/>
      <c r="D341" s="599"/>
      <c r="E341" s="599"/>
      <c r="F341" s="599"/>
      <c r="G341" s="599"/>
      <c r="H341" s="599"/>
      <c r="I341" s="599"/>
      <c r="J341" s="599"/>
      <c r="K341" s="599"/>
      <c r="L341" s="599"/>
      <c r="M341" s="599"/>
      <c r="N341" s="599"/>
      <c r="O341" s="599"/>
      <c r="P341" s="599"/>
      <c r="Q341" s="599"/>
      <c r="R341" s="599"/>
      <c r="S341" s="599"/>
      <c r="T341" s="599"/>
      <c r="U341" s="599"/>
      <c r="V341" s="599"/>
      <c r="W341" s="599"/>
      <c r="X341" s="599"/>
      <c r="Y341" s="599"/>
      <c r="Z341" s="599"/>
    </row>
    <row r="342" spans="1:26" ht="15.75" customHeight="1">
      <c r="A342" s="599"/>
      <c r="B342" s="599"/>
      <c r="C342" s="599"/>
      <c r="D342" s="599"/>
      <c r="E342" s="599"/>
      <c r="F342" s="599"/>
      <c r="G342" s="599"/>
      <c r="H342" s="599"/>
      <c r="I342" s="599"/>
      <c r="J342" s="599"/>
      <c r="K342" s="599"/>
      <c r="L342" s="599"/>
      <c r="M342" s="599"/>
      <c r="N342" s="599"/>
      <c r="O342" s="599"/>
      <c r="P342" s="599"/>
      <c r="Q342" s="599"/>
      <c r="R342" s="599"/>
      <c r="S342" s="599"/>
      <c r="T342" s="599"/>
      <c r="U342" s="599"/>
      <c r="V342" s="599"/>
      <c r="W342" s="599"/>
      <c r="X342" s="599"/>
      <c r="Y342" s="599"/>
      <c r="Z342" s="599"/>
    </row>
    <row r="343" spans="1:26" ht="15.75" customHeight="1">
      <c r="A343" s="599"/>
      <c r="B343" s="599"/>
      <c r="C343" s="599"/>
      <c r="D343" s="599"/>
      <c r="E343" s="599"/>
      <c r="F343" s="599"/>
      <c r="G343" s="599"/>
      <c r="H343" s="599"/>
      <c r="I343" s="599"/>
      <c r="J343" s="599"/>
      <c r="K343" s="599"/>
      <c r="L343" s="599"/>
      <c r="M343" s="599"/>
      <c r="N343" s="599"/>
      <c r="O343" s="599"/>
      <c r="P343" s="599"/>
      <c r="Q343" s="599"/>
      <c r="R343" s="599"/>
      <c r="S343" s="599"/>
      <c r="T343" s="599"/>
      <c r="U343" s="599"/>
      <c r="V343" s="599"/>
      <c r="W343" s="599"/>
      <c r="X343" s="599"/>
      <c r="Y343" s="599"/>
      <c r="Z343" s="599"/>
    </row>
    <row r="344" spans="1:26" ht="15.75" customHeight="1">
      <c r="A344" s="599"/>
      <c r="B344" s="599"/>
      <c r="C344" s="599"/>
      <c r="D344" s="599"/>
      <c r="E344" s="599"/>
      <c r="F344" s="599"/>
      <c r="G344" s="599"/>
      <c r="H344" s="599"/>
      <c r="I344" s="599"/>
      <c r="J344" s="599"/>
      <c r="K344" s="599"/>
      <c r="L344" s="599"/>
      <c r="M344" s="599"/>
      <c r="N344" s="599"/>
      <c r="O344" s="599"/>
      <c r="P344" s="599"/>
      <c r="Q344" s="599"/>
      <c r="R344" s="599"/>
      <c r="S344" s="599"/>
      <c r="T344" s="599"/>
      <c r="U344" s="599"/>
      <c r="V344" s="599"/>
      <c r="W344" s="599"/>
      <c r="X344" s="599"/>
      <c r="Y344" s="599"/>
      <c r="Z344" s="599"/>
    </row>
    <row r="345" spans="1:26" ht="15.75" customHeight="1">
      <c r="A345" s="599"/>
      <c r="B345" s="599"/>
      <c r="C345" s="599"/>
      <c r="D345" s="599"/>
      <c r="E345" s="599"/>
      <c r="F345" s="599"/>
      <c r="G345" s="599"/>
      <c r="H345" s="599"/>
      <c r="I345" s="599"/>
      <c r="J345" s="599"/>
      <c r="K345" s="599"/>
      <c r="L345" s="599"/>
      <c r="M345" s="599"/>
      <c r="N345" s="599"/>
      <c r="O345" s="599"/>
      <c r="P345" s="599"/>
      <c r="Q345" s="599"/>
      <c r="R345" s="599"/>
      <c r="S345" s="599"/>
      <c r="T345" s="599"/>
      <c r="U345" s="599"/>
      <c r="V345" s="599"/>
      <c r="W345" s="599"/>
      <c r="X345" s="599"/>
      <c r="Y345" s="599"/>
      <c r="Z345" s="599"/>
    </row>
    <row r="346" spans="1:26" ht="15.75" customHeight="1">
      <c r="A346" s="599"/>
      <c r="B346" s="599"/>
      <c r="C346" s="599"/>
      <c r="D346" s="599"/>
      <c r="E346" s="599"/>
      <c r="F346" s="599"/>
      <c r="G346" s="599"/>
      <c r="H346" s="599"/>
      <c r="I346" s="599"/>
      <c r="J346" s="599"/>
      <c r="K346" s="599"/>
      <c r="L346" s="599"/>
      <c r="M346" s="599"/>
      <c r="N346" s="599"/>
      <c r="O346" s="599"/>
      <c r="P346" s="599"/>
      <c r="Q346" s="599"/>
      <c r="R346" s="599"/>
      <c r="S346" s="599"/>
      <c r="T346" s="599"/>
      <c r="U346" s="599"/>
      <c r="V346" s="599"/>
      <c r="W346" s="599"/>
      <c r="X346" s="599"/>
      <c r="Y346" s="599"/>
      <c r="Z346" s="599"/>
    </row>
    <row r="347" spans="1:26" ht="15.75" customHeight="1">
      <c r="A347" s="599"/>
      <c r="B347" s="599"/>
      <c r="C347" s="599"/>
      <c r="D347" s="599"/>
      <c r="E347" s="599"/>
      <c r="F347" s="599"/>
      <c r="G347" s="599"/>
      <c r="H347" s="599"/>
      <c r="I347" s="599"/>
      <c r="J347" s="599"/>
      <c r="K347" s="599"/>
      <c r="L347" s="599"/>
      <c r="M347" s="599"/>
      <c r="N347" s="599"/>
      <c r="O347" s="599"/>
      <c r="P347" s="599"/>
      <c r="Q347" s="599"/>
      <c r="R347" s="599"/>
      <c r="S347" s="599"/>
      <c r="T347" s="599"/>
      <c r="U347" s="599"/>
      <c r="V347" s="599"/>
      <c r="W347" s="599"/>
      <c r="X347" s="599"/>
      <c r="Y347" s="599"/>
      <c r="Z347" s="599"/>
    </row>
    <row r="348" spans="1:26" ht="15.75" customHeight="1">
      <c r="A348" s="599"/>
      <c r="B348" s="599"/>
      <c r="C348" s="599"/>
      <c r="D348" s="599"/>
      <c r="E348" s="599"/>
      <c r="F348" s="599"/>
      <c r="G348" s="599"/>
      <c r="H348" s="599"/>
      <c r="I348" s="599"/>
      <c r="J348" s="599"/>
      <c r="K348" s="599"/>
      <c r="L348" s="599"/>
      <c r="M348" s="599"/>
      <c r="N348" s="599"/>
      <c r="O348" s="599"/>
      <c r="P348" s="599"/>
      <c r="Q348" s="599"/>
      <c r="R348" s="599"/>
      <c r="S348" s="599"/>
      <c r="T348" s="599"/>
      <c r="U348" s="599"/>
      <c r="V348" s="599"/>
      <c r="W348" s="599"/>
      <c r="X348" s="599"/>
      <c r="Y348" s="599"/>
      <c r="Z348" s="599"/>
    </row>
    <row r="349" spans="1:26" ht="15.75" customHeight="1">
      <c r="A349" s="599"/>
      <c r="B349" s="599"/>
      <c r="C349" s="599"/>
      <c r="D349" s="599"/>
      <c r="E349" s="599"/>
      <c r="F349" s="599"/>
      <c r="G349" s="599"/>
      <c r="H349" s="599"/>
      <c r="I349" s="599"/>
      <c r="J349" s="599"/>
      <c r="K349" s="599"/>
      <c r="L349" s="599"/>
      <c r="M349" s="599"/>
      <c r="N349" s="599"/>
      <c r="O349" s="599"/>
      <c r="P349" s="599"/>
      <c r="Q349" s="599"/>
      <c r="R349" s="599"/>
      <c r="S349" s="599"/>
      <c r="T349" s="599"/>
      <c r="U349" s="599"/>
      <c r="V349" s="599"/>
      <c r="W349" s="599"/>
      <c r="X349" s="599"/>
      <c r="Y349" s="599"/>
      <c r="Z349" s="599"/>
    </row>
    <row r="350" spans="1:26" ht="15.75" customHeight="1">
      <c r="A350" s="599"/>
      <c r="B350" s="599"/>
      <c r="C350" s="599"/>
      <c r="D350" s="599"/>
      <c r="E350" s="599"/>
      <c r="F350" s="599"/>
      <c r="G350" s="599"/>
      <c r="H350" s="599"/>
      <c r="I350" s="599"/>
      <c r="J350" s="599"/>
      <c r="K350" s="599"/>
      <c r="L350" s="599"/>
      <c r="M350" s="599"/>
      <c r="N350" s="599"/>
      <c r="O350" s="599"/>
      <c r="P350" s="599"/>
      <c r="Q350" s="599"/>
      <c r="R350" s="599"/>
      <c r="S350" s="599"/>
      <c r="T350" s="599"/>
      <c r="U350" s="599"/>
      <c r="V350" s="599"/>
      <c r="W350" s="599"/>
      <c r="X350" s="599"/>
      <c r="Y350" s="599"/>
      <c r="Z350" s="599"/>
    </row>
    <row r="351" spans="1:26" ht="15.75" customHeight="1">
      <c r="A351" s="599"/>
      <c r="B351" s="599"/>
      <c r="C351" s="599"/>
      <c r="D351" s="599"/>
      <c r="E351" s="599"/>
      <c r="F351" s="599"/>
      <c r="G351" s="599"/>
      <c r="H351" s="599"/>
      <c r="I351" s="599"/>
      <c r="J351" s="599"/>
      <c r="K351" s="599"/>
      <c r="L351" s="599"/>
      <c r="M351" s="599"/>
      <c r="N351" s="599"/>
      <c r="O351" s="599"/>
      <c r="P351" s="599"/>
      <c r="Q351" s="599"/>
      <c r="R351" s="599"/>
      <c r="S351" s="599"/>
      <c r="T351" s="599"/>
      <c r="U351" s="599"/>
      <c r="V351" s="599"/>
      <c r="W351" s="599"/>
      <c r="X351" s="599"/>
      <c r="Y351" s="599"/>
      <c r="Z351" s="599"/>
    </row>
    <row r="352" spans="1:26" ht="15.75" customHeight="1">
      <c r="A352" s="599"/>
      <c r="B352" s="599"/>
      <c r="C352" s="599"/>
      <c r="D352" s="599"/>
      <c r="E352" s="599"/>
      <c r="F352" s="599"/>
      <c r="G352" s="599"/>
      <c r="H352" s="599"/>
      <c r="I352" s="599"/>
      <c r="J352" s="599"/>
      <c r="K352" s="599"/>
      <c r="L352" s="599"/>
      <c r="M352" s="599"/>
      <c r="N352" s="599"/>
      <c r="O352" s="599"/>
      <c r="P352" s="599"/>
      <c r="Q352" s="599"/>
      <c r="R352" s="599"/>
      <c r="S352" s="599"/>
      <c r="T352" s="599"/>
      <c r="U352" s="599"/>
      <c r="V352" s="599"/>
      <c r="W352" s="599"/>
      <c r="X352" s="599"/>
      <c r="Y352" s="599"/>
      <c r="Z352" s="599"/>
    </row>
    <row r="353" spans="1:26" ht="15.75" customHeight="1">
      <c r="A353" s="599"/>
      <c r="B353" s="599"/>
      <c r="C353" s="599"/>
      <c r="D353" s="599"/>
      <c r="E353" s="599"/>
      <c r="F353" s="599"/>
      <c r="G353" s="599"/>
      <c r="H353" s="599"/>
      <c r="I353" s="599"/>
      <c r="J353" s="599"/>
      <c r="K353" s="599"/>
      <c r="L353" s="599"/>
      <c r="M353" s="599"/>
      <c r="N353" s="599"/>
      <c r="O353" s="599"/>
      <c r="P353" s="599"/>
      <c r="Q353" s="599"/>
      <c r="R353" s="599"/>
      <c r="S353" s="599"/>
      <c r="T353" s="599"/>
      <c r="U353" s="599"/>
      <c r="V353" s="599"/>
      <c r="W353" s="599"/>
      <c r="X353" s="599"/>
      <c r="Y353" s="599"/>
      <c r="Z353" s="599"/>
    </row>
    <row r="354" spans="1:26" ht="15.75" customHeight="1">
      <c r="A354" s="599"/>
      <c r="B354" s="599"/>
      <c r="C354" s="599"/>
      <c r="D354" s="599"/>
      <c r="E354" s="599"/>
      <c r="F354" s="599"/>
      <c r="G354" s="599"/>
      <c r="H354" s="599"/>
      <c r="I354" s="599"/>
      <c r="J354" s="599"/>
      <c r="K354" s="599"/>
      <c r="L354" s="599"/>
      <c r="M354" s="599"/>
      <c r="N354" s="599"/>
      <c r="O354" s="599"/>
      <c r="P354" s="599"/>
      <c r="Q354" s="599"/>
      <c r="R354" s="599"/>
      <c r="S354" s="599"/>
      <c r="T354" s="599"/>
      <c r="U354" s="599"/>
      <c r="V354" s="599"/>
      <c r="W354" s="599"/>
      <c r="X354" s="599"/>
      <c r="Y354" s="599"/>
      <c r="Z354" s="599"/>
    </row>
    <row r="355" spans="1:26" ht="15.75" customHeight="1">
      <c r="A355" s="599"/>
      <c r="B355" s="599"/>
      <c r="C355" s="599"/>
      <c r="D355" s="599"/>
      <c r="E355" s="599"/>
      <c r="F355" s="599"/>
      <c r="G355" s="599"/>
      <c r="H355" s="599"/>
      <c r="I355" s="599"/>
      <c r="J355" s="599"/>
      <c r="K355" s="599"/>
      <c r="L355" s="599"/>
      <c r="M355" s="599"/>
      <c r="N355" s="599"/>
      <c r="O355" s="599"/>
      <c r="P355" s="599"/>
      <c r="Q355" s="599"/>
      <c r="R355" s="599"/>
      <c r="S355" s="599"/>
      <c r="T355" s="599"/>
      <c r="U355" s="599"/>
      <c r="V355" s="599"/>
      <c r="W355" s="599"/>
      <c r="X355" s="599"/>
      <c r="Y355" s="599"/>
      <c r="Z355" s="599"/>
    </row>
    <row r="356" spans="1:26" ht="15.75" customHeight="1">
      <c r="A356" s="599"/>
      <c r="B356" s="599"/>
      <c r="C356" s="599"/>
      <c r="D356" s="599"/>
      <c r="E356" s="599"/>
      <c r="F356" s="599"/>
      <c r="G356" s="599"/>
      <c r="H356" s="599"/>
      <c r="I356" s="599"/>
      <c r="J356" s="599"/>
      <c r="K356" s="599"/>
      <c r="L356" s="599"/>
      <c r="M356" s="599"/>
      <c r="N356" s="599"/>
      <c r="O356" s="599"/>
      <c r="P356" s="599"/>
      <c r="Q356" s="599"/>
      <c r="R356" s="599"/>
      <c r="S356" s="599"/>
      <c r="T356" s="599"/>
      <c r="U356" s="599"/>
      <c r="V356" s="599"/>
      <c r="W356" s="599"/>
      <c r="X356" s="599"/>
      <c r="Y356" s="599"/>
      <c r="Z356" s="599"/>
    </row>
    <row r="357" spans="1:26" ht="15.75" customHeight="1">
      <c r="A357" s="599"/>
      <c r="B357" s="599"/>
      <c r="C357" s="599"/>
      <c r="D357" s="599"/>
      <c r="E357" s="599"/>
      <c r="F357" s="599"/>
      <c r="G357" s="599"/>
      <c r="H357" s="599"/>
      <c r="I357" s="599"/>
      <c r="J357" s="599"/>
      <c r="K357" s="599"/>
      <c r="L357" s="599"/>
      <c r="M357" s="599"/>
      <c r="N357" s="599"/>
      <c r="O357" s="599"/>
      <c r="P357" s="599"/>
      <c r="Q357" s="599"/>
      <c r="R357" s="599"/>
      <c r="S357" s="599"/>
      <c r="T357" s="599"/>
      <c r="U357" s="599"/>
      <c r="V357" s="599"/>
      <c r="W357" s="599"/>
      <c r="X357" s="599"/>
      <c r="Y357" s="599"/>
      <c r="Z357" s="599"/>
    </row>
    <row r="358" spans="1:26" ht="15.75" customHeight="1">
      <c r="A358" s="599"/>
      <c r="B358" s="599"/>
      <c r="C358" s="599"/>
      <c r="D358" s="599"/>
      <c r="E358" s="599"/>
      <c r="F358" s="599"/>
      <c r="G358" s="599"/>
      <c r="H358" s="599"/>
      <c r="I358" s="599"/>
      <c r="J358" s="599"/>
      <c r="K358" s="599"/>
      <c r="L358" s="599"/>
      <c r="M358" s="599"/>
      <c r="N358" s="599"/>
      <c r="O358" s="599"/>
      <c r="P358" s="599"/>
      <c r="Q358" s="599"/>
      <c r="R358" s="599"/>
      <c r="S358" s="599"/>
      <c r="T358" s="599"/>
      <c r="U358" s="599"/>
      <c r="V358" s="599"/>
      <c r="W358" s="599"/>
      <c r="X358" s="599"/>
      <c r="Y358" s="599"/>
      <c r="Z358" s="599"/>
    </row>
    <row r="359" spans="1:26" ht="15.75" customHeight="1">
      <c r="A359" s="599"/>
      <c r="B359" s="599"/>
      <c r="C359" s="599"/>
      <c r="D359" s="599"/>
      <c r="E359" s="599"/>
      <c r="F359" s="599"/>
      <c r="G359" s="599"/>
      <c r="H359" s="599"/>
      <c r="I359" s="599"/>
      <c r="J359" s="599"/>
      <c r="K359" s="599"/>
      <c r="L359" s="599"/>
      <c r="M359" s="599"/>
      <c r="N359" s="599"/>
      <c r="O359" s="599"/>
      <c r="P359" s="599"/>
      <c r="Q359" s="599"/>
      <c r="R359" s="599"/>
      <c r="S359" s="599"/>
      <c r="T359" s="599"/>
      <c r="U359" s="599"/>
      <c r="V359" s="599"/>
      <c r="W359" s="599"/>
      <c r="X359" s="599"/>
      <c r="Y359" s="599"/>
      <c r="Z359" s="599"/>
    </row>
    <row r="360" spans="1:26" ht="15.75" customHeight="1">
      <c r="A360" s="599"/>
      <c r="B360" s="599"/>
      <c r="C360" s="599"/>
      <c r="D360" s="599"/>
      <c r="E360" s="599"/>
      <c r="F360" s="599"/>
      <c r="G360" s="599"/>
      <c r="H360" s="599"/>
      <c r="I360" s="599"/>
      <c r="J360" s="599"/>
      <c r="K360" s="599"/>
      <c r="L360" s="599"/>
      <c r="M360" s="599"/>
      <c r="N360" s="599"/>
      <c r="O360" s="599"/>
      <c r="P360" s="599"/>
      <c r="Q360" s="599"/>
      <c r="R360" s="599"/>
      <c r="S360" s="599"/>
      <c r="T360" s="599"/>
      <c r="U360" s="599"/>
      <c r="V360" s="599"/>
      <c r="W360" s="599"/>
      <c r="X360" s="599"/>
      <c r="Y360" s="599"/>
      <c r="Z360" s="599"/>
    </row>
    <row r="361" spans="1:26" ht="15.75" customHeight="1">
      <c r="A361" s="599"/>
      <c r="B361" s="599"/>
      <c r="C361" s="599"/>
      <c r="D361" s="599"/>
      <c r="E361" s="599"/>
      <c r="F361" s="599"/>
      <c r="G361" s="599"/>
      <c r="H361" s="599"/>
      <c r="I361" s="599"/>
      <c r="J361" s="599"/>
      <c r="K361" s="599"/>
      <c r="L361" s="599"/>
      <c r="M361" s="599"/>
      <c r="N361" s="599"/>
      <c r="O361" s="599"/>
      <c r="P361" s="599"/>
      <c r="Q361" s="599"/>
      <c r="R361" s="599"/>
      <c r="S361" s="599"/>
      <c r="T361" s="599"/>
      <c r="U361" s="599"/>
      <c r="V361" s="599"/>
      <c r="W361" s="599"/>
      <c r="X361" s="599"/>
      <c r="Y361" s="599"/>
      <c r="Z361" s="599"/>
    </row>
    <row r="362" spans="1:26" ht="15.75" customHeight="1">
      <c r="A362" s="599"/>
      <c r="B362" s="599"/>
      <c r="C362" s="599"/>
      <c r="D362" s="599"/>
      <c r="E362" s="599"/>
      <c r="F362" s="599"/>
      <c r="G362" s="599"/>
      <c r="H362" s="599"/>
      <c r="I362" s="599"/>
      <c r="J362" s="599"/>
      <c r="K362" s="599"/>
      <c r="L362" s="599"/>
      <c r="M362" s="599"/>
      <c r="N362" s="599"/>
      <c r="O362" s="599"/>
      <c r="P362" s="599"/>
      <c r="Q362" s="599"/>
      <c r="R362" s="599"/>
      <c r="S362" s="599"/>
      <c r="T362" s="599"/>
      <c r="U362" s="599"/>
      <c r="V362" s="599"/>
      <c r="W362" s="599"/>
      <c r="X362" s="599"/>
      <c r="Y362" s="599"/>
      <c r="Z362" s="599"/>
    </row>
    <row r="363" spans="1:26" ht="15.75" customHeight="1">
      <c r="A363" s="599"/>
      <c r="B363" s="599"/>
      <c r="C363" s="599"/>
      <c r="D363" s="599"/>
      <c r="E363" s="599"/>
      <c r="F363" s="599"/>
      <c r="G363" s="599"/>
      <c r="H363" s="599"/>
      <c r="I363" s="599"/>
      <c r="J363" s="599"/>
      <c r="K363" s="599"/>
      <c r="L363" s="599"/>
      <c r="M363" s="599"/>
      <c r="N363" s="599"/>
      <c r="O363" s="599"/>
      <c r="P363" s="599"/>
      <c r="Q363" s="599"/>
      <c r="R363" s="599"/>
      <c r="S363" s="599"/>
      <c r="T363" s="599"/>
      <c r="U363" s="599"/>
      <c r="V363" s="599"/>
      <c r="W363" s="599"/>
      <c r="X363" s="599"/>
      <c r="Y363" s="599"/>
      <c r="Z363" s="599"/>
    </row>
    <row r="364" spans="1:26" ht="15.75" customHeight="1">
      <c r="A364" s="599"/>
      <c r="B364" s="599"/>
      <c r="C364" s="599"/>
      <c r="D364" s="599"/>
      <c r="E364" s="599"/>
      <c r="F364" s="599"/>
      <c r="G364" s="599"/>
      <c r="H364" s="599"/>
      <c r="I364" s="599"/>
      <c r="J364" s="599"/>
      <c r="K364" s="599"/>
      <c r="L364" s="599"/>
      <c r="M364" s="599"/>
      <c r="N364" s="599"/>
      <c r="O364" s="599"/>
      <c r="P364" s="599"/>
      <c r="Q364" s="599"/>
      <c r="R364" s="599"/>
      <c r="S364" s="599"/>
      <c r="T364" s="599"/>
      <c r="U364" s="599"/>
      <c r="V364" s="599"/>
      <c r="W364" s="599"/>
      <c r="X364" s="599"/>
      <c r="Y364" s="599"/>
      <c r="Z364" s="599"/>
    </row>
    <row r="365" spans="1:26" ht="15.75" customHeight="1">
      <c r="A365" s="599"/>
      <c r="B365" s="599"/>
      <c r="C365" s="599"/>
      <c r="D365" s="599"/>
      <c r="E365" s="599"/>
      <c r="F365" s="599"/>
      <c r="G365" s="599"/>
      <c r="H365" s="599"/>
      <c r="I365" s="599"/>
      <c r="J365" s="599"/>
      <c r="K365" s="599"/>
      <c r="L365" s="599"/>
      <c r="M365" s="599"/>
      <c r="N365" s="599"/>
      <c r="O365" s="599"/>
      <c r="P365" s="599"/>
      <c r="Q365" s="599"/>
      <c r="R365" s="599"/>
      <c r="S365" s="599"/>
      <c r="T365" s="599"/>
      <c r="U365" s="599"/>
      <c r="V365" s="599"/>
      <c r="W365" s="599"/>
      <c r="X365" s="599"/>
      <c r="Y365" s="599"/>
      <c r="Z365" s="599"/>
    </row>
    <row r="366" spans="1:26" ht="15.75" customHeight="1">
      <c r="A366" s="599"/>
      <c r="B366" s="599"/>
      <c r="C366" s="599"/>
      <c r="D366" s="599"/>
      <c r="E366" s="599"/>
      <c r="F366" s="599"/>
      <c r="G366" s="599"/>
      <c r="H366" s="599"/>
      <c r="I366" s="599"/>
      <c r="J366" s="599"/>
      <c r="K366" s="599"/>
      <c r="L366" s="599"/>
      <c r="M366" s="599"/>
      <c r="N366" s="599"/>
      <c r="O366" s="599"/>
      <c r="P366" s="599"/>
      <c r="Q366" s="599"/>
      <c r="R366" s="599"/>
      <c r="S366" s="599"/>
      <c r="T366" s="599"/>
      <c r="U366" s="599"/>
      <c r="V366" s="599"/>
      <c r="W366" s="599"/>
      <c r="X366" s="599"/>
      <c r="Y366" s="599"/>
      <c r="Z366" s="599"/>
    </row>
    <row r="367" spans="1:26" ht="15.75" customHeight="1">
      <c r="A367" s="599"/>
      <c r="B367" s="599"/>
      <c r="C367" s="599"/>
      <c r="D367" s="599"/>
      <c r="E367" s="599"/>
      <c r="F367" s="599"/>
      <c r="G367" s="599"/>
      <c r="H367" s="599"/>
      <c r="I367" s="599"/>
      <c r="J367" s="599"/>
      <c r="K367" s="599"/>
      <c r="L367" s="599"/>
      <c r="M367" s="599"/>
      <c r="N367" s="599"/>
      <c r="O367" s="599"/>
      <c r="P367" s="599"/>
      <c r="Q367" s="599"/>
      <c r="R367" s="599"/>
      <c r="S367" s="599"/>
      <c r="T367" s="599"/>
      <c r="U367" s="599"/>
      <c r="V367" s="599"/>
      <c r="W367" s="599"/>
      <c r="X367" s="599"/>
      <c r="Y367" s="599"/>
      <c r="Z367" s="599"/>
    </row>
    <row r="368" spans="1:26" ht="15.75" customHeight="1">
      <c r="A368" s="599"/>
      <c r="B368" s="599"/>
      <c r="C368" s="599"/>
      <c r="D368" s="599"/>
      <c r="E368" s="599"/>
      <c r="F368" s="599"/>
      <c r="G368" s="599"/>
      <c r="H368" s="599"/>
      <c r="I368" s="599"/>
      <c r="J368" s="599"/>
      <c r="K368" s="599"/>
      <c r="L368" s="599"/>
      <c r="M368" s="599"/>
      <c r="N368" s="599"/>
      <c r="O368" s="599"/>
      <c r="P368" s="599"/>
      <c r="Q368" s="599"/>
      <c r="R368" s="599"/>
      <c r="S368" s="599"/>
      <c r="T368" s="599"/>
      <c r="U368" s="599"/>
      <c r="V368" s="599"/>
      <c r="W368" s="599"/>
      <c r="X368" s="599"/>
      <c r="Y368" s="599"/>
      <c r="Z368" s="599"/>
    </row>
    <row r="369" spans="1:26" ht="15.75" customHeight="1">
      <c r="A369" s="599"/>
      <c r="B369" s="599"/>
      <c r="C369" s="599"/>
      <c r="D369" s="599"/>
      <c r="E369" s="599"/>
      <c r="F369" s="599"/>
      <c r="G369" s="599"/>
      <c r="H369" s="599"/>
      <c r="I369" s="599"/>
      <c r="J369" s="599"/>
      <c r="K369" s="599"/>
      <c r="L369" s="599"/>
      <c r="M369" s="599"/>
      <c r="N369" s="599"/>
      <c r="O369" s="599"/>
      <c r="P369" s="599"/>
      <c r="Q369" s="599"/>
      <c r="R369" s="599"/>
      <c r="S369" s="599"/>
      <c r="T369" s="599"/>
      <c r="U369" s="599"/>
      <c r="V369" s="599"/>
      <c r="W369" s="599"/>
      <c r="X369" s="599"/>
      <c r="Y369" s="599"/>
      <c r="Z369" s="599"/>
    </row>
    <row r="370" spans="1:26" ht="15.75" customHeight="1">
      <c r="A370" s="599"/>
      <c r="B370" s="599"/>
      <c r="C370" s="599"/>
      <c r="D370" s="599"/>
      <c r="E370" s="599"/>
      <c r="F370" s="599"/>
      <c r="G370" s="599"/>
      <c r="H370" s="599"/>
      <c r="I370" s="599"/>
      <c r="J370" s="599"/>
      <c r="K370" s="599"/>
      <c r="L370" s="599"/>
      <c r="M370" s="599"/>
      <c r="N370" s="599"/>
      <c r="O370" s="599"/>
      <c r="P370" s="599"/>
      <c r="Q370" s="599"/>
      <c r="R370" s="599"/>
      <c r="S370" s="599"/>
      <c r="T370" s="599"/>
      <c r="U370" s="599"/>
      <c r="V370" s="599"/>
      <c r="W370" s="599"/>
      <c r="X370" s="599"/>
      <c r="Y370" s="599"/>
      <c r="Z370" s="599"/>
    </row>
    <row r="371" spans="1:26" ht="15.75" customHeight="1">
      <c r="A371" s="599"/>
      <c r="B371" s="599"/>
      <c r="C371" s="599"/>
      <c r="D371" s="599"/>
      <c r="E371" s="599"/>
      <c r="F371" s="599"/>
      <c r="G371" s="599"/>
      <c r="H371" s="599"/>
      <c r="I371" s="599"/>
      <c r="J371" s="599"/>
      <c r="K371" s="599"/>
      <c r="L371" s="599"/>
      <c r="M371" s="599"/>
      <c r="N371" s="599"/>
      <c r="O371" s="599"/>
      <c r="P371" s="599"/>
      <c r="Q371" s="599"/>
      <c r="R371" s="599"/>
      <c r="S371" s="599"/>
      <c r="T371" s="599"/>
      <c r="U371" s="599"/>
      <c r="V371" s="599"/>
      <c r="W371" s="599"/>
      <c r="X371" s="599"/>
      <c r="Y371" s="599"/>
      <c r="Z371" s="599"/>
    </row>
    <row r="372" spans="1:26" ht="15.75" customHeight="1">
      <c r="A372" s="599"/>
      <c r="B372" s="599"/>
      <c r="C372" s="599"/>
      <c r="D372" s="599"/>
      <c r="E372" s="599"/>
      <c r="F372" s="599"/>
      <c r="G372" s="599"/>
      <c r="H372" s="599"/>
      <c r="I372" s="599"/>
      <c r="J372" s="599"/>
      <c r="K372" s="599"/>
      <c r="L372" s="599"/>
      <c r="M372" s="599"/>
      <c r="N372" s="599"/>
      <c r="O372" s="599"/>
      <c r="P372" s="599"/>
      <c r="Q372" s="599"/>
      <c r="R372" s="599"/>
      <c r="S372" s="599"/>
      <c r="T372" s="599"/>
      <c r="U372" s="599"/>
      <c r="V372" s="599"/>
      <c r="W372" s="599"/>
      <c r="X372" s="599"/>
      <c r="Y372" s="599"/>
      <c r="Z372" s="599"/>
    </row>
    <row r="373" spans="1:26" ht="15.75" customHeight="1">
      <c r="A373" s="599"/>
      <c r="B373" s="599"/>
      <c r="C373" s="599"/>
      <c r="D373" s="599"/>
      <c r="E373" s="599"/>
      <c r="F373" s="599"/>
      <c r="G373" s="599"/>
      <c r="H373" s="599"/>
      <c r="I373" s="599"/>
      <c r="J373" s="599"/>
      <c r="K373" s="599"/>
      <c r="L373" s="599"/>
      <c r="M373" s="599"/>
      <c r="N373" s="599"/>
      <c r="O373" s="599"/>
      <c r="P373" s="599"/>
      <c r="Q373" s="599"/>
      <c r="R373" s="599"/>
      <c r="S373" s="599"/>
      <c r="T373" s="599"/>
      <c r="U373" s="599"/>
      <c r="V373" s="599"/>
      <c r="W373" s="599"/>
      <c r="X373" s="599"/>
      <c r="Y373" s="599"/>
      <c r="Z373" s="599"/>
    </row>
    <row r="374" spans="1:26" ht="15.75" customHeight="1">
      <c r="A374" s="599"/>
      <c r="B374" s="599"/>
      <c r="C374" s="599"/>
      <c r="D374" s="599"/>
      <c r="E374" s="599"/>
      <c r="F374" s="599"/>
      <c r="G374" s="599"/>
      <c r="H374" s="599"/>
      <c r="I374" s="599"/>
      <c r="J374" s="599"/>
      <c r="K374" s="599"/>
      <c r="L374" s="599"/>
      <c r="M374" s="599"/>
      <c r="N374" s="599"/>
      <c r="O374" s="599"/>
      <c r="P374" s="599"/>
      <c r="Q374" s="599"/>
      <c r="R374" s="599"/>
      <c r="S374" s="599"/>
      <c r="T374" s="599"/>
      <c r="U374" s="599"/>
      <c r="V374" s="599"/>
      <c r="W374" s="599"/>
      <c r="X374" s="599"/>
      <c r="Y374" s="599"/>
      <c r="Z374" s="599"/>
    </row>
    <row r="375" spans="1:26" ht="15.75" customHeight="1">
      <c r="A375" s="599"/>
      <c r="B375" s="599"/>
      <c r="C375" s="599"/>
      <c r="D375" s="599"/>
      <c r="E375" s="599"/>
      <c r="F375" s="599"/>
      <c r="G375" s="599"/>
      <c r="H375" s="599"/>
      <c r="I375" s="599"/>
      <c r="J375" s="599"/>
      <c r="K375" s="599"/>
      <c r="L375" s="599"/>
      <c r="M375" s="599"/>
      <c r="N375" s="599"/>
      <c r="O375" s="599"/>
      <c r="P375" s="599"/>
      <c r="Q375" s="599"/>
      <c r="R375" s="599"/>
      <c r="S375" s="599"/>
      <c r="T375" s="599"/>
      <c r="U375" s="599"/>
      <c r="V375" s="599"/>
      <c r="W375" s="599"/>
      <c r="X375" s="599"/>
      <c r="Y375" s="599"/>
      <c r="Z375" s="599"/>
    </row>
    <row r="376" spans="1:26" ht="15.75" customHeight="1">
      <c r="A376" s="599"/>
      <c r="B376" s="599"/>
      <c r="C376" s="599"/>
      <c r="D376" s="599"/>
      <c r="E376" s="599"/>
      <c r="F376" s="599"/>
      <c r="G376" s="599"/>
      <c r="H376" s="599"/>
      <c r="I376" s="599"/>
      <c r="J376" s="599"/>
      <c r="K376" s="599"/>
      <c r="L376" s="599"/>
      <c r="M376" s="599"/>
      <c r="N376" s="599"/>
      <c r="O376" s="599"/>
      <c r="P376" s="599"/>
      <c r="Q376" s="599"/>
      <c r="R376" s="599"/>
      <c r="S376" s="599"/>
      <c r="T376" s="599"/>
      <c r="U376" s="599"/>
      <c r="V376" s="599"/>
      <c r="W376" s="599"/>
      <c r="X376" s="599"/>
      <c r="Y376" s="599"/>
      <c r="Z376" s="599"/>
    </row>
    <row r="377" spans="1:26" ht="15.75" customHeight="1">
      <c r="A377" s="599"/>
      <c r="B377" s="599"/>
      <c r="C377" s="599"/>
      <c r="D377" s="599"/>
      <c r="E377" s="599"/>
      <c r="F377" s="599"/>
      <c r="G377" s="599"/>
      <c r="H377" s="599"/>
      <c r="I377" s="599"/>
      <c r="J377" s="599"/>
      <c r="K377" s="599"/>
      <c r="L377" s="599"/>
      <c r="M377" s="599"/>
      <c r="N377" s="599"/>
      <c r="O377" s="599"/>
      <c r="P377" s="599"/>
      <c r="Q377" s="599"/>
      <c r="R377" s="599"/>
      <c r="S377" s="599"/>
      <c r="T377" s="599"/>
      <c r="U377" s="599"/>
      <c r="V377" s="599"/>
      <c r="W377" s="599"/>
      <c r="X377" s="599"/>
      <c r="Y377" s="599"/>
      <c r="Z377" s="599"/>
    </row>
    <row r="378" spans="1:26" ht="15.75" customHeight="1">
      <c r="A378" s="599"/>
      <c r="B378" s="599"/>
      <c r="C378" s="599"/>
      <c r="D378" s="599"/>
      <c r="E378" s="599"/>
      <c r="F378" s="599"/>
      <c r="G378" s="599"/>
      <c r="H378" s="599"/>
      <c r="I378" s="599"/>
      <c r="J378" s="599"/>
      <c r="K378" s="599"/>
      <c r="L378" s="599"/>
      <c r="M378" s="599"/>
      <c r="N378" s="599"/>
      <c r="O378" s="599"/>
      <c r="P378" s="599"/>
      <c r="Q378" s="599"/>
      <c r="R378" s="599"/>
      <c r="S378" s="599"/>
      <c r="T378" s="599"/>
      <c r="U378" s="599"/>
      <c r="V378" s="599"/>
      <c r="W378" s="599"/>
      <c r="X378" s="599"/>
      <c r="Y378" s="599"/>
      <c r="Z378" s="599"/>
    </row>
    <row r="379" spans="1:26" ht="15.75" customHeight="1">
      <c r="A379" s="599"/>
      <c r="B379" s="599"/>
      <c r="C379" s="599"/>
      <c r="D379" s="599"/>
      <c r="E379" s="599"/>
      <c r="F379" s="599"/>
      <c r="G379" s="599"/>
      <c r="H379" s="599"/>
      <c r="I379" s="599"/>
      <c r="J379" s="599"/>
      <c r="K379" s="599"/>
      <c r="L379" s="599"/>
      <c r="M379" s="599"/>
      <c r="N379" s="599"/>
      <c r="O379" s="599"/>
      <c r="P379" s="599"/>
      <c r="Q379" s="599"/>
      <c r="R379" s="599"/>
      <c r="S379" s="599"/>
      <c r="T379" s="599"/>
      <c r="U379" s="599"/>
      <c r="V379" s="599"/>
      <c r="W379" s="599"/>
      <c r="X379" s="599"/>
      <c r="Y379" s="599"/>
      <c r="Z379" s="599"/>
    </row>
    <row r="380" spans="1:26" ht="15.75" customHeight="1">
      <c r="A380" s="599"/>
      <c r="B380" s="599"/>
      <c r="C380" s="599"/>
      <c r="D380" s="599"/>
      <c r="E380" s="599"/>
      <c r="F380" s="599"/>
      <c r="G380" s="599"/>
      <c r="H380" s="599"/>
      <c r="I380" s="599"/>
      <c r="J380" s="599"/>
      <c r="K380" s="599"/>
      <c r="L380" s="599"/>
      <c r="M380" s="599"/>
      <c r="N380" s="599"/>
      <c r="O380" s="599"/>
      <c r="P380" s="599"/>
      <c r="Q380" s="599"/>
      <c r="R380" s="599"/>
      <c r="S380" s="599"/>
      <c r="T380" s="599"/>
      <c r="U380" s="599"/>
      <c r="V380" s="599"/>
      <c r="W380" s="599"/>
      <c r="X380" s="599"/>
      <c r="Y380" s="599"/>
      <c r="Z380" s="599"/>
    </row>
    <row r="381" spans="1:26" ht="15.75" customHeight="1">
      <c r="A381" s="599"/>
      <c r="B381" s="599"/>
      <c r="C381" s="599"/>
      <c r="D381" s="599"/>
      <c r="E381" s="599"/>
      <c r="F381" s="599"/>
      <c r="G381" s="599"/>
      <c r="H381" s="599"/>
      <c r="I381" s="599"/>
      <c r="J381" s="599"/>
      <c r="K381" s="599"/>
      <c r="L381" s="599"/>
      <c r="M381" s="599"/>
      <c r="N381" s="599"/>
      <c r="O381" s="599"/>
      <c r="P381" s="599"/>
      <c r="Q381" s="599"/>
      <c r="R381" s="599"/>
      <c r="S381" s="599"/>
      <c r="T381" s="599"/>
      <c r="U381" s="599"/>
      <c r="V381" s="599"/>
      <c r="W381" s="599"/>
      <c r="X381" s="599"/>
      <c r="Y381" s="599"/>
      <c r="Z381" s="599"/>
    </row>
    <row r="382" spans="1:26" ht="15.75" customHeight="1">
      <c r="A382" s="599"/>
      <c r="B382" s="599"/>
      <c r="C382" s="599"/>
      <c r="D382" s="599"/>
      <c r="E382" s="599"/>
      <c r="F382" s="599"/>
      <c r="G382" s="599"/>
      <c r="H382" s="599"/>
      <c r="I382" s="599"/>
      <c r="J382" s="599"/>
      <c r="K382" s="599"/>
      <c r="L382" s="599"/>
      <c r="M382" s="599"/>
      <c r="N382" s="599"/>
      <c r="O382" s="599"/>
      <c r="P382" s="599"/>
      <c r="Q382" s="599"/>
      <c r="R382" s="599"/>
      <c r="S382" s="599"/>
      <c r="T382" s="599"/>
      <c r="U382" s="599"/>
      <c r="V382" s="599"/>
      <c r="W382" s="599"/>
      <c r="X382" s="599"/>
      <c r="Y382" s="599"/>
      <c r="Z382" s="599"/>
    </row>
    <row r="383" spans="1:26" ht="15.75" customHeight="1">
      <c r="A383" s="599"/>
      <c r="B383" s="599"/>
      <c r="C383" s="599"/>
      <c r="D383" s="599"/>
      <c r="E383" s="599"/>
      <c r="F383" s="599"/>
      <c r="G383" s="599"/>
      <c r="H383" s="599"/>
      <c r="I383" s="599"/>
      <c r="J383" s="599"/>
      <c r="K383" s="599"/>
      <c r="L383" s="599"/>
      <c r="M383" s="599"/>
      <c r="N383" s="599"/>
      <c r="O383" s="599"/>
      <c r="P383" s="599"/>
      <c r="Q383" s="599"/>
      <c r="R383" s="599"/>
      <c r="S383" s="599"/>
      <c r="T383" s="599"/>
      <c r="U383" s="599"/>
      <c r="V383" s="599"/>
      <c r="W383" s="599"/>
      <c r="X383" s="599"/>
      <c r="Y383" s="599"/>
      <c r="Z383" s="599"/>
    </row>
    <row r="384" spans="1:26" ht="15.75" customHeight="1">
      <c r="A384" s="599"/>
      <c r="B384" s="599"/>
      <c r="C384" s="599"/>
      <c r="D384" s="599"/>
      <c r="E384" s="599"/>
      <c r="F384" s="599"/>
      <c r="G384" s="599"/>
      <c r="H384" s="599"/>
      <c r="I384" s="599"/>
      <c r="J384" s="599"/>
      <c r="K384" s="599"/>
      <c r="L384" s="599"/>
      <c r="M384" s="599"/>
      <c r="N384" s="599"/>
      <c r="O384" s="599"/>
      <c r="P384" s="599"/>
      <c r="Q384" s="599"/>
      <c r="R384" s="599"/>
      <c r="S384" s="599"/>
      <c r="T384" s="599"/>
      <c r="U384" s="599"/>
      <c r="V384" s="599"/>
      <c r="W384" s="599"/>
      <c r="X384" s="599"/>
      <c r="Y384" s="599"/>
      <c r="Z384" s="599"/>
    </row>
    <row r="385" spans="1:26" ht="15.75" customHeight="1">
      <c r="A385" s="599"/>
      <c r="B385" s="599"/>
      <c r="C385" s="599"/>
      <c r="D385" s="599"/>
      <c r="E385" s="599"/>
      <c r="F385" s="599"/>
      <c r="G385" s="599"/>
      <c r="H385" s="599"/>
      <c r="I385" s="599"/>
      <c r="J385" s="599"/>
      <c r="K385" s="599"/>
      <c r="L385" s="599"/>
      <c r="M385" s="599"/>
      <c r="N385" s="599"/>
      <c r="O385" s="599"/>
      <c r="P385" s="599"/>
      <c r="Q385" s="599"/>
      <c r="R385" s="599"/>
      <c r="S385" s="599"/>
      <c r="T385" s="599"/>
      <c r="U385" s="599"/>
      <c r="V385" s="599"/>
      <c r="W385" s="599"/>
      <c r="X385" s="599"/>
      <c r="Y385" s="599"/>
      <c r="Z385" s="599"/>
    </row>
    <row r="386" spans="1:26" ht="15.75" customHeight="1">
      <c r="A386" s="599"/>
      <c r="B386" s="599"/>
      <c r="C386" s="599"/>
      <c r="D386" s="599"/>
      <c r="E386" s="599"/>
      <c r="F386" s="599"/>
      <c r="G386" s="599"/>
      <c r="H386" s="599"/>
      <c r="I386" s="599"/>
      <c r="J386" s="599"/>
      <c r="K386" s="599"/>
      <c r="L386" s="599"/>
      <c r="M386" s="599"/>
      <c r="N386" s="599"/>
      <c r="O386" s="599"/>
      <c r="P386" s="599"/>
      <c r="Q386" s="599"/>
      <c r="R386" s="599"/>
      <c r="S386" s="599"/>
      <c r="T386" s="599"/>
      <c r="U386" s="599"/>
      <c r="V386" s="599"/>
      <c r="W386" s="599"/>
      <c r="X386" s="599"/>
      <c r="Y386" s="599"/>
      <c r="Z386" s="599"/>
    </row>
    <row r="387" spans="1:26" ht="15.75" customHeight="1">
      <c r="A387" s="599"/>
      <c r="B387" s="599"/>
      <c r="C387" s="599"/>
      <c r="D387" s="599"/>
      <c r="E387" s="599"/>
      <c r="F387" s="599"/>
      <c r="G387" s="599"/>
      <c r="H387" s="599"/>
      <c r="I387" s="599"/>
      <c r="J387" s="599"/>
      <c r="K387" s="599"/>
      <c r="L387" s="599"/>
      <c r="M387" s="599"/>
      <c r="N387" s="599"/>
      <c r="O387" s="599"/>
      <c r="P387" s="599"/>
      <c r="Q387" s="599"/>
      <c r="R387" s="599"/>
      <c r="S387" s="599"/>
      <c r="T387" s="599"/>
      <c r="U387" s="599"/>
      <c r="V387" s="599"/>
      <c r="W387" s="599"/>
      <c r="X387" s="599"/>
      <c r="Y387" s="599"/>
      <c r="Z387" s="599"/>
    </row>
    <row r="388" spans="1:26" ht="15.75" customHeight="1">
      <c r="A388" s="599"/>
      <c r="B388" s="599"/>
      <c r="C388" s="599"/>
      <c r="D388" s="599"/>
      <c r="E388" s="599"/>
      <c r="F388" s="599"/>
      <c r="G388" s="599"/>
      <c r="H388" s="599"/>
      <c r="I388" s="599"/>
      <c r="J388" s="599"/>
      <c r="K388" s="599"/>
      <c r="L388" s="599"/>
      <c r="M388" s="599"/>
      <c r="N388" s="599"/>
      <c r="O388" s="599"/>
      <c r="P388" s="599"/>
      <c r="Q388" s="599"/>
      <c r="R388" s="599"/>
      <c r="S388" s="599"/>
      <c r="T388" s="599"/>
      <c r="U388" s="599"/>
      <c r="V388" s="599"/>
      <c r="W388" s="599"/>
      <c r="X388" s="599"/>
      <c r="Y388" s="599"/>
      <c r="Z388" s="599"/>
    </row>
    <row r="389" spans="1:26" ht="15.75" customHeight="1">
      <c r="A389" s="599"/>
      <c r="B389" s="599"/>
      <c r="C389" s="599"/>
      <c r="D389" s="599"/>
      <c r="E389" s="599"/>
      <c r="F389" s="599"/>
      <c r="G389" s="599"/>
      <c r="H389" s="599"/>
      <c r="I389" s="599"/>
      <c r="J389" s="599"/>
      <c r="K389" s="599"/>
      <c r="L389" s="599"/>
      <c r="M389" s="599"/>
      <c r="N389" s="599"/>
      <c r="O389" s="599"/>
      <c r="P389" s="599"/>
      <c r="Q389" s="599"/>
      <c r="R389" s="599"/>
      <c r="S389" s="599"/>
      <c r="T389" s="599"/>
      <c r="U389" s="599"/>
      <c r="V389" s="599"/>
      <c r="W389" s="599"/>
      <c r="X389" s="599"/>
      <c r="Y389" s="599"/>
      <c r="Z389" s="599"/>
    </row>
    <row r="390" spans="1:26" ht="15.75" customHeight="1">
      <c r="A390" s="599"/>
      <c r="B390" s="599"/>
      <c r="C390" s="599"/>
      <c r="D390" s="599"/>
      <c r="E390" s="599"/>
      <c r="F390" s="599"/>
      <c r="G390" s="599"/>
      <c r="H390" s="599"/>
      <c r="I390" s="599"/>
      <c r="J390" s="599"/>
      <c r="K390" s="599"/>
      <c r="L390" s="599"/>
      <c r="M390" s="599"/>
      <c r="N390" s="599"/>
      <c r="O390" s="599"/>
      <c r="P390" s="599"/>
      <c r="Q390" s="599"/>
      <c r="R390" s="599"/>
      <c r="S390" s="599"/>
      <c r="T390" s="599"/>
      <c r="U390" s="599"/>
      <c r="V390" s="599"/>
      <c r="W390" s="599"/>
      <c r="X390" s="599"/>
      <c r="Y390" s="599"/>
      <c r="Z390" s="599"/>
    </row>
    <row r="391" spans="1:26" ht="15.75" customHeight="1">
      <c r="A391" s="599"/>
      <c r="B391" s="599"/>
      <c r="C391" s="599"/>
      <c r="D391" s="599"/>
      <c r="E391" s="599"/>
      <c r="F391" s="599"/>
      <c r="G391" s="599"/>
      <c r="H391" s="599"/>
      <c r="I391" s="599"/>
      <c r="J391" s="599"/>
      <c r="K391" s="599"/>
      <c r="L391" s="599"/>
      <c r="M391" s="599"/>
      <c r="N391" s="599"/>
      <c r="O391" s="599"/>
      <c r="P391" s="599"/>
      <c r="Q391" s="599"/>
      <c r="R391" s="599"/>
      <c r="S391" s="599"/>
      <c r="T391" s="599"/>
      <c r="U391" s="599"/>
      <c r="V391" s="599"/>
      <c r="W391" s="599"/>
      <c r="X391" s="599"/>
      <c r="Y391" s="599"/>
      <c r="Z391" s="599"/>
    </row>
    <row r="392" spans="1:26" ht="15.75" customHeight="1">
      <c r="A392" s="599"/>
      <c r="B392" s="599"/>
      <c r="C392" s="599"/>
      <c r="D392" s="599"/>
      <c r="E392" s="599"/>
      <c r="F392" s="599"/>
      <c r="G392" s="599"/>
      <c r="H392" s="599"/>
      <c r="I392" s="599"/>
      <c r="J392" s="599"/>
      <c r="K392" s="599"/>
      <c r="L392" s="599"/>
      <c r="M392" s="599"/>
      <c r="N392" s="599"/>
      <c r="O392" s="599"/>
      <c r="P392" s="599"/>
      <c r="Q392" s="599"/>
      <c r="R392" s="599"/>
      <c r="S392" s="599"/>
      <c r="T392" s="599"/>
      <c r="U392" s="599"/>
      <c r="V392" s="599"/>
      <c r="W392" s="599"/>
      <c r="X392" s="599"/>
      <c r="Y392" s="599"/>
      <c r="Z392" s="599"/>
    </row>
    <row r="393" spans="1:26" ht="15.75" customHeight="1">
      <c r="A393" s="599"/>
      <c r="B393" s="599"/>
      <c r="C393" s="599"/>
      <c r="D393" s="599"/>
      <c r="E393" s="599"/>
      <c r="F393" s="599"/>
      <c r="G393" s="599"/>
      <c r="H393" s="599"/>
      <c r="I393" s="599"/>
      <c r="J393" s="599"/>
      <c r="K393" s="599"/>
      <c r="L393" s="599"/>
      <c r="M393" s="599"/>
      <c r="N393" s="599"/>
      <c r="O393" s="599"/>
      <c r="P393" s="599"/>
      <c r="Q393" s="599"/>
      <c r="R393" s="599"/>
      <c r="S393" s="599"/>
      <c r="T393" s="599"/>
      <c r="U393" s="599"/>
      <c r="V393" s="599"/>
      <c r="W393" s="599"/>
      <c r="X393" s="599"/>
      <c r="Y393" s="599"/>
      <c r="Z393" s="599"/>
    </row>
    <row r="394" spans="1:26" ht="15.75" customHeight="1">
      <c r="A394" s="599"/>
      <c r="B394" s="599"/>
      <c r="C394" s="599"/>
      <c r="D394" s="599"/>
      <c r="E394" s="599"/>
      <c r="F394" s="599"/>
      <c r="G394" s="599"/>
      <c r="H394" s="599"/>
      <c r="I394" s="599"/>
      <c r="J394" s="599"/>
      <c r="K394" s="599"/>
      <c r="L394" s="599"/>
      <c r="M394" s="599"/>
      <c r="N394" s="599"/>
      <c r="O394" s="599"/>
      <c r="P394" s="599"/>
      <c r="Q394" s="599"/>
      <c r="R394" s="599"/>
      <c r="S394" s="599"/>
      <c r="T394" s="599"/>
      <c r="U394" s="599"/>
      <c r="V394" s="599"/>
      <c r="W394" s="599"/>
      <c r="X394" s="599"/>
      <c r="Y394" s="599"/>
      <c r="Z394" s="599"/>
    </row>
    <row r="395" spans="1:26" ht="15.75" customHeight="1">
      <c r="A395" s="599"/>
      <c r="B395" s="599"/>
      <c r="C395" s="599"/>
      <c r="D395" s="599"/>
      <c r="E395" s="599"/>
      <c r="F395" s="599"/>
      <c r="G395" s="599"/>
      <c r="H395" s="599"/>
      <c r="I395" s="599"/>
      <c r="J395" s="599"/>
      <c r="K395" s="599"/>
      <c r="L395" s="599"/>
      <c r="M395" s="599"/>
      <c r="N395" s="599"/>
      <c r="O395" s="599"/>
      <c r="P395" s="599"/>
      <c r="Q395" s="599"/>
      <c r="R395" s="599"/>
      <c r="S395" s="599"/>
      <c r="T395" s="599"/>
      <c r="U395" s="599"/>
      <c r="V395" s="599"/>
      <c r="W395" s="599"/>
      <c r="X395" s="599"/>
      <c r="Y395" s="599"/>
      <c r="Z395" s="599"/>
    </row>
    <row r="396" spans="1:26" ht="15.75" customHeight="1">
      <c r="A396" s="599"/>
      <c r="B396" s="599"/>
      <c r="C396" s="599"/>
      <c r="D396" s="599"/>
      <c r="E396" s="599"/>
      <c r="F396" s="599"/>
      <c r="G396" s="599"/>
      <c r="H396" s="599"/>
      <c r="I396" s="599"/>
      <c r="J396" s="599"/>
      <c r="K396" s="599"/>
      <c r="L396" s="599"/>
      <c r="M396" s="599"/>
      <c r="N396" s="599"/>
      <c r="O396" s="599"/>
      <c r="P396" s="599"/>
      <c r="Q396" s="599"/>
      <c r="R396" s="599"/>
      <c r="S396" s="599"/>
      <c r="T396" s="599"/>
      <c r="U396" s="599"/>
      <c r="V396" s="599"/>
      <c r="W396" s="599"/>
      <c r="X396" s="599"/>
      <c r="Y396" s="599"/>
      <c r="Z396" s="599"/>
    </row>
    <row r="397" spans="1:26" ht="15.75" customHeight="1">
      <c r="A397" s="599"/>
      <c r="B397" s="599"/>
      <c r="C397" s="599"/>
      <c r="D397" s="599"/>
      <c r="E397" s="599"/>
      <c r="F397" s="599"/>
      <c r="G397" s="599"/>
      <c r="H397" s="599"/>
      <c r="I397" s="599"/>
      <c r="J397" s="599"/>
      <c r="K397" s="599"/>
      <c r="L397" s="599"/>
      <c r="M397" s="599"/>
      <c r="N397" s="599"/>
      <c r="O397" s="599"/>
      <c r="P397" s="599"/>
      <c r="Q397" s="599"/>
      <c r="R397" s="599"/>
      <c r="S397" s="599"/>
      <c r="T397" s="599"/>
      <c r="U397" s="599"/>
      <c r="V397" s="599"/>
      <c r="W397" s="599"/>
      <c r="X397" s="599"/>
      <c r="Y397" s="599"/>
      <c r="Z397" s="599"/>
    </row>
    <row r="398" spans="1:26" ht="15.75" customHeight="1">
      <c r="A398" s="599"/>
      <c r="B398" s="599"/>
      <c r="C398" s="599"/>
      <c r="D398" s="599"/>
      <c r="E398" s="599"/>
      <c r="F398" s="599"/>
      <c r="G398" s="599"/>
      <c r="H398" s="599"/>
      <c r="I398" s="599"/>
      <c r="J398" s="599"/>
      <c r="K398" s="599"/>
      <c r="L398" s="599"/>
      <c r="M398" s="599"/>
      <c r="N398" s="599"/>
      <c r="O398" s="599"/>
      <c r="P398" s="599"/>
      <c r="Q398" s="599"/>
      <c r="R398" s="599"/>
      <c r="S398" s="599"/>
      <c r="T398" s="599"/>
      <c r="U398" s="599"/>
      <c r="V398" s="599"/>
      <c r="W398" s="599"/>
      <c r="X398" s="599"/>
      <c r="Y398" s="599"/>
      <c r="Z398" s="599"/>
    </row>
    <row r="399" spans="1:26" ht="15.75" customHeight="1">
      <c r="A399" s="599"/>
      <c r="B399" s="599"/>
      <c r="C399" s="599"/>
      <c r="D399" s="599"/>
      <c r="E399" s="599"/>
      <c r="F399" s="599"/>
      <c r="G399" s="599"/>
      <c r="H399" s="599"/>
      <c r="I399" s="599"/>
      <c r="J399" s="599"/>
      <c r="K399" s="599"/>
      <c r="L399" s="599"/>
      <c r="M399" s="599"/>
      <c r="N399" s="599"/>
      <c r="O399" s="599"/>
      <c r="P399" s="599"/>
      <c r="Q399" s="599"/>
      <c r="R399" s="599"/>
      <c r="S399" s="599"/>
      <c r="T399" s="599"/>
      <c r="U399" s="599"/>
      <c r="V399" s="599"/>
      <c r="W399" s="599"/>
      <c r="X399" s="599"/>
      <c r="Y399" s="599"/>
      <c r="Z399" s="599"/>
    </row>
    <row r="400" spans="1:26" ht="15.75" customHeight="1">
      <c r="A400" s="599"/>
      <c r="B400" s="599"/>
      <c r="C400" s="599"/>
      <c r="D400" s="599"/>
      <c r="E400" s="599"/>
      <c r="F400" s="599"/>
      <c r="G400" s="599"/>
      <c r="H400" s="599"/>
      <c r="I400" s="599"/>
      <c r="J400" s="599"/>
      <c r="K400" s="599"/>
      <c r="L400" s="599"/>
      <c r="M400" s="599"/>
      <c r="N400" s="599"/>
      <c r="O400" s="599"/>
      <c r="P400" s="599"/>
      <c r="Q400" s="599"/>
      <c r="R400" s="599"/>
      <c r="S400" s="599"/>
      <c r="T400" s="599"/>
      <c r="U400" s="599"/>
      <c r="V400" s="599"/>
      <c r="W400" s="599"/>
      <c r="X400" s="599"/>
      <c r="Y400" s="599"/>
      <c r="Z400" s="599"/>
    </row>
    <row r="401" spans="1:26" ht="15.75" customHeight="1">
      <c r="A401" s="599"/>
      <c r="B401" s="599"/>
      <c r="C401" s="599"/>
      <c r="D401" s="599"/>
      <c r="E401" s="599"/>
      <c r="F401" s="599"/>
      <c r="G401" s="599"/>
      <c r="H401" s="599"/>
      <c r="I401" s="599"/>
      <c r="J401" s="599"/>
      <c r="K401" s="599"/>
      <c r="L401" s="599"/>
      <c r="M401" s="599"/>
      <c r="N401" s="599"/>
      <c r="O401" s="599"/>
      <c r="P401" s="599"/>
      <c r="Q401" s="599"/>
      <c r="R401" s="599"/>
      <c r="S401" s="599"/>
      <c r="T401" s="599"/>
      <c r="U401" s="599"/>
      <c r="V401" s="599"/>
      <c r="W401" s="599"/>
      <c r="X401" s="599"/>
      <c r="Y401" s="599"/>
      <c r="Z401" s="599"/>
    </row>
    <row r="402" spans="1:26" ht="15.75" customHeight="1">
      <c r="A402" s="599"/>
      <c r="B402" s="599"/>
      <c r="C402" s="599"/>
      <c r="D402" s="599"/>
      <c r="E402" s="599"/>
      <c r="F402" s="599"/>
      <c r="G402" s="599"/>
      <c r="H402" s="599"/>
      <c r="I402" s="599"/>
      <c r="J402" s="599"/>
      <c r="K402" s="599"/>
      <c r="L402" s="599"/>
      <c r="M402" s="599"/>
      <c r="N402" s="599"/>
      <c r="O402" s="599"/>
      <c r="P402" s="599"/>
      <c r="Q402" s="599"/>
      <c r="R402" s="599"/>
      <c r="S402" s="599"/>
      <c r="T402" s="599"/>
      <c r="U402" s="599"/>
      <c r="V402" s="599"/>
      <c r="W402" s="599"/>
      <c r="X402" s="599"/>
      <c r="Y402" s="599"/>
      <c r="Z402" s="599"/>
    </row>
    <row r="403" spans="1:26" ht="15.75" customHeight="1">
      <c r="A403" s="599"/>
      <c r="B403" s="599"/>
      <c r="C403" s="599"/>
      <c r="D403" s="599"/>
      <c r="E403" s="599"/>
      <c r="F403" s="599"/>
      <c r="G403" s="599"/>
      <c r="H403" s="599"/>
      <c r="I403" s="599"/>
      <c r="J403" s="599"/>
      <c r="K403" s="599"/>
      <c r="L403" s="599"/>
      <c r="M403" s="599"/>
      <c r="N403" s="599"/>
      <c r="O403" s="599"/>
      <c r="P403" s="599"/>
      <c r="Q403" s="599"/>
      <c r="R403" s="599"/>
      <c r="S403" s="599"/>
      <c r="T403" s="599"/>
      <c r="U403" s="599"/>
      <c r="V403" s="599"/>
      <c r="W403" s="599"/>
      <c r="X403" s="599"/>
      <c r="Y403" s="599"/>
      <c r="Z403" s="599"/>
    </row>
    <row r="404" spans="1:26" ht="15.75" customHeight="1">
      <c r="A404" s="599"/>
      <c r="B404" s="599"/>
      <c r="C404" s="599"/>
      <c r="D404" s="599"/>
      <c r="E404" s="599"/>
      <c r="F404" s="599"/>
      <c r="G404" s="599"/>
      <c r="H404" s="599"/>
      <c r="I404" s="599"/>
      <c r="J404" s="599"/>
      <c r="K404" s="599"/>
      <c r="L404" s="599"/>
      <c r="M404" s="599"/>
      <c r="N404" s="599"/>
      <c r="O404" s="599"/>
      <c r="P404" s="599"/>
      <c r="Q404" s="599"/>
      <c r="R404" s="599"/>
      <c r="S404" s="599"/>
      <c r="T404" s="599"/>
      <c r="U404" s="599"/>
      <c r="V404" s="599"/>
      <c r="W404" s="599"/>
      <c r="X404" s="599"/>
      <c r="Y404" s="599"/>
      <c r="Z404" s="599"/>
    </row>
    <row r="405" spans="1:26" ht="15.75" customHeight="1">
      <c r="A405" s="599"/>
      <c r="B405" s="599"/>
      <c r="C405" s="599"/>
      <c r="D405" s="599"/>
      <c r="E405" s="599"/>
      <c r="F405" s="599"/>
      <c r="G405" s="599"/>
      <c r="H405" s="599"/>
      <c r="I405" s="599"/>
      <c r="J405" s="599"/>
      <c r="K405" s="599"/>
      <c r="L405" s="599"/>
      <c r="M405" s="599"/>
      <c r="N405" s="599"/>
      <c r="O405" s="599"/>
      <c r="P405" s="599"/>
      <c r="Q405" s="599"/>
      <c r="R405" s="599"/>
      <c r="S405" s="599"/>
      <c r="T405" s="599"/>
      <c r="U405" s="599"/>
      <c r="V405" s="599"/>
      <c r="W405" s="599"/>
      <c r="X405" s="599"/>
      <c r="Y405" s="599"/>
      <c r="Z405" s="599"/>
    </row>
    <row r="406" spans="1:26" ht="15.75" customHeight="1">
      <c r="A406" s="599"/>
      <c r="B406" s="599"/>
      <c r="C406" s="599"/>
      <c r="D406" s="599"/>
      <c r="E406" s="599"/>
      <c r="F406" s="599"/>
      <c r="G406" s="599"/>
      <c r="H406" s="599"/>
      <c r="I406" s="599"/>
      <c r="J406" s="599"/>
      <c r="K406" s="599"/>
      <c r="L406" s="599"/>
      <c r="M406" s="599"/>
      <c r="N406" s="599"/>
      <c r="O406" s="599"/>
      <c r="P406" s="599"/>
      <c r="Q406" s="599"/>
      <c r="R406" s="599"/>
      <c r="S406" s="599"/>
      <c r="T406" s="599"/>
      <c r="U406" s="599"/>
      <c r="V406" s="599"/>
      <c r="W406" s="599"/>
      <c r="X406" s="599"/>
      <c r="Y406" s="599"/>
      <c r="Z406" s="599"/>
    </row>
    <row r="407" spans="1:26" ht="15.75" customHeight="1">
      <c r="A407" s="599"/>
      <c r="B407" s="599"/>
      <c r="C407" s="599"/>
      <c r="D407" s="599"/>
      <c r="E407" s="599"/>
      <c r="F407" s="599"/>
      <c r="G407" s="599"/>
      <c r="H407" s="599"/>
      <c r="I407" s="599"/>
      <c r="J407" s="599"/>
      <c r="K407" s="599"/>
      <c r="L407" s="599"/>
      <c r="M407" s="599"/>
      <c r="N407" s="599"/>
      <c r="O407" s="599"/>
      <c r="P407" s="599"/>
      <c r="Q407" s="599"/>
      <c r="R407" s="599"/>
      <c r="S407" s="599"/>
      <c r="T407" s="599"/>
      <c r="U407" s="599"/>
      <c r="V407" s="599"/>
      <c r="W407" s="599"/>
      <c r="X407" s="599"/>
      <c r="Y407" s="599"/>
      <c r="Z407" s="599"/>
    </row>
    <row r="408" spans="1:26" ht="15.75" customHeight="1">
      <c r="A408" s="599"/>
      <c r="B408" s="599"/>
      <c r="C408" s="599"/>
      <c r="D408" s="599"/>
      <c r="E408" s="599"/>
      <c r="F408" s="599"/>
      <c r="G408" s="599"/>
      <c r="H408" s="599"/>
      <c r="I408" s="599"/>
      <c r="J408" s="599"/>
      <c r="K408" s="599"/>
      <c r="L408" s="599"/>
      <c r="M408" s="599"/>
      <c r="N408" s="599"/>
      <c r="O408" s="599"/>
      <c r="P408" s="599"/>
      <c r="Q408" s="599"/>
      <c r="R408" s="599"/>
      <c r="S408" s="599"/>
      <c r="T408" s="599"/>
      <c r="U408" s="599"/>
      <c r="V408" s="599"/>
      <c r="W408" s="599"/>
      <c r="X408" s="599"/>
      <c r="Y408" s="599"/>
      <c r="Z408" s="599"/>
    </row>
    <row r="409" spans="1:26" ht="15.75" customHeight="1">
      <c r="A409" s="599"/>
      <c r="B409" s="599"/>
      <c r="C409" s="599"/>
      <c r="D409" s="599"/>
      <c r="E409" s="599"/>
      <c r="F409" s="599"/>
      <c r="G409" s="599"/>
      <c r="H409" s="599"/>
      <c r="I409" s="599"/>
      <c r="J409" s="599"/>
      <c r="K409" s="599"/>
      <c r="L409" s="599"/>
      <c r="M409" s="599"/>
      <c r="N409" s="599"/>
      <c r="O409" s="599"/>
      <c r="P409" s="599"/>
      <c r="Q409" s="599"/>
      <c r="R409" s="599"/>
      <c r="S409" s="599"/>
      <c r="T409" s="599"/>
      <c r="U409" s="599"/>
      <c r="V409" s="599"/>
      <c r="W409" s="599"/>
      <c r="X409" s="599"/>
      <c r="Y409" s="599"/>
      <c r="Z409" s="599"/>
    </row>
    <row r="410" spans="1:26" ht="15.75" customHeight="1">
      <c r="A410" s="599"/>
      <c r="B410" s="599"/>
      <c r="C410" s="599"/>
      <c r="D410" s="599"/>
      <c r="E410" s="599"/>
      <c r="F410" s="599"/>
      <c r="G410" s="599"/>
      <c r="H410" s="599"/>
      <c r="I410" s="599"/>
      <c r="J410" s="599"/>
      <c r="K410" s="599"/>
      <c r="L410" s="599"/>
      <c r="M410" s="599"/>
      <c r="N410" s="599"/>
      <c r="O410" s="599"/>
      <c r="P410" s="599"/>
      <c r="Q410" s="599"/>
      <c r="R410" s="599"/>
      <c r="S410" s="599"/>
      <c r="T410" s="599"/>
      <c r="U410" s="599"/>
      <c r="V410" s="599"/>
      <c r="W410" s="599"/>
      <c r="X410" s="599"/>
      <c r="Y410" s="599"/>
      <c r="Z410" s="599"/>
    </row>
    <row r="411" spans="1:26" ht="15.75" customHeight="1">
      <c r="A411" s="599"/>
      <c r="B411" s="599"/>
      <c r="C411" s="599"/>
      <c r="D411" s="599"/>
      <c r="E411" s="599"/>
      <c r="F411" s="599"/>
      <c r="G411" s="599"/>
      <c r="H411" s="599"/>
      <c r="I411" s="599"/>
      <c r="J411" s="599"/>
      <c r="K411" s="599"/>
      <c r="L411" s="599"/>
      <c r="M411" s="599"/>
      <c r="N411" s="599"/>
      <c r="O411" s="599"/>
      <c r="P411" s="599"/>
      <c r="Q411" s="599"/>
      <c r="R411" s="599"/>
      <c r="S411" s="599"/>
      <c r="T411" s="599"/>
      <c r="U411" s="599"/>
      <c r="V411" s="599"/>
      <c r="W411" s="599"/>
      <c r="X411" s="599"/>
      <c r="Y411" s="599"/>
      <c r="Z411" s="599"/>
    </row>
    <row r="412" spans="1:26" ht="15.75" customHeight="1">
      <c r="A412" s="599"/>
      <c r="B412" s="599"/>
      <c r="C412" s="599"/>
      <c r="D412" s="599"/>
      <c r="E412" s="599"/>
      <c r="F412" s="599"/>
      <c r="G412" s="599"/>
      <c r="H412" s="599"/>
      <c r="I412" s="599"/>
      <c r="J412" s="599"/>
      <c r="K412" s="599"/>
      <c r="L412" s="599"/>
      <c r="M412" s="599"/>
      <c r="N412" s="599"/>
      <c r="O412" s="599"/>
      <c r="P412" s="599"/>
      <c r="Q412" s="599"/>
      <c r="R412" s="599"/>
      <c r="S412" s="599"/>
      <c r="T412" s="599"/>
      <c r="U412" s="599"/>
      <c r="V412" s="599"/>
      <c r="W412" s="599"/>
      <c r="X412" s="599"/>
      <c r="Y412" s="599"/>
      <c r="Z412" s="599"/>
    </row>
    <row r="413" spans="1:26" ht="15.75" customHeight="1">
      <c r="A413" s="599"/>
      <c r="B413" s="599"/>
      <c r="C413" s="599"/>
      <c r="D413" s="599"/>
      <c r="E413" s="599"/>
      <c r="F413" s="599"/>
      <c r="G413" s="599"/>
      <c r="H413" s="599"/>
      <c r="I413" s="599"/>
      <c r="J413" s="599"/>
      <c r="K413" s="599"/>
      <c r="L413" s="599"/>
      <c r="M413" s="599"/>
      <c r="N413" s="599"/>
      <c r="O413" s="599"/>
      <c r="P413" s="599"/>
      <c r="Q413" s="599"/>
      <c r="R413" s="599"/>
      <c r="S413" s="599"/>
      <c r="T413" s="599"/>
      <c r="U413" s="599"/>
      <c r="V413" s="599"/>
      <c r="W413" s="599"/>
      <c r="X413" s="599"/>
      <c r="Y413" s="599"/>
      <c r="Z413" s="599"/>
    </row>
    <row r="414" spans="1:26" ht="15.75" customHeight="1">
      <c r="A414" s="599"/>
      <c r="B414" s="599"/>
      <c r="C414" s="599"/>
      <c r="D414" s="599"/>
      <c r="E414" s="599"/>
      <c r="F414" s="599"/>
      <c r="G414" s="599"/>
      <c r="H414" s="599"/>
      <c r="I414" s="599"/>
      <c r="J414" s="599"/>
      <c r="K414" s="599"/>
      <c r="L414" s="599"/>
      <c r="M414" s="599"/>
      <c r="N414" s="599"/>
      <c r="O414" s="599"/>
      <c r="P414" s="599"/>
      <c r="Q414" s="599"/>
      <c r="R414" s="599"/>
      <c r="S414" s="599"/>
      <c r="T414" s="599"/>
      <c r="U414" s="599"/>
      <c r="V414" s="599"/>
      <c r="W414" s="599"/>
      <c r="X414" s="599"/>
      <c r="Y414" s="599"/>
      <c r="Z414" s="599"/>
    </row>
    <row r="415" spans="1:26" ht="15.75" customHeight="1">
      <c r="A415" s="599"/>
      <c r="B415" s="599"/>
      <c r="C415" s="599"/>
      <c r="D415" s="599"/>
      <c r="E415" s="599"/>
      <c r="F415" s="599"/>
      <c r="G415" s="599"/>
      <c r="H415" s="599"/>
      <c r="I415" s="599"/>
      <c r="J415" s="599"/>
      <c r="K415" s="599"/>
      <c r="L415" s="599"/>
      <c r="M415" s="599"/>
      <c r="N415" s="599"/>
      <c r="O415" s="599"/>
      <c r="P415" s="599"/>
      <c r="Q415" s="599"/>
      <c r="R415" s="599"/>
      <c r="S415" s="599"/>
      <c r="T415" s="599"/>
      <c r="U415" s="599"/>
      <c r="V415" s="599"/>
      <c r="W415" s="599"/>
      <c r="X415" s="599"/>
      <c r="Y415" s="599"/>
      <c r="Z415" s="599"/>
    </row>
    <row r="416" spans="1:26" ht="15.75" customHeight="1">
      <c r="A416" s="599"/>
      <c r="B416" s="599"/>
      <c r="C416" s="599"/>
      <c r="D416" s="599"/>
      <c r="E416" s="599"/>
      <c r="F416" s="599"/>
      <c r="G416" s="599"/>
      <c r="H416" s="599"/>
      <c r="I416" s="599"/>
      <c r="J416" s="599"/>
      <c r="K416" s="599"/>
      <c r="L416" s="599"/>
      <c r="M416" s="599"/>
      <c r="N416" s="599"/>
      <c r="O416" s="599"/>
      <c r="P416" s="599"/>
      <c r="Q416" s="599"/>
      <c r="R416" s="599"/>
      <c r="S416" s="599"/>
      <c r="T416" s="599"/>
      <c r="U416" s="599"/>
      <c r="V416" s="599"/>
      <c r="W416" s="599"/>
      <c r="X416" s="599"/>
      <c r="Y416" s="599"/>
      <c r="Z416" s="599"/>
    </row>
    <row r="417" spans="1:26" ht="15.75" customHeight="1">
      <c r="A417" s="599"/>
      <c r="B417" s="599"/>
      <c r="C417" s="599"/>
      <c r="D417" s="599"/>
      <c r="E417" s="599"/>
      <c r="F417" s="599"/>
      <c r="G417" s="599"/>
      <c r="H417" s="599"/>
      <c r="I417" s="599"/>
      <c r="J417" s="599"/>
      <c r="K417" s="599"/>
      <c r="L417" s="599"/>
      <c r="M417" s="599"/>
      <c r="N417" s="599"/>
      <c r="O417" s="599"/>
      <c r="P417" s="599"/>
      <c r="Q417" s="599"/>
      <c r="R417" s="599"/>
      <c r="S417" s="599"/>
      <c r="T417" s="599"/>
      <c r="U417" s="599"/>
      <c r="V417" s="599"/>
      <c r="W417" s="599"/>
      <c r="X417" s="599"/>
      <c r="Y417" s="599"/>
      <c r="Z417" s="599"/>
    </row>
    <row r="418" spans="1:26" ht="15.75" customHeight="1">
      <c r="A418" s="599"/>
      <c r="B418" s="599"/>
      <c r="C418" s="599"/>
      <c r="D418" s="599"/>
      <c r="E418" s="599"/>
      <c r="F418" s="599"/>
      <c r="G418" s="599"/>
      <c r="H418" s="599"/>
      <c r="I418" s="599"/>
      <c r="J418" s="599"/>
      <c r="K418" s="599"/>
      <c r="L418" s="599"/>
      <c r="M418" s="599"/>
      <c r="N418" s="599"/>
      <c r="O418" s="599"/>
      <c r="P418" s="599"/>
      <c r="Q418" s="599"/>
      <c r="R418" s="599"/>
      <c r="S418" s="599"/>
      <c r="T418" s="599"/>
      <c r="U418" s="599"/>
      <c r="V418" s="599"/>
      <c r="W418" s="599"/>
      <c r="X418" s="599"/>
      <c r="Y418" s="599"/>
      <c r="Z418" s="599"/>
    </row>
    <row r="419" spans="1:26" ht="15.75" customHeight="1">
      <c r="A419" s="599"/>
      <c r="B419" s="599"/>
      <c r="C419" s="599"/>
      <c r="D419" s="599"/>
      <c r="E419" s="599"/>
      <c r="F419" s="599"/>
      <c r="G419" s="599"/>
      <c r="H419" s="599"/>
      <c r="I419" s="599"/>
      <c r="J419" s="599"/>
      <c r="K419" s="599"/>
      <c r="L419" s="599"/>
      <c r="M419" s="599"/>
      <c r="N419" s="599"/>
      <c r="O419" s="599"/>
      <c r="P419" s="599"/>
      <c r="Q419" s="599"/>
      <c r="R419" s="599"/>
      <c r="S419" s="599"/>
      <c r="T419" s="599"/>
      <c r="U419" s="599"/>
      <c r="V419" s="599"/>
      <c r="W419" s="599"/>
      <c r="X419" s="599"/>
      <c r="Y419" s="599"/>
      <c r="Z419" s="599"/>
    </row>
    <row r="420" spans="1:26" ht="15.75" customHeight="1">
      <c r="A420" s="599"/>
      <c r="B420" s="599"/>
      <c r="C420" s="599"/>
      <c r="D420" s="599"/>
      <c r="E420" s="599"/>
      <c r="F420" s="599"/>
      <c r="G420" s="599"/>
      <c r="H420" s="599"/>
      <c r="I420" s="599"/>
      <c r="J420" s="599"/>
      <c r="K420" s="599"/>
      <c r="L420" s="599"/>
      <c r="M420" s="599"/>
      <c r="N420" s="599"/>
      <c r="O420" s="599"/>
      <c r="P420" s="599"/>
      <c r="Q420" s="599"/>
      <c r="R420" s="599"/>
      <c r="S420" s="599"/>
      <c r="T420" s="599"/>
      <c r="U420" s="599"/>
      <c r="V420" s="599"/>
      <c r="W420" s="599"/>
      <c r="X420" s="599"/>
      <c r="Y420" s="599"/>
      <c r="Z420" s="599"/>
    </row>
    <row r="421" spans="1:26" ht="15.75" customHeight="1">
      <c r="A421" s="599"/>
      <c r="B421" s="599"/>
      <c r="C421" s="599"/>
      <c r="D421" s="599"/>
      <c r="E421" s="599"/>
      <c r="F421" s="599"/>
      <c r="G421" s="599"/>
      <c r="H421" s="599"/>
      <c r="I421" s="599"/>
      <c r="J421" s="599"/>
      <c r="K421" s="599"/>
      <c r="L421" s="599"/>
      <c r="M421" s="599"/>
      <c r="N421" s="599"/>
      <c r="O421" s="599"/>
      <c r="P421" s="599"/>
      <c r="Q421" s="599"/>
      <c r="R421" s="599"/>
      <c r="S421" s="599"/>
      <c r="T421" s="599"/>
      <c r="U421" s="599"/>
      <c r="V421" s="599"/>
      <c r="W421" s="599"/>
      <c r="X421" s="599"/>
      <c r="Y421" s="599"/>
      <c r="Z421" s="599"/>
    </row>
    <row r="422" spans="1:26" ht="15.75" customHeight="1">
      <c r="A422" s="599"/>
      <c r="B422" s="599"/>
      <c r="C422" s="599"/>
      <c r="D422" s="599"/>
      <c r="E422" s="599"/>
      <c r="F422" s="599"/>
      <c r="G422" s="599"/>
      <c r="H422" s="599"/>
      <c r="I422" s="599"/>
      <c r="J422" s="599"/>
      <c r="K422" s="599"/>
      <c r="L422" s="599"/>
      <c r="M422" s="599"/>
      <c r="N422" s="599"/>
      <c r="O422" s="599"/>
      <c r="P422" s="599"/>
      <c r="Q422" s="599"/>
      <c r="R422" s="599"/>
      <c r="S422" s="599"/>
      <c r="T422" s="599"/>
      <c r="U422" s="599"/>
      <c r="V422" s="599"/>
      <c r="W422" s="599"/>
      <c r="X422" s="599"/>
      <c r="Y422" s="599"/>
      <c r="Z422" s="599"/>
    </row>
    <row r="423" spans="1:26" ht="15.75" customHeight="1">
      <c r="A423" s="599"/>
      <c r="B423" s="599"/>
      <c r="C423" s="599"/>
      <c r="D423" s="599"/>
      <c r="E423" s="599"/>
      <c r="F423" s="599"/>
      <c r="G423" s="599"/>
      <c r="H423" s="599"/>
      <c r="I423" s="599"/>
      <c r="J423" s="599"/>
      <c r="K423" s="599"/>
      <c r="L423" s="599"/>
      <c r="M423" s="599"/>
      <c r="N423" s="599"/>
      <c r="O423" s="599"/>
      <c r="P423" s="599"/>
      <c r="Q423" s="599"/>
      <c r="R423" s="599"/>
      <c r="S423" s="599"/>
      <c r="T423" s="599"/>
      <c r="U423" s="599"/>
      <c r="V423" s="599"/>
      <c r="W423" s="599"/>
      <c r="X423" s="599"/>
      <c r="Y423" s="599"/>
      <c r="Z423" s="599"/>
    </row>
    <row r="424" spans="1:26" ht="15.75" customHeight="1">
      <c r="A424" s="599"/>
      <c r="B424" s="599"/>
      <c r="C424" s="599"/>
      <c r="D424" s="599"/>
      <c r="E424" s="599"/>
      <c r="F424" s="599"/>
      <c r="G424" s="599"/>
      <c r="H424" s="599"/>
      <c r="I424" s="599"/>
      <c r="J424" s="599"/>
      <c r="K424" s="599"/>
      <c r="L424" s="599"/>
      <c r="M424" s="599"/>
      <c r="N424" s="599"/>
      <c r="O424" s="599"/>
      <c r="P424" s="599"/>
      <c r="Q424" s="599"/>
      <c r="R424" s="599"/>
      <c r="S424" s="599"/>
      <c r="T424" s="599"/>
      <c r="U424" s="599"/>
      <c r="V424" s="599"/>
      <c r="W424" s="599"/>
      <c r="X424" s="599"/>
      <c r="Y424" s="599"/>
      <c r="Z424" s="599"/>
    </row>
    <row r="425" spans="1:26" ht="15.75" customHeight="1">
      <c r="A425" s="599"/>
      <c r="B425" s="599"/>
      <c r="C425" s="599"/>
      <c r="D425" s="599"/>
      <c r="E425" s="599"/>
      <c r="F425" s="599"/>
      <c r="G425" s="599"/>
      <c r="H425" s="599"/>
      <c r="I425" s="599"/>
      <c r="J425" s="599"/>
      <c r="K425" s="599"/>
      <c r="L425" s="599"/>
      <c r="M425" s="599"/>
      <c r="N425" s="599"/>
      <c r="O425" s="599"/>
      <c r="P425" s="599"/>
      <c r="Q425" s="599"/>
      <c r="R425" s="599"/>
      <c r="S425" s="599"/>
      <c r="T425" s="599"/>
      <c r="U425" s="599"/>
      <c r="V425" s="599"/>
      <c r="W425" s="599"/>
      <c r="X425" s="599"/>
      <c r="Y425" s="599"/>
      <c r="Z425" s="599"/>
    </row>
    <row r="426" spans="1:26" ht="15.75" customHeight="1">
      <c r="A426" s="599"/>
      <c r="B426" s="599"/>
      <c r="C426" s="599"/>
      <c r="D426" s="599"/>
      <c r="E426" s="599"/>
      <c r="F426" s="599"/>
      <c r="G426" s="599"/>
      <c r="H426" s="599"/>
      <c r="I426" s="599"/>
      <c r="J426" s="599"/>
      <c r="K426" s="599"/>
      <c r="L426" s="599"/>
      <c r="M426" s="599"/>
      <c r="N426" s="599"/>
      <c r="O426" s="599"/>
      <c r="P426" s="599"/>
      <c r="Q426" s="599"/>
      <c r="R426" s="599"/>
      <c r="S426" s="599"/>
      <c r="T426" s="599"/>
      <c r="U426" s="599"/>
      <c r="V426" s="599"/>
      <c r="W426" s="599"/>
      <c r="X426" s="599"/>
      <c r="Y426" s="599"/>
      <c r="Z426" s="599"/>
    </row>
    <row r="427" spans="1:26" ht="15.75" customHeight="1">
      <c r="A427" s="599"/>
      <c r="B427" s="599"/>
      <c r="C427" s="599"/>
      <c r="D427" s="599"/>
      <c r="E427" s="599"/>
      <c r="F427" s="599"/>
      <c r="G427" s="599"/>
      <c r="H427" s="599"/>
      <c r="I427" s="599"/>
      <c r="J427" s="599"/>
      <c r="K427" s="599"/>
      <c r="L427" s="599"/>
      <c r="M427" s="599"/>
      <c r="N427" s="599"/>
      <c r="O427" s="599"/>
      <c r="P427" s="599"/>
      <c r="Q427" s="599"/>
      <c r="R427" s="599"/>
      <c r="S427" s="599"/>
      <c r="T427" s="599"/>
      <c r="U427" s="599"/>
      <c r="V427" s="599"/>
      <c r="W427" s="599"/>
      <c r="X427" s="599"/>
      <c r="Y427" s="599"/>
      <c r="Z427" s="599"/>
    </row>
    <row r="428" spans="1:26" ht="15.75" customHeight="1">
      <c r="A428" s="599"/>
      <c r="B428" s="599"/>
      <c r="C428" s="599"/>
      <c r="D428" s="599"/>
      <c r="E428" s="599"/>
      <c r="F428" s="599"/>
      <c r="G428" s="599"/>
      <c r="H428" s="599"/>
      <c r="I428" s="599"/>
      <c r="J428" s="599"/>
      <c r="K428" s="599"/>
      <c r="L428" s="599"/>
      <c r="M428" s="599"/>
      <c r="N428" s="599"/>
      <c r="O428" s="599"/>
      <c r="P428" s="599"/>
      <c r="Q428" s="599"/>
      <c r="R428" s="599"/>
      <c r="S428" s="599"/>
      <c r="T428" s="599"/>
      <c r="U428" s="599"/>
      <c r="V428" s="599"/>
      <c r="W428" s="599"/>
      <c r="X428" s="599"/>
      <c r="Y428" s="599"/>
      <c r="Z428" s="599"/>
    </row>
    <row r="429" spans="1:26" ht="15.75" customHeight="1">
      <c r="A429" s="599"/>
      <c r="B429" s="599"/>
      <c r="C429" s="599"/>
      <c r="D429" s="599"/>
      <c r="E429" s="599"/>
      <c r="F429" s="599"/>
      <c r="G429" s="599"/>
      <c r="H429" s="599"/>
      <c r="I429" s="599"/>
      <c r="J429" s="599"/>
      <c r="K429" s="599"/>
      <c r="L429" s="599"/>
      <c r="M429" s="599"/>
      <c r="N429" s="599"/>
      <c r="O429" s="599"/>
      <c r="P429" s="599"/>
      <c r="Q429" s="599"/>
      <c r="R429" s="599"/>
      <c r="S429" s="599"/>
      <c r="T429" s="599"/>
      <c r="U429" s="599"/>
      <c r="V429" s="599"/>
      <c r="W429" s="599"/>
      <c r="X429" s="599"/>
      <c r="Y429" s="599"/>
      <c r="Z429" s="599"/>
    </row>
    <row r="430" spans="1:26" ht="15.75" customHeight="1">
      <c r="A430" s="599"/>
      <c r="B430" s="599"/>
      <c r="C430" s="599"/>
      <c r="D430" s="599"/>
      <c r="E430" s="599"/>
      <c r="F430" s="599"/>
      <c r="G430" s="599"/>
      <c r="H430" s="599"/>
      <c r="I430" s="599"/>
      <c r="J430" s="599"/>
      <c r="K430" s="599"/>
      <c r="L430" s="599"/>
      <c r="M430" s="599"/>
      <c r="N430" s="599"/>
      <c r="O430" s="599"/>
      <c r="P430" s="599"/>
      <c r="Q430" s="599"/>
      <c r="R430" s="599"/>
      <c r="S430" s="599"/>
      <c r="T430" s="599"/>
      <c r="U430" s="599"/>
      <c r="V430" s="599"/>
      <c r="W430" s="599"/>
      <c r="X430" s="599"/>
      <c r="Y430" s="599"/>
      <c r="Z430" s="599"/>
    </row>
    <row r="431" spans="1:26" ht="15.75" customHeight="1">
      <c r="A431" s="599"/>
      <c r="B431" s="599"/>
      <c r="C431" s="599"/>
      <c r="D431" s="599"/>
      <c r="E431" s="599"/>
      <c r="F431" s="599"/>
      <c r="G431" s="599"/>
      <c r="H431" s="599"/>
      <c r="I431" s="599"/>
      <c r="J431" s="599"/>
      <c r="K431" s="599"/>
      <c r="L431" s="599"/>
      <c r="M431" s="599"/>
      <c r="N431" s="599"/>
      <c r="O431" s="599"/>
      <c r="P431" s="599"/>
      <c r="Q431" s="599"/>
      <c r="R431" s="599"/>
      <c r="S431" s="599"/>
      <c r="T431" s="599"/>
      <c r="U431" s="599"/>
      <c r="V431" s="599"/>
      <c r="W431" s="599"/>
      <c r="X431" s="599"/>
      <c r="Y431" s="599"/>
      <c r="Z431" s="599"/>
    </row>
    <row r="432" spans="1:26" ht="15.75" customHeight="1">
      <c r="A432" s="599"/>
      <c r="B432" s="599"/>
      <c r="C432" s="599"/>
      <c r="D432" s="599"/>
      <c r="E432" s="599"/>
      <c r="F432" s="599"/>
      <c r="G432" s="599"/>
      <c r="H432" s="599"/>
      <c r="I432" s="599"/>
      <c r="J432" s="599"/>
      <c r="K432" s="599"/>
      <c r="L432" s="599"/>
      <c r="M432" s="599"/>
      <c r="N432" s="599"/>
      <c r="O432" s="599"/>
      <c r="P432" s="599"/>
      <c r="Q432" s="599"/>
      <c r="R432" s="599"/>
      <c r="S432" s="599"/>
      <c r="T432" s="599"/>
      <c r="U432" s="599"/>
      <c r="V432" s="599"/>
      <c r="W432" s="599"/>
      <c r="X432" s="599"/>
      <c r="Y432" s="599"/>
      <c r="Z432" s="599"/>
    </row>
    <row r="433" spans="1:26" ht="15.75" customHeight="1">
      <c r="A433" s="599"/>
      <c r="B433" s="599"/>
      <c r="C433" s="599"/>
      <c r="D433" s="599"/>
      <c r="E433" s="599"/>
      <c r="F433" s="599"/>
      <c r="G433" s="599"/>
      <c r="H433" s="599"/>
      <c r="I433" s="599"/>
      <c r="J433" s="599"/>
      <c r="K433" s="599"/>
      <c r="L433" s="599"/>
      <c r="M433" s="599"/>
      <c r="N433" s="599"/>
      <c r="O433" s="599"/>
      <c r="P433" s="599"/>
      <c r="Q433" s="599"/>
      <c r="R433" s="599"/>
      <c r="S433" s="599"/>
      <c r="T433" s="599"/>
      <c r="U433" s="599"/>
      <c r="V433" s="599"/>
      <c r="W433" s="599"/>
      <c r="X433" s="599"/>
      <c r="Y433" s="599"/>
      <c r="Z433" s="599"/>
    </row>
    <row r="434" spans="1:26" ht="15.75" customHeight="1">
      <c r="A434" s="599"/>
      <c r="B434" s="599"/>
      <c r="C434" s="599"/>
      <c r="D434" s="599"/>
      <c r="E434" s="599"/>
      <c r="F434" s="599"/>
      <c r="G434" s="599"/>
      <c r="H434" s="599"/>
      <c r="I434" s="599"/>
      <c r="J434" s="599"/>
      <c r="K434" s="599"/>
      <c r="L434" s="599"/>
      <c r="M434" s="599"/>
      <c r="N434" s="599"/>
      <c r="O434" s="599"/>
      <c r="P434" s="599"/>
      <c r="Q434" s="599"/>
      <c r="R434" s="599"/>
      <c r="S434" s="599"/>
      <c r="T434" s="599"/>
      <c r="U434" s="599"/>
      <c r="V434" s="599"/>
      <c r="W434" s="599"/>
      <c r="X434" s="599"/>
      <c r="Y434" s="599"/>
      <c r="Z434" s="599"/>
    </row>
    <row r="435" spans="1:26" ht="15.75" customHeight="1">
      <c r="A435" s="599"/>
      <c r="B435" s="599"/>
      <c r="C435" s="599"/>
      <c r="D435" s="599"/>
      <c r="E435" s="599"/>
      <c r="F435" s="599"/>
      <c r="G435" s="599"/>
      <c r="H435" s="599"/>
      <c r="I435" s="599"/>
      <c r="J435" s="599"/>
      <c r="K435" s="599"/>
      <c r="L435" s="599"/>
      <c r="M435" s="599"/>
      <c r="N435" s="599"/>
      <c r="O435" s="599"/>
      <c r="P435" s="599"/>
      <c r="Q435" s="599"/>
      <c r="R435" s="599"/>
      <c r="S435" s="599"/>
      <c r="T435" s="599"/>
      <c r="U435" s="599"/>
      <c r="V435" s="599"/>
      <c r="W435" s="599"/>
      <c r="X435" s="599"/>
      <c r="Y435" s="599"/>
      <c r="Z435" s="599"/>
    </row>
    <row r="436" spans="1:26" ht="15.75" customHeight="1">
      <c r="A436" s="599"/>
      <c r="B436" s="599"/>
      <c r="C436" s="599"/>
      <c r="D436" s="599"/>
      <c r="E436" s="599"/>
      <c r="F436" s="599"/>
      <c r="G436" s="599"/>
      <c r="H436" s="599"/>
      <c r="I436" s="599"/>
      <c r="J436" s="599"/>
      <c r="K436" s="599"/>
      <c r="L436" s="599"/>
      <c r="M436" s="599"/>
      <c r="N436" s="599"/>
      <c r="O436" s="599"/>
      <c r="P436" s="599"/>
      <c r="Q436" s="599"/>
      <c r="R436" s="599"/>
      <c r="S436" s="599"/>
      <c r="T436" s="599"/>
      <c r="U436" s="599"/>
      <c r="V436" s="599"/>
      <c r="W436" s="599"/>
      <c r="X436" s="599"/>
      <c r="Y436" s="599"/>
      <c r="Z436" s="599"/>
    </row>
    <row r="437" spans="1:26" ht="15.75" customHeight="1">
      <c r="A437" s="599"/>
      <c r="B437" s="599"/>
      <c r="C437" s="599"/>
      <c r="D437" s="599"/>
      <c r="E437" s="599"/>
      <c r="F437" s="599"/>
      <c r="G437" s="599"/>
      <c r="H437" s="599"/>
      <c r="I437" s="599"/>
      <c r="J437" s="599"/>
      <c r="K437" s="599"/>
      <c r="L437" s="599"/>
      <c r="M437" s="599"/>
      <c r="N437" s="599"/>
      <c r="O437" s="599"/>
      <c r="P437" s="599"/>
      <c r="Q437" s="599"/>
      <c r="R437" s="599"/>
      <c r="S437" s="599"/>
      <c r="T437" s="599"/>
      <c r="U437" s="599"/>
      <c r="V437" s="599"/>
      <c r="W437" s="599"/>
      <c r="X437" s="599"/>
      <c r="Y437" s="599"/>
      <c r="Z437" s="599"/>
    </row>
    <row r="438" spans="1:26" ht="15.75" customHeight="1">
      <c r="A438" s="599"/>
      <c r="B438" s="599"/>
      <c r="C438" s="599"/>
      <c r="D438" s="599"/>
      <c r="E438" s="599"/>
      <c r="F438" s="599"/>
      <c r="G438" s="599"/>
      <c r="H438" s="599"/>
      <c r="I438" s="599"/>
      <c r="J438" s="599"/>
      <c r="K438" s="599"/>
      <c r="L438" s="599"/>
      <c r="M438" s="599"/>
      <c r="N438" s="599"/>
      <c r="O438" s="599"/>
      <c r="P438" s="599"/>
      <c r="Q438" s="599"/>
      <c r="R438" s="599"/>
      <c r="S438" s="599"/>
      <c r="T438" s="599"/>
      <c r="U438" s="599"/>
      <c r="V438" s="599"/>
      <c r="W438" s="599"/>
      <c r="X438" s="599"/>
      <c r="Y438" s="599"/>
      <c r="Z438" s="599"/>
    </row>
    <row r="439" spans="1:26" ht="15.75" customHeight="1">
      <c r="A439" s="599"/>
      <c r="B439" s="599"/>
      <c r="C439" s="599"/>
      <c r="D439" s="599"/>
      <c r="E439" s="599"/>
      <c r="F439" s="599"/>
      <c r="G439" s="599"/>
      <c r="H439" s="599"/>
      <c r="I439" s="599"/>
      <c r="J439" s="599"/>
      <c r="K439" s="599"/>
      <c r="L439" s="599"/>
      <c r="M439" s="599"/>
      <c r="N439" s="599"/>
      <c r="O439" s="599"/>
      <c r="P439" s="599"/>
      <c r="Q439" s="599"/>
      <c r="R439" s="599"/>
      <c r="S439" s="599"/>
      <c r="T439" s="599"/>
      <c r="U439" s="599"/>
      <c r="V439" s="599"/>
      <c r="W439" s="599"/>
      <c r="X439" s="599"/>
      <c r="Y439" s="599"/>
      <c r="Z439" s="599"/>
    </row>
    <row r="440" spans="1:26" ht="15.75" customHeight="1">
      <c r="A440" s="599"/>
      <c r="B440" s="599"/>
      <c r="C440" s="599"/>
      <c r="D440" s="599"/>
      <c r="E440" s="599"/>
      <c r="F440" s="599"/>
      <c r="G440" s="599"/>
      <c r="H440" s="599"/>
      <c r="I440" s="599"/>
      <c r="J440" s="599"/>
      <c r="K440" s="599"/>
      <c r="L440" s="599"/>
      <c r="M440" s="599"/>
      <c r="N440" s="599"/>
      <c r="O440" s="599"/>
      <c r="P440" s="599"/>
      <c r="Q440" s="599"/>
      <c r="R440" s="599"/>
      <c r="S440" s="599"/>
      <c r="T440" s="599"/>
      <c r="U440" s="599"/>
      <c r="V440" s="599"/>
      <c r="W440" s="599"/>
      <c r="X440" s="599"/>
      <c r="Y440" s="599"/>
      <c r="Z440" s="599"/>
    </row>
    <row r="441" spans="1:26" ht="15.75" customHeight="1">
      <c r="A441" s="599"/>
      <c r="B441" s="599"/>
      <c r="C441" s="599"/>
      <c r="D441" s="599"/>
      <c r="E441" s="599"/>
      <c r="F441" s="599"/>
      <c r="G441" s="599"/>
      <c r="H441" s="599"/>
      <c r="I441" s="599"/>
      <c r="J441" s="599"/>
      <c r="K441" s="599"/>
      <c r="L441" s="599"/>
      <c r="M441" s="599"/>
      <c r="N441" s="599"/>
      <c r="O441" s="599"/>
      <c r="P441" s="599"/>
      <c r="Q441" s="599"/>
      <c r="R441" s="599"/>
      <c r="S441" s="599"/>
      <c r="T441" s="599"/>
      <c r="U441" s="599"/>
      <c r="V441" s="599"/>
      <c r="W441" s="599"/>
      <c r="X441" s="599"/>
      <c r="Y441" s="599"/>
      <c r="Z441" s="599"/>
    </row>
    <row r="442" spans="1:26" ht="15.75" customHeight="1">
      <c r="A442" s="599"/>
      <c r="B442" s="599"/>
      <c r="C442" s="599"/>
      <c r="D442" s="599"/>
      <c r="E442" s="599"/>
      <c r="F442" s="599"/>
      <c r="G442" s="599"/>
      <c r="H442" s="599"/>
      <c r="I442" s="599"/>
      <c r="J442" s="599"/>
      <c r="K442" s="599"/>
      <c r="L442" s="599"/>
      <c r="M442" s="599"/>
      <c r="N442" s="599"/>
      <c r="O442" s="599"/>
      <c r="P442" s="599"/>
      <c r="Q442" s="599"/>
      <c r="R442" s="599"/>
      <c r="S442" s="599"/>
      <c r="T442" s="599"/>
      <c r="U442" s="599"/>
      <c r="V442" s="599"/>
      <c r="W442" s="599"/>
      <c r="X442" s="599"/>
      <c r="Y442" s="599"/>
      <c r="Z442" s="599"/>
    </row>
    <row r="443" spans="1:26" ht="15.75" customHeight="1">
      <c r="A443" s="599"/>
      <c r="B443" s="599"/>
      <c r="C443" s="599"/>
      <c r="D443" s="599"/>
      <c r="E443" s="599"/>
      <c r="F443" s="599"/>
      <c r="G443" s="599"/>
      <c r="H443" s="599"/>
      <c r="I443" s="599"/>
      <c r="J443" s="599"/>
      <c r="K443" s="599"/>
      <c r="L443" s="599"/>
      <c r="M443" s="599"/>
      <c r="N443" s="599"/>
      <c r="O443" s="599"/>
      <c r="P443" s="599"/>
      <c r="Q443" s="599"/>
      <c r="R443" s="599"/>
      <c r="S443" s="599"/>
      <c r="T443" s="599"/>
      <c r="U443" s="599"/>
      <c r="V443" s="599"/>
      <c r="W443" s="599"/>
      <c r="X443" s="599"/>
      <c r="Y443" s="599"/>
      <c r="Z443" s="599"/>
    </row>
    <row r="444" spans="1:26" ht="15.75" customHeight="1">
      <c r="A444" s="599"/>
      <c r="B444" s="599"/>
      <c r="C444" s="599"/>
      <c r="D444" s="599"/>
      <c r="E444" s="599"/>
      <c r="F444" s="599"/>
      <c r="G444" s="599"/>
      <c r="H444" s="599"/>
      <c r="I444" s="599"/>
      <c r="J444" s="599"/>
      <c r="K444" s="599"/>
      <c r="L444" s="599"/>
      <c r="M444" s="599"/>
      <c r="N444" s="599"/>
      <c r="O444" s="599"/>
      <c r="P444" s="599"/>
      <c r="Q444" s="599"/>
      <c r="R444" s="599"/>
      <c r="S444" s="599"/>
      <c r="T444" s="599"/>
      <c r="U444" s="599"/>
      <c r="V444" s="599"/>
      <c r="W444" s="599"/>
      <c r="X444" s="599"/>
      <c r="Y444" s="599"/>
      <c r="Z444" s="599"/>
    </row>
    <row r="445" spans="1:26" ht="15.75" customHeight="1">
      <c r="A445" s="599"/>
      <c r="B445" s="599"/>
      <c r="C445" s="599"/>
      <c r="D445" s="599"/>
      <c r="E445" s="599"/>
      <c r="F445" s="599"/>
      <c r="G445" s="599"/>
      <c r="H445" s="599"/>
      <c r="I445" s="599"/>
      <c r="J445" s="599"/>
      <c r="K445" s="599"/>
      <c r="L445" s="599"/>
      <c r="M445" s="599"/>
      <c r="N445" s="599"/>
      <c r="O445" s="599"/>
      <c r="P445" s="599"/>
      <c r="Q445" s="599"/>
      <c r="R445" s="599"/>
      <c r="S445" s="599"/>
      <c r="T445" s="599"/>
      <c r="U445" s="599"/>
      <c r="V445" s="599"/>
      <c r="W445" s="599"/>
      <c r="X445" s="599"/>
      <c r="Y445" s="599"/>
      <c r="Z445" s="599"/>
    </row>
    <row r="446" spans="1:26" ht="15.75" customHeight="1">
      <c r="A446" s="599"/>
      <c r="B446" s="599"/>
      <c r="C446" s="599"/>
      <c r="D446" s="599"/>
      <c r="E446" s="599"/>
      <c r="F446" s="599"/>
      <c r="G446" s="599"/>
      <c r="H446" s="599"/>
      <c r="I446" s="599"/>
      <c r="J446" s="599"/>
      <c r="K446" s="599"/>
      <c r="L446" s="599"/>
      <c r="M446" s="599"/>
      <c r="N446" s="599"/>
      <c r="O446" s="599"/>
      <c r="P446" s="599"/>
      <c r="Q446" s="599"/>
      <c r="R446" s="599"/>
      <c r="S446" s="599"/>
      <c r="T446" s="599"/>
      <c r="U446" s="599"/>
      <c r="V446" s="599"/>
      <c r="W446" s="599"/>
      <c r="X446" s="599"/>
      <c r="Y446" s="599"/>
      <c r="Z446" s="599"/>
    </row>
    <row r="447" spans="1:26" ht="15.75" customHeight="1">
      <c r="A447" s="599"/>
      <c r="B447" s="599"/>
      <c r="C447" s="599"/>
      <c r="D447" s="599"/>
      <c r="E447" s="599"/>
      <c r="F447" s="599"/>
      <c r="G447" s="599"/>
      <c r="H447" s="599"/>
      <c r="I447" s="599"/>
      <c r="J447" s="599"/>
      <c r="K447" s="599"/>
      <c r="L447" s="599"/>
      <c r="M447" s="599"/>
      <c r="N447" s="599"/>
      <c r="O447" s="599"/>
      <c r="P447" s="599"/>
      <c r="Q447" s="599"/>
      <c r="R447" s="599"/>
      <c r="S447" s="599"/>
      <c r="T447" s="599"/>
      <c r="U447" s="599"/>
      <c r="V447" s="599"/>
      <c r="W447" s="599"/>
      <c r="X447" s="599"/>
      <c r="Y447" s="599"/>
      <c r="Z447" s="599"/>
    </row>
    <row r="448" spans="1:26" ht="15.75" customHeight="1">
      <c r="A448" s="599"/>
      <c r="B448" s="599"/>
      <c r="C448" s="599"/>
      <c r="D448" s="599"/>
      <c r="E448" s="599"/>
      <c r="F448" s="599"/>
      <c r="G448" s="599"/>
      <c r="H448" s="599"/>
      <c r="I448" s="599"/>
      <c r="J448" s="599"/>
      <c r="K448" s="599"/>
      <c r="L448" s="599"/>
      <c r="M448" s="599"/>
      <c r="N448" s="599"/>
      <c r="O448" s="599"/>
      <c r="P448" s="599"/>
      <c r="Q448" s="599"/>
      <c r="R448" s="599"/>
      <c r="S448" s="599"/>
      <c r="T448" s="599"/>
      <c r="U448" s="599"/>
      <c r="V448" s="599"/>
      <c r="W448" s="599"/>
      <c r="X448" s="599"/>
      <c r="Y448" s="599"/>
      <c r="Z448" s="599"/>
    </row>
    <row r="449" spans="1:26" ht="15.75" customHeight="1">
      <c r="A449" s="599"/>
      <c r="B449" s="599"/>
      <c r="C449" s="599"/>
      <c r="D449" s="599"/>
      <c r="E449" s="599"/>
      <c r="F449" s="599"/>
      <c r="G449" s="599"/>
      <c r="H449" s="599"/>
      <c r="I449" s="599"/>
      <c r="J449" s="599"/>
      <c r="K449" s="599"/>
      <c r="L449" s="599"/>
      <c r="M449" s="599"/>
      <c r="N449" s="599"/>
      <c r="O449" s="599"/>
      <c r="P449" s="599"/>
      <c r="Q449" s="599"/>
      <c r="R449" s="599"/>
      <c r="S449" s="599"/>
      <c r="T449" s="599"/>
      <c r="U449" s="599"/>
      <c r="V449" s="599"/>
      <c r="W449" s="599"/>
      <c r="X449" s="599"/>
      <c r="Y449" s="599"/>
      <c r="Z449" s="599"/>
    </row>
    <row r="450" spans="1:26" ht="15.75" customHeight="1">
      <c r="A450" s="599"/>
      <c r="B450" s="599"/>
      <c r="C450" s="599"/>
      <c r="D450" s="599"/>
      <c r="E450" s="599"/>
      <c r="F450" s="599"/>
      <c r="G450" s="599"/>
      <c r="H450" s="599"/>
      <c r="I450" s="599"/>
      <c r="J450" s="599"/>
      <c r="K450" s="599"/>
      <c r="L450" s="599"/>
      <c r="M450" s="599"/>
      <c r="N450" s="599"/>
      <c r="O450" s="599"/>
      <c r="P450" s="599"/>
      <c r="Q450" s="599"/>
      <c r="R450" s="599"/>
      <c r="S450" s="599"/>
      <c r="T450" s="599"/>
      <c r="U450" s="599"/>
      <c r="V450" s="599"/>
      <c r="W450" s="599"/>
      <c r="X450" s="599"/>
      <c r="Y450" s="599"/>
      <c r="Z450" s="599"/>
    </row>
    <row r="451" spans="1:26" ht="15.75" customHeight="1">
      <c r="A451" s="599"/>
      <c r="B451" s="599"/>
      <c r="C451" s="599"/>
      <c r="D451" s="599"/>
      <c r="E451" s="599"/>
      <c r="F451" s="599"/>
      <c r="G451" s="599"/>
      <c r="H451" s="599"/>
      <c r="I451" s="599"/>
      <c r="J451" s="599"/>
      <c r="K451" s="599"/>
      <c r="L451" s="599"/>
      <c r="M451" s="599"/>
      <c r="N451" s="599"/>
      <c r="O451" s="599"/>
      <c r="P451" s="599"/>
      <c r="Q451" s="599"/>
      <c r="R451" s="599"/>
      <c r="S451" s="599"/>
      <c r="T451" s="599"/>
      <c r="U451" s="599"/>
      <c r="V451" s="599"/>
      <c r="W451" s="599"/>
      <c r="X451" s="599"/>
      <c r="Y451" s="599"/>
      <c r="Z451" s="599"/>
    </row>
    <row r="452" spans="1:26" ht="15.75" customHeight="1">
      <c r="A452" s="599"/>
      <c r="B452" s="599"/>
      <c r="C452" s="599"/>
      <c r="D452" s="599"/>
      <c r="E452" s="599"/>
      <c r="F452" s="599"/>
      <c r="G452" s="599"/>
      <c r="H452" s="599"/>
      <c r="I452" s="599"/>
      <c r="J452" s="599"/>
      <c r="K452" s="599"/>
      <c r="L452" s="599"/>
      <c r="M452" s="599"/>
      <c r="N452" s="599"/>
      <c r="O452" s="599"/>
      <c r="P452" s="599"/>
      <c r="Q452" s="599"/>
      <c r="R452" s="599"/>
      <c r="S452" s="599"/>
      <c r="T452" s="599"/>
      <c r="U452" s="599"/>
      <c r="V452" s="599"/>
      <c r="W452" s="599"/>
      <c r="X452" s="599"/>
      <c r="Y452" s="599"/>
      <c r="Z452" s="599"/>
    </row>
    <row r="453" spans="1:26" ht="15.75" customHeight="1">
      <c r="A453" s="599"/>
      <c r="B453" s="599"/>
      <c r="C453" s="599"/>
      <c r="D453" s="599"/>
      <c r="E453" s="599"/>
      <c r="F453" s="599"/>
      <c r="G453" s="599"/>
      <c r="H453" s="599"/>
      <c r="I453" s="599"/>
      <c r="J453" s="599"/>
      <c r="K453" s="599"/>
      <c r="L453" s="599"/>
      <c r="M453" s="599"/>
      <c r="N453" s="599"/>
      <c r="O453" s="599"/>
      <c r="P453" s="599"/>
      <c r="Q453" s="599"/>
      <c r="R453" s="599"/>
      <c r="S453" s="599"/>
      <c r="T453" s="599"/>
      <c r="U453" s="599"/>
      <c r="V453" s="599"/>
      <c r="W453" s="599"/>
      <c r="X453" s="599"/>
      <c r="Y453" s="599"/>
      <c r="Z453" s="599"/>
    </row>
    <row r="454" spans="1:26" ht="15.75" customHeight="1">
      <c r="A454" s="599"/>
      <c r="B454" s="599"/>
      <c r="C454" s="599"/>
      <c r="D454" s="599"/>
      <c r="E454" s="599"/>
      <c r="F454" s="599"/>
      <c r="G454" s="599"/>
      <c r="H454" s="599"/>
      <c r="I454" s="599"/>
      <c r="J454" s="599"/>
      <c r="K454" s="599"/>
      <c r="L454" s="599"/>
      <c r="M454" s="599"/>
      <c r="N454" s="599"/>
      <c r="O454" s="599"/>
      <c r="P454" s="599"/>
      <c r="Q454" s="599"/>
      <c r="R454" s="599"/>
      <c r="S454" s="599"/>
      <c r="T454" s="599"/>
      <c r="U454" s="599"/>
      <c r="V454" s="599"/>
      <c r="W454" s="599"/>
      <c r="X454" s="599"/>
      <c r="Y454" s="599"/>
      <c r="Z454" s="599"/>
    </row>
    <row r="455" spans="1:26" ht="15.75" customHeight="1">
      <c r="A455" s="599"/>
      <c r="B455" s="599"/>
      <c r="C455" s="599"/>
      <c r="D455" s="599"/>
      <c r="E455" s="599"/>
      <c r="F455" s="599"/>
      <c r="G455" s="599"/>
      <c r="H455" s="599"/>
      <c r="I455" s="599"/>
      <c r="J455" s="599"/>
      <c r="K455" s="599"/>
      <c r="L455" s="599"/>
      <c r="M455" s="599"/>
      <c r="N455" s="599"/>
      <c r="O455" s="599"/>
      <c r="P455" s="599"/>
      <c r="Q455" s="599"/>
      <c r="R455" s="599"/>
      <c r="S455" s="599"/>
      <c r="T455" s="599"/>
      <c r="U455" s="599"/>
      <c r="V455" s="599"/>
      <c r="W455" s="599"/>
      <c r="X455" s="599"/>
      <c r="Y455" s="599"/>
      <c r="Z455" s="599"/>
    </row>
    <row r="456" spans="1:26" ht="15.75" customHeight="1">
      <c r="A456" s="599"/>
      <c r="B456" s="599"/>
      <c r="C456" s="599"/>
      <c r="D456" s="599"/>
      <c r="E456" s="599"/>
      <c r="F456" s="599"/>
      <c r="G456" s="599"/>
      <c r="H456" s="599"/>
      <c r="I456" s="599"/>
      <c r="J456" s="599"/>
      <c r="K456" s="599"/>
      <c r="L456" s="599"/>
      <c r="M456" s="599"/>
      <c r="N456" s="599"/>
      <c r="O456" s="599"/>
      <c r="P456" s="599"/>
      <c r="Q456" s="599"/>
      <c r="R456" s="599"/>
      <c r="S456" s="599"/>
      <c r="T456" s="599"/>
      <c r="U456" s="599"/>
      <c r="V456" s="599"/>
      <c r="W456" s="599"/>
      <c r="X456" s="599"/>
      <c r="Y456" s="599"/>
      <c r="Z456" s="599"/>
    </row>
    <row r="457" spans="1:26" ht="15.75" customHeight="1">
      <c r="A457" s="599"/>
      <c r="B457" s="599"/>
      <c r="C457" s="599"/>
      <c r="D457" s="599"/>
      <c r="E457" s="599"/>
      <c r="F457" s="599"/>
      <c r="G457" s="599"/>
      <c r="H457" s="599"/>
      <c r="I457" s="599"/>
      <c r="J457" s="599"/>
      <c r="K457" s="599"/>
      <c r="L457" s="599"/>
      <c r="M457" s="599"/>
      <c r="N457" s="599"/>
      <c r="O457" s="599"/>
      <c r="P457" s="599"/>
      <c r="Q457" s="599"/>
      <c r="R457" s="599"/>
      <c r="S457" s="599"/>
      <c r="T457" s="599"/>
      <c r="U457" s="599"/>
      <c r="V457" s="599"/>
      <c r="W457" s="599"/>
      <c r="X457" s="599"/>
      <c r="Y457" s="599"/>
      <c r="Z457" s="599"/>
    </row>
    <row r="458" spans="1:26" ht="15.75" customHeight="1">
      <c r="A458" s="599"/>
      <c r="B458" s="599"/>
      <c r="C458" s="599"/>
      <c r="D458" s="599"/>
      <c r="E458" s="599"/>
      <c r="F458" s="599"/>
      <c r="G458" s="599"/>
      <c r="H458" s="599"/>
      <c r="I458" s="599"/>
      <c r="J458" s="599"/>
      <c r="K458" s="599"/>
      <c r="L458" s="599"/>
      <c r="M458" s="599"/>
      <c r="N458" s="599"/>
      <c r="O458" s="599"/>
      <c r="P458" s="599"/>
      <c r="Q458" s="599"/>
      <c r="R458" s="599"/>
      <c r="S458" s="599"/>
      <c r="T458" s="599"/>
      <c r="U458" s="599"/>
      <c r="V458" s="599"/>
      <c r="W458" s="599"/>
      <c r="X458" s="599"/>
      <c r="Y458" s="599"/>
      <c r="Z458" s="599"/>
    </row>
    <row r="459" spans="1:26" ht="15.75" customHeight="1">
      <c r="A459" s="599"/>
      <c r="B459" s="599"/>
      <c r="C459" s="599"/>
      <c r="D459" s="599"/>
      <c r="E459" s="599"/>
      <c r="F459" s="599"/>
      <c r="G459" s="599"/>
      <c r="H459" s="599"/>
      <c r="I459" s="599"/>
      <c r="J459" s="599"/>
      <c r="K459" s="599"/>
      <c r="L459" s="599"/>
      <c r="M459" s="599"/>
      <c r="N459" s="599"/>
      <c r="O459" s="599"/>
      <c r="P459" s="599"/>
      <c r="Q459" s="599"/>
      <c r="R459" s="599"/>
      <c r="S459" s="599"/>
      <c r="T459" s="599"/>
      <c r="U459" s="599"/>
      <c r="V459" s="599"/>
      <c r="W459" s="599"/>
      <c r="X459" s="599"/>
      <c r="Y459" s="599"/>
      <c r="Z459" s="599"/>
    </row>
    <row r="460" spans="1:26" ht="15.75" customHeight="1">
      <c r="A460" s="599"/>
      <c r="B460" s="599"/>
      <c r="C460" s="599"/>
      <c r="D460" s="599"/>
      <c r="E460" s="599"/>
      <c r="F460" s="599"/>
      <c r="G460" s="599"/>
      <c r="H460" s="599"/>
      <c r="I460" s="599"/>
      <c r="J460" s="599"/>
      <c r="K460" s="599"/>
      <c r="L460" s="599"/>
      <c r="M460" s="599"/>
      <c r="N460" s="599"/>
      <c r="O460" s="599"/>
      <c r="P460" s="599"/>
      <c r="Q460" s="599"/>
      <c r="R460" s="599"/>
      <c r="S460" s="599"/>
      <c r="T460" s="599"/>
      <c r="U460" s="599"/>
      <c r="V460" s="599"/>
      <c r="W460" s="599"/>
      <c r="X460" s="599"/>
      <c r="Y460" s="599"/>
      <c r="Z460" s="599"/>
    </row>
    <row r="461" spans="1:26" ht="15.75" customHeight="1">
      <c r="A461" s="599"/>
      <c r="B461" s="599"/>
      <c r="C461" s="599"/>
      <c r="D461" s="599"/>
      <c r="E461" s="599"/>
      <c r="F461" s="599"/>
      <c r="G461" s="599"/>
      <c r="H461" s="599"/>
      <c r="I461" s="599"/>
      <c r="J461" s="599"/>
      <c r="K461" s="599"/>
      <c r="L461" s="599"/>
      <c r="M461" s="599"/>
      <c r="N461" s="599"/>
      <c r="O461" s="599"/>
      <c r="P461" s="599"/>
      <c r="Q461" s="599"/>
      <c r="R461" s="599"/>
      <c r="S461" s="599"/>
      <c r="T461" s="599"/>
      <c r="U461" s="599"/>
      <c r="V461" s="599"/>
      <c r="W461" s="599"/>
      <c r="X461" s="599"/>
      <c r="Y461" s="599"/>
      <c r="Z461" s="599"/>
    </row>
    <row r="462" spans="1:26" ht="15.75" customHeight="1">
      <c r="A462" s="599"/>
      <c r="B462" s="599"/>
      <c r="C462" s="599"/>
      <c r="D462" s="599"/>
      <c r="E462" s="599"/>
      <c r="F462" s="599"/>
      <c r="G462" s="599"/>
      <c r="H462" s="599"/>
      <c r="I462" s="599"/>
      <c r="J462" s="599"/>
      <c r="K462" s="599"/>
      <c r="L462" s="599"/>
      <c r="M462" s="599"/>
      <c r="N462" s="599"/>
      <c r="O462" s="599"/>
      <c r="P462" s="599"/>
      <c r="Q462" s="599"/>
      <c r="R462" s="599"/>
      <c r="S462" s="599"/>
      <c r="T462" s="599"/>
      <c r="U462" s="599"/>
      <c r="V462" s="599"/>
      <c r="W462" s="599"/>
      <c r="X462" s="599"/>
      <c r="Y462" s="599"/>
      <c r="Z462" s="599"/>
    </row>
    <row r="463" spans="1:26" ht="15.75" customHeight="1">
      <c r="A463" s="599"/>
      <c r="B463" s="599"/>
      <c r="C463" s="599"/>
      <c r="D463" s="599"/>
      <c r="E463" s="599"/>
      <c r="F463" s="599"/>
      <c r="G463" s="599"/>
      <c r="H463" s="599"/>
      <c r="I463" s="599"/>
      <c r="J463" s="599"/>
      <c r="K463" s="599"/>
      <c r="L463" s="599"/>
      <c r="M463" s="599"/>
      <c r="N463" s="599"/>
      <c r="O463" s="599"/>
      <c r="P463" s="599"/>
      <c r="Q463" s="599"/>
      <c r="R463" s="599"/>
      <c r="S463" s="599"/>
      <c r="T463" s="599"/>
      <c r="U463" s="599"/>
      <c r="V463" s="599"/>
      <c r="W463" s="599"/>
      <c r="X463" s="599"/>
      <c r="Y463" s="599"/>
      <c r="Z463" s="599"/>
    </row>
    <row r="464" spans="1:26" ht="15.75" customHeight="1">
      <c r="A464" s="599"/>
      <c r="B464" s="599"/>
      <c r="C464" s="599"/>
      <c r="D464" s="599"/>
      <c r="E464" s="599"/>
      <c r="F464" s="599"/>
      <c r="G464" s="599"/>
      <c r="H464" s="599"/>
      <c r="I464" s="599"/>
      <c r="J464" s="599"/>
      <c r="K464" s="599"/>
      <c r="L464" s="599"/>
      <c r="M464" s="599"/>
      <c r="N464" s="599"/>
      <c r="O464" s="599"/>
      <c r="P464" s="599"/>
      <c r="Q464" s="599"/>
      <c r="R464" s="599"/>
      <c r="S464" s="599"/>
      <c r="T464" s="599"/>
      <c r="U464" s="599"/>
      <c r="V464" s="599"/>
      <c r="W464" s="599"/>
      <c r="X464" s="599"/>
      <c r="Y464" s="599"/>
      <c r="Z464" s="599"/>
    </row>
    <row r="465" spans="1:26" ht="15.75" customHeight="1">
      <c r="A465" s="599"/>
      <c r="B465" s="599"/>
      <c r="C465" s="599"/>
      <c r="D465" s="599"/>
      <c r="E465" s="599"/>
      <c r="F465" s="599"/>
      <c r="G465" s="599"/>
      <c r="H465" s="599"/>
      <c r="I465" s="599"/>
      <c r="J465" s="599"/>
      <c r="K465" s="599"/>
      <c r="L465" s="599"/>
      <c r="M465" s="599"/>
      <c r="N465" s="599"/>
      <c r="O465" s="599"/>
      <c r="P465" s="599"/>
      <c r="Q465" s="599"/>
      <c r="R465" s="599"/>
      <c r="S465" s="599"/>
      <c r="T465" s="599"/>
      <c r="U465" s="599"/>
      <c r="V465" s="599"/>
      <c r="W465" s="599"/>
      <c r="X465" s="599"/>
      <c r="Y465" s="599"/>
      <c r="Z465" s="599"/>
    </row>
    <row r="466" spans="1:26" ht="15.75" customHeight="1">
      <c r="A466" s="599"/>
      <c r="B466" s="599"/>
      <c r="C466" s="599"/>
      <c r="D466" s="599"/>
      <c r="E466" s="599"/>
      <c r="F466" s="599"/>
      <c r="G466" s="599"/>
      <c r="H466" s="599"/>
      <c r="I466" s="599"/>
      <c r="J466" s="599"/>
      <c r="K466" s="599"/>
      <c r="L466" s="599"/>
      <c r="M466" s="599"/>
      <c r="N466" s="599"/>
      <c r="O466" s="599"/>
      <c r="P466" s="599"/>
      <c r="Q466" s="599"/>
      <c r="R466" s="599"/>
      <c r="S466" s="599"/>
      <c r="T466" s="599"/>
      <c r="U466" s="599"/>
      <c r="V466" s="599"/>
      <c r="W466" s="599"/>
      <c r="X466" s="599"/>
      <c r="Y466" s="599"/>
      <c r="Z466" s="599"/>
    </row>
    <row r="467" spans="1:26" ht="15.75" customHeight="1">
      <c r="A467" s="599"/>
      <c r="B467" s="599"/>
      <c r="C467" s="599"/>
      <c r="D467" s="599"/>
      <c r="E467" s="599"/>
      <c r="F467" s="599"/>
      <c r="G467" s="599"/>
      <c r="H467" s="599"/>
      <c r="I467" s="599"/>
      <c r="J467" s="599"/>
      <c r="K467" s="599"/>
      <c r="L467" s="599"/>
      <c r="M467" s="599"/>
      <c r="N467" s="599"/>
      <c r="O467" s="599"/>
      <c r="P467" s="599"/>
      <c r="Q467" s="599"/>
      <c r="R467" s="599"/>
      <c r="S467" s="599"/>
      <c r="T467" s="599"/>
      <c r="U467" s="599"/>
      <c r="V467" s="599"/>
      <c r="W467" s="599"/>
      <c r="X467" s="599"/>
      <c r="Y467" s="599"/>
      <c r="Z467" s="599"/>
    </row>
    <row r="468" spans="1:26" ht="15.75" customHeight="1">
      <c r="A468" s="599"/>
      <c r="B468" s="599"/>
      <c r="C468" s="599"/>
      <c r="D468" s="599"/>
      <c r="E468" s="599"/>
      <c r="F468" s="599"/>
      <c r="G468" s="599"/>
      <c r="H468" s="599"/>
      <c r="I468" s="599"/>
      <c r="J468" s="599"/>
      <c r="K468" s="599"/>
      <c r="L468" s="599"/>
      <c r="M468" s="599"/>
      <c r="N468" s="599"/>
      <c r="O468" s="599"/>
      <c r="P468" s="599"/>
      <c r="Q468" s="599"/>
      <c r="R468" s="599"/>
      <c r="S468" s="599"/>
      <c r="T468" s="599"/>
      <c r="U468" s="599"/>
      <c r="V468" s="599"/>
      <c r="W468" s="599"/>
      <c r="X468" s="599"/>
      <c r="Y468" s="599"/>
      <c r="Z468" s="599"/>
    </row>
    <row r="469" spans="1:26" ht="15.75" customHeight="1">
      <c r="A469" s="599"/>
      <c r="B469" s="599"/>
      <c r="C469" s="599"/>
      <c r="D469" s="599"/>
      <c r="E469" s="599"/>
      <c r="F469" s="599"/>
      <c r="G469" s="599"/>
      <c r="H469" s="599"/>
      <c r="I469" s="599"/>
      <c r="J469" s="599"/>
      <c r="K469" s="599"/>
      <c r="L469" s="599"/>
      <c r="M469" s="599"/>
      <c r="N469" s="599"/>
      <c r="O469" s="599"/>
      <c r="P469" s="599"/>
      <c r="Q469" s="599"/>
      <c r="R469" s="599"/>
      <c r="S469" s="599"/>
      <c r="T469" s="599"/>
      <c r="U469" s="599"/>
      <c r="V469" s="599"/>
      <c r="W469" s="599"/>
      <c r="X469" s="599"/>
      <c r="Y469" s="599"/>
      <c r="Z469" s="599"/>
    </row>
    <row r="470" spans="1:26" ht="15.75" customHeight="1">
      <c r="A470" s="599"/>
      <c r="B470" s="599"/>
      <c r="C470" s="599"/>
      <c r="D470" s="599"/>
      <c r="E470" s="599"/>
      <c r="F470" s="599"/>
      <c r="G470" s="599"/>
      <c r="H470" s="599"/>
      <c r="I470" s="599"/>
      <c r="J470" s="599"/>
      <c r="K470" s="599"/>
      <c r="L470" s="599"/>
      <c r="M470" s="599"/>
      <c r="N470" s="599"/>
      <c r="O470" s="599"/>
      <c r="P470" s="599"/>
      <c r="Q470" s="599"/>
      <c r="R470" s="599"/>
      <c r="S470" s="599"/>
      <c r="T470" s="599"/>
      <c r="U470" s="599"/>
      <c r="V470" s="599"/>
      <c r="W470" s="599"/>
      <c r="X470" s="599"/>
      <c r="Y470" s="599"/>
      <c r="Z470" s="599"/>
    </row>
    <row r="471" spans="1:26" ht="15.75" customHeight="1">
      <c r="A471" s="599"/>
      <c r="B471" s="599"/>
      <c r="C471" s="599"/>
      <c r="D471" s="599"/>
      <c r="E471" s="599"/>
      <c r="F471" s="599"/>
      <c r="G471" s="599"/>
      <c r="H471" s="599"/>
      <c r="I471" s="599"/>
      <c r="J471" s="599"/>
      <c r="K471" s="599"/>
      <c r="L471" s="599"/>
      <c r="M471" s="599"/>
      <c r="N471" s="599"/>
      <c r="O471" s="599"/>
      <c r="P471" s="599"/>
      <c r="Q471" s="599"/>
      <c r="R471" s="599"/>
      <c r="S471" s="599"/>
      <c r="T471" s="599"/>
      <c r="U471" s="599"/>
      <c r="V471" s="599"/>
      <c r="W471" s="599"/>
      <c r="X471" s="599"/>
      <c r="Y471" s="599"/>
      <c r="Z471" s="599"/>
    </row>
    <row r="472" spans="1:26" ht="15.75" customHeight="1">
      <c r="A472" s="599"/>
      <c r="B472" s="599"/>
      <c r="C472" s="599"/>
      <c r="D472" s="599"/>
      <c r="E472" s="599"/>
      <c r="F472" s="599"/>
      <c r="G472" s="599"/>
      <c r="H472" s="599"/>
      <c r="I472" s="599"/>
      <c r="J472" s="599"/>
      <c r="K472" s="599"/>
      <c r="L472" s="599"/>
      <c r="M472" s="599"/>
      <c r="N472" s="599"/>
      <c r="O472" s="599"/>
      <c r="P472" s="599"/>
      <c r="Q472" s="599"/>
      <c r="R472" s="599"/>
      <c r="S472" s="599"/>
      <c r="T472" s="599"/>
      <c r="U472" s="599"/>
      <c r="V472" s="599"/>
      <c r="W472" s="599"/>
      <c r="X472" s="599"/>
      <c r="Y472" s="599"/>
      <c r="Z472" s="599"/>
    </row>
    <row r="473" spans="1:26" ht="15.75" customHeight="1">
      <c r="A473" s="599"/>
      <c r="B473" s="599"/>
      <c r="C473" s="599"/>
      <c r="D473" s="599"/>
      <c r="E473" s="599"/>
      <c r="F473" s="599"/>
      <c r="G473" s="599"/>
      <c r="H473" s="599"/>
      <c r="I473" s="599"/>
      <c r="J473" s="599"/>
      <c r="K473" s="599"/>
      <c r="L473" s="599"/>
      <c r="M473" s="599"/>
      <c r="N473" s="599"/>
      <c r="O473" s="599"/>
      <c r="P473" s="599"/>
      <c r="Q473" s="599"/>
      <c r="R473" s="599"/>
      <c r="S473" s="599"/>
      <c r="T473" s="599"/>
      <c r="U473" s="599"/>
      <c r="V473" s="599"/>
      <c r="W473" s="599"/>
      <c r="X473" s="599"/>
      <c r="Y473" s="599"/>
      <c r="Z473" s="599"/>
    </row>
    <row r="474" spans="1:26" ht="15.75" customHeight="1">
      <c r="A474" s="599"/>
      <c r="B474" s="599"/>
      <c r="C474" s="599"/>
      <c r="D474" s="599"/>
      <c r="E474" s="599"/>
      <c r="F474" s="599"/>
      <c r="G474" s="599"/>
      <c r="H474" s="599"/>
      <c r="I474" s="599"/>
      <c r="J474" s="599"/>
      <c r="K474" s="599"/>
      <c r="L474" s="599"/>
      <c r="M474" s="599"/>
      <c r="N474" s="599"/>
      <c r="O474" s="599"/>
      <c r="P474" s="599"/>
      <c r="Q474" s="599"/>
      <c r="R474" s="599"/>
      <c r="S474" s="599"/>
      <c r="T474" s="599"/>
      <c r="U474" s="599"/>
      <c r="V474" s="599"/>
      <c r="W474" s="599"/>
      <c r="X474" s="599"/>
      <c r="Y474" s="599"/>
      <c r="Z474" s="599"/>
    </row>
    <row r="475" spans="1:26" ht="15.75" customHeight="1">
      <c r="A475" s="599"/>
      <c r="B475" s="599"/>
      <c r="C475" s="599"/>
      <c r="D475" s="599"/>
      <c r="E475" s="599"/>
      <c r="F475" s="599"/>
      <c r="G475" s="599"/>
      <c r="H475" s="599"/>
      <c r="I475" s="599"/>
      <c r="J475" s="599"/>
      <c r="K475" s="599"/>
      <c r="L475" s="599"/>
      <c r="M475" s="599"/>
      <c r="N475" s="599"/>
      <c r="O475" s="599"/>
      <c r="P475" s="599"/>
      <c r="Q475" s="599"/>
      <c r="R475" s="599"/>
      <c r="S475" s="599"/>
      <c r="T475" s="599"/>
      <c r="U475" s="599"/>
      <c r="V475" s="599"/>
      <c r="W475" s="599"/>
      <c r="X475" s="599"/>
      <c r="Y475" s="599"/>
      <c r="Z475" s="599"/>
    </row>
    <row r="476" spans="1:26" ht="15.75" customHeight="1">
      <c r="A476" s="599"/>
      <c r="B476" s="599"/>
      <c r="C476" s="599"/>
      <c r="D476" s="599"/>
      <c r="E476" s="599"/>
      <c r="F476" s="599"/>
      <c r="G476" s="599"/>
      <c r="H476" s="599"/>
      <c r="I476" s="599"/>
      <c r="J476" s="599"/>
      <c r="K476" s="599"/>
      <c r="L476" s="599"/>
      <c r="M476" s="599"/>
      <c r="N476" s="599"/>
      <c r="O476" s="599"/>
      <c r="P476" s="599"/>
      <c r="Q476" s="599"/>
      <c r="R476" s="599"/>
      <c r="S476" s="599"/>
      <c r="T476" s="599"/>
      <c r="U476" s="599"/>
      <c r="V476" s="599"/>
      <c r="W476" s="599"/>
      <c r="X476" s="599"/>
      <c r="Y476" s="599"/>
      <c r="Z476" s="599"/>
    </row>
    <row r="477" spans="1:26" ht="15.75" customHeight="1">
      <c r="A477" s="599"/>
      <c r="B477" s="599"/>
      <c r="C477" s="599"/>
      <c r="D477" s="599"/>
      <c r="E477" s="599"/>
      <c r="F477" s="599"/>
      <c r="G477" s="599"/>
      <c r="H477" s="599"/>
      <c r="I477" s="599"/>
      <c r="J477" s="599"/>
      <c r="K477" s="599"/>
      <c r="L477" s="599"/>
      <c r="M477" s="599"/>
      <c r="N477" s="599"/>
      <c r="O477" s="599"/>
      <c r="P477" s="599"/>
      <c r="Q477" s="599"/>
      <c r="R477" s="599"/>
      <c r="S477" s="599"/>
      <c r="T477" s="599"/>
      <c r="U477" s="599"/>
      <c r="V477" s="599"/>
      <c r="W477" s="599"/>
      <c r="X477" s="599"/>
      <c r="Y477" s="599"/>
      <c r="Z477" s="599"/>
    </row>
    <row r="478" spans="1:26" ht="15.75" customHeight="1">
      <c r="A478" s="599"/>
      <c r="B478" s="599"/>
      <c r="C478" s="599"/>
      <c r="D478" s="599"/>
      <c r="E478" s="599"/>
      <c r="F478" s="599"/>
      <c r="G478" s="599"/>
      <c r="H478" s="599"/>
      <c r="I478" s="599"/>
      <c r="J478" s="599"/>
      <c r="K478" s="599"/>
      <c r="L478" s="599"/>
      <c r="M478" s="599"/>
      <c r="N478" s="599"/>
      <c r="O478" s="599"/>
      <c r="P478" s="599"/>
      <c r="Q478" s="599"/>
      <c r="R478" s="599"/>
      <c r="S478" s="599"/>
      <c r="T478" s="599"/>
      <c r="U478" s="599"/>
      <c r="V478" s="599"/>
      <c r="W478" s="599"/>
      <c r="X478" s="599"/>
      <c r="Y478" s="599"/>
      <c r="Z478" s="599"/>
    </row>
    <row r="479" spans="1:26" ht="15.75" customHeight="1">
      <c r="A479" s="599"/>
      <c r="B479" s="599"/>
      <c r="C479" s="599"/>
      <c r="D479" s="599"/>
      <c r="E479" s="599"/>
      <c r="F479" s="599"/>
      <c r="G479" s="599"/>
      <c r="H479" s="599"/>
      <c r="I479" s="599"/>
      <c r="J479" s="599"/>
      <c r="K479" s="599"/>
      <c r="L479" s="599"/>
      <c r="M479" s="599"/>
      <c r="N479" s="599"/>
      <c r="O479" s="599"/>
      <c r="P479" s="599"/>
      <c r="Q479" s="599"/>
      <c r="R479" s="599"/>
      <c r="S479" s="599"/>
      <c r="T479" s="599"/>
      <c r="U479" s="599"/>
      <c r="V479" s="599"/>
      <c r="W479" s="599"/>
      <c r="X479" s="599"/>
      <c r="Y479" s="599"/>
      <c r="Z479" s="599"/>
    </row>
    <row r="480" spans="1:26" ht="15.75" customHeight="1">
      <c r="A480" s="599"/>
      <c r="B480" s="599"/>
      <c r="C480" s="599"/>
      <c r="D480" s="599"/>
      <c r="E480" s="599"/>
      <c r="F480" s="599"/>
      <c r="G480" s="599"/>
      <c r="H480" s="599"/>
      <c r="I480" s="599"/>
      <c r="J480" s="599"/>
      <c r="K480" s="599"/>
      <c r="L480" s="599"/>
      <c r="M480" s="599"/>
      <c r="N480" s="599"/>
      <c r="O480" s="599"/>
      <c r="P480" s="599"/>
      <c r="Q480" s="599"/>
      <c r="R480" s="599"/>
      <c r="S480" s="599"/>
      <c r="T480" s="599"/>
      <c r="U480" s="599"/>
      <c r="V480" s="599"/>
      <c r="W480" s="599"/>
      <c r="X480" s="599"/>
      <c r="Y480" s="599"/>
      <c r="Z480" s="599"/>
    </row>
    <row r="481" spans="1:26" ht="15.75" customHeight="1">
      <c r="A481" s="599"/>
      <c r="B481" s="599"/>
      <c r="C481" s="599"/>
      <c r="D481" s="599"/>
      <c r="E481" s="599"/>
      <c r="F481" s="599"/>
      <c r="G481" s="599"/>
      <c r="H481" s="599"/>
      <c r="I481" s="599"/>
      <c r="J481" s="599"/>
      <c r="K481" s="599"/>
      <c r="L481" s="599"/>
      <c r="M481" s="599"/>
      <c r="N481" s="599"/>
      <c r="O481" s="599"/>
      <c r="P481" s="599"/>
      <c r="Q481" s="599"/>
      <c r="R481" s="599"/>
      <c r="S481" s="599"/>
      <c r="T481" s="599"/>
      <c r="U481" s="599"/>
      <c r="V481" s="599"/>
      <c r="W481" s="599"/>
      <c r="X481" s="599"/>
      <c r="Y481" s="599"/>
      <c r="Z481" s="599"/>
    </row>
    <row r="482" spans="1:26" ht="15.75" customHeight="1">
      <c r="A482" s="599"/>
      <c r="B482" s="599"/>
      <c r="C482" s="599"/>
      <c r="D482" s="599"/>
      <c r="E482" s="599"/>
      <c r="F482" s="599"/>
      <c r="G482" s="599"/>
      <c r="H482" s="599"/>
      <c r="I482" s="599"/>
      <c r="J482" s="599"/>
      <c r="K482" s="599"/>
      <c r="L482" s="599"/>
      <c r="M482" s="599"/>
      <c r="N482" s="599"/>
      <c r="O482" s="599"/>
      <c r="P482" s="599"/>
      <c r="Q482" s="599"/>
      <c r="R482" s="599"/>
      <c r="S482" s="599"/>
      <c r="T482" s="599"/>
      <c r="U482" s="599"/>
      <c r="V482" s="599"/>
      <c r="W482" s="599"/>
      <c r="X482" s="599"/>
      <c r="Y482" s="599"/>
      <c r="Z482" s="599"/>
    </row>
    <row r="483" spans="1:26" ht="15.75" customHeight="1">
      <c r="A483" s="599"/>
      <c r="B483" s="599"/>
      <c r="C483" s="599"/>
      <c r="D483" s="599"/>
      <c r="E483" s="599"/>
      <c r="F483" s="599"/>
      <c r="G483" s="599"/>
      <c r="H483" s="599"/>
      <c r="I483" s="599"/>
      <c r="J483" s="599"/>
      <c r="K483" s="599"/>
      <c r="L483" s="599"/>
      <c r="M483" s="599"/>
      <c r="N483" s="599"/>
      <c r="O483" s="599"/>
      <c r="P483" s="599"/>
      <c r="Q483" s="599"/>
      <c r="R483" s="599"/>
      <c r="S483" s="599"/>
      <c r="T483" s="599"/>
      <c r="U483" s="599"/>
      <c r="V483" s="599"/>
      <c r="W483" s="599"/>
      <c r="X483" s="599"/>
      <c r="Y483" s="599"/>
      <c r="Z483" s="599"/>
    </row>
    <row r="484" spans="1:26" ht="15.75" customHeight="1">
      <c r="A484" s="599"/>
      <c r="B484" s="599"/>
      <c r="C484" s="599"/>
      <c r="D484" s="599"/>
      <c r="E484" s="599"/>
      <c r="F484" s="599"/>
      <c r="G484" s="599"/>
      <c r="H484" s="599"/>
      <c r="I484" s="599"/>
      <c r="J484" s="599"/>
      <c r="K484" s="599"/>
      <c r="L484" s="599"/>
      <c r="M484" s="599"/>
      <c r="N484" s="599"/>
      <c r="O484" s="599"/>
      <c r="P484" s="599"/>
      <c r="Q484" s="599"/>
      <c r="R484" s="599"/>
      <c r="S484" s="599"/>
      <c r="T484" s="599"/>
      <c r="U484" s="599"/>
      <c r="V484" s="599"/>
      <c r="W484" s="599"/>
      <c r="X484" s="599"/>
      <c r="Y484" s="599"/>
      <c r="Z484" s="599"/>
    </row>
    <row r="485" spans="1:26" ht="15.75" customHeight="1">
      <c r="A485" s="599"/>
      <c r="B485" s="599"/>
      <c r="C485" s="599"/>
      <c r="D485" s="599"/>
      <c r="E485" s="599"/>
      <c r="F485" s="599"/>
      <c r="G485" s="599"/>
      <c r="H485" s="599"/>
      <c r="I485" s="599"/>
      <c r="J485" s="599"/>
      <c r="K485" s="599"/>
      <c r="L485" s="599"/>
      <c r="M485" s="599"/>
      <c r="N485" s="599"/>
      <c r="O485" s="599"/>
      <c r="P485" s="599"/>
      <c r="Q485" s="599"/>
      <c r="R485" s="599"/>
      <c r="S485" s="599"/>
      <c r="T485" s="599"/>
      <c r="U485" s="599"/>
      <c r="V485" s="599"/>
      <c r="W485" s="599"/>
      <c r="X485" s="599"/>
      <c r="Y485" s="599"/>
      <c r="Z485" s="599"/>
    </row>
    <row r="486" spans="1:26" ht="15.75" customHeight="1">
      <c r="A486" s="599"/>
      <c r="B486" s="599"/>
      <c r="C486" s="599"/>
      <c r="D486" s="599"/>
      <c r="E486" s="599"/>
      <c r="F486" s="599"/>
      <c r="G486" s="599"/>
      <c r="H486" s="599"/>
      <c r="I486" s="599"/>
      <c r="J486" s="599"/>
      <c r="K486" s="599"/>
      <c r="L486" s="599"/>
      <c r="M486" s="599"/>
      <c r="N486" s="599"/>
      <c r="O486" s="599"/>
      <c r="P486" s="599"/>
      <c r="Q486" s="599"/>
      <c r="R486" s="599"/>
      <c r="S486" s="599"/>
      <c r="T486" s="599"/>
      <c r="U486" s="599"/>
      <c r="V486" s="599"/>
      <c r="W486" s="599"/>
      <c r="X486" s="599"/>
      <c r="Y486" s="599"/>
      <c r="Z486" s="599"/>
    </row>
    <row r="487" spans="1:26" ht="15.75" customHeight="1">
      <c r="A487" s="599"/>
      <c r="B487" s="599"/>
      <c r="C487" s="599"/>
      <c r="D487" s="599"/>
      <c r="E487" s="599"/>
      <c r="F487" s="599"/>
      <c r="G487" s="599"/>
      <c r="H487" s="599"/>
      <c r="I487" s="599"/>
      <c r="J487" s="599"/>
      <c r="K487" s="599"/>
      <c r="L487" s="599"/>
      <c r="M487" s="599"/>
      <c r="N487" s="599"/>
      <c r="O487" s="599"/>
      <c r="P487" s="599"/>
      <c r="Q487" s="599"/>
      <c r="R487" s="599"/>
      <c r="S487" s="599"/>
      <c r="T487" s="599"/>
      <c r="U487" s="599"/>
      <c r="V487" s="599"/>
      <c r="W487" s="599"/>
      <c r="X487" s="599"/>
      <c r="Y487" s="599"/>
      <c r="Z487" s="599"/>
    </row>
    <row r="488" spans="1:26" ht="15.75" customHeight="1">
      <c r="A488" s="599"/>
      <c r="B488" s="599"/>
      <c r="C488" s="599"/>
      <c r="D488" s="599"/>
      <c r="E488" s="599"/>
      <c r="F488" s="599"/>
      <c r="G488" s="599"/>
      <c r="H488" s="599"/>
      <c r="I488" s="599"/>
      <c r="J488" s="599"/>
      <c r="K488" s="599"/>
      <c r="L488" s="599"/>
      <c r="M488" s="599"/>
      <c r="N488" s="599"/>
      <c r="O488" s="599"/>
      <c r="P488" s="599"/>
      <c r="Q488" s="599"/>
      <c r="R488" s="599"/>
      <c r="S488" s="599"/>
      <c r="T488" s="599"/>
      <c r="U488" s="599"/>
      <c r="V488" s="599"/>
      <c r="W488" s="599"/>
      <c r="X488" s="599"/>
      <c r="Y488" s="599"/>
      <c r="Z488" s="599"/>
    </row>
    <row r="489" spans="1:26" ht="15.75" customHeight="1">
      <c r="A489" s="599"/>
      <c r="B489" s="599"/>
      <c r="C489" s="599"/>
      <c r="D489" s="599"/>
      <c r="E489" s="599"/>
      <c r="F489" s="599"/>
      <c r="G489" s="599"/>
      <c r="H489" s="599"/>
      <c r="I489" s="599"/>
      <c r="J489" s="599"/>
      <c r="K489" s="599"/>
      <c r="L489" s="599"/>
      <c r="M489" s="599"/>
      <c r="N489" s="599"/>
      <c r="O489" s="599"/>
      <c r="P489" s="599"/>
      <c r="Q489" s="599"/>
      <c r="R489" s="599"/>
      <c r="S489" s="599"/>
      <c r="T489" s="599"/>
      <c r="U489" s="599"/>
      <c r="V489" s="599"/>
      <c r="W489" s="599"/>
      <c r="X489" s="599"/>
      <c r="Y489" s="599"/>
      <c r="Z489" s="599"/>
    </row>
    <row r="490" spans="1:26" ht="15.75" customHeight="1">
      <c r="A490" s="599"/>
      <c r="B490" s="599"/>
      <c r="C490" s="599"/>
      <c r="D490" s="599"/>
      <c r="E490" s="599"/>
      <c r="F490" s="599"/>
      <c r="G490" s="599"/>
      <c r="H490" s="599"/>
      <c r="I490" s="599"/>
      <c r="J490" s="599"/>
      <c r="K490" s="599"/>
      <c r="L490" s="599"/>
      <c r="M490" s="599"/>
      <c r="N490" s="599"/>
      <c r="O490" s="599"/>
      <c r="P490" s="599"/>
      <c r="Q490" s="599"/>
      <c r="R490" s="599"/>
      <c r="S490" s="599"/>
      <c r="T490" s="599"/>
      <c r="U490" s="599"/>
      <c r="V490" s="599"/>
      <c r="W490" s="599"/>
      <c r="X490" s="599"/>
      <c r="Y490" s="599"/>
      <c r="Z490" s="599"/>
    </row>
    <row r="491" spans="1:26" ht="15.75" customHeight="1">
      <c r="A491" s="599"/>
      <c r="B491" s="599"/>
      <c r="C491" s="599"/>
      <c r="D491" s="599"/>
      <c r="E491" s="599"/>
      <c r="F491" s="599"/>
      <c r="G491" s="599"/>
      <c r="H491" s="599"/>
      <c r="I491" s="599"/>
      <c r="J491" s="599"/>
      <c r="K491" s="599"/>
      <c r="L491" s="599"/>
      <c r="M491" s="599"/>
      <c r="N491" s="599"/>
      <c r="O491" s="599"/>
      <c r="P491" s="599"/>
      <c r="Q491" s="599"/>
      <c r="R491" s="599"/>
      <c r="S491" s="599"/>
      <c r="T491" s="599"/>
      <c r="U491" s="599"/>
      <c r="V491" s="599"/>
      <c r="W491" s="599"/>
      <c r="X491" s="599"/>
      <c r="Y491" s="599"/>
      <c r="Z491" s="599"/>
    </row>
    <row r="492" spans="1:26" ht="15.75" customHeight="1">
      <c r="A492" s="599"/>
      <c r="B492" s="599"/>
      <c r="C492" s="599"/>
      <c r="D492" s="599"/>
      <c r="E492" s="599"/>
      <c r="F492" s="599"/>
      <c r="G492" s="599"/>
      <c r="H492" s="599"/>
      <c r="I492" s="599"/>
      <c r="J492" s="599"/>
      <c r="K492" s="599"/>
      <c r="L492" s="599"/>
      <c r="M492" s="599"/>
      <c r="N492" s="599"/>
      <c r="O492" s="599"/>
      <c r="P492" s="599"/>
      <c r="Q492" s="599"/>
      <c r="R492" s="599"/>
      <c r="S492" s="599"/>
      <c r="T492" s="599"/>
      <c r="U492" s="599"/>
      <c r="V492" s="599"/>
      <c r="W492" s="599"/>
      <c r="X492" s="599"/>
      <c r="Y492" s="599"/>
      <c r="Z492" s="599"/>
    </row>
    <row r="493" spans="1:26" ht="15.75" customHeight="1">
      <c r="A493" s="599"/>
      <c r="B493" s="599"/>
      <c r="C493" s="599"/>
      <c r="D493" s="599"/>
      <c r="E493" s="599"/>
      <c r="F493" s="599"/>
      <c r="G493" s="599"/>
      <c r="H493" s="599"/>
      <c r="I493" s="599"/>
      <c r="J493" s="599"/>
      <c r="K493" s="599"/>
      <c r="L493" s="599"/>
      <c r="M493" s="599"/>
      <c r="N493" s="599"/>
      <c r="O493" s="599"/>
      <c r="P493" s="599"/>
      <c r="Q493" s="599"/>
      <c r="R493" s="599"/>
      <c r="S493" s="599"/>
      <c r="T493" s="599"/>
      <c r="U493" s="599"/>
      <c r="V493" s="599"/>
      <c r="W493" s="599"/>
      <c r="X493" s="599"/>
      <c r="Y493" s="599"/>
      <c r="Z493" s="599"/>
    </row>
    <row r="494" spans="1:26" ht="15.75" customHeight="1">
      <c r="A494" s="599"/>
      <c r="B494" s="599"/>
      <c r="C494" s="599"/>
      <c r="D494" s="599"/>
      <c r="E494" s="599"/>
      <c r="F494" s="599"/>
      <c r="G494" s="599"/>
      <c r="H494" s="599"/>
      <c r="I494" s="599"/>
      <c r="J494" s="599"/>
      <c r="K494" s="599"/>
      <c r="L494" s="599"/>
      <c r="M494" s="599"/>
      <c r="N494" s="599"/>
      <c r="O494" s="599"/>
      <c r="P494" s="599"/>
      <c r="Q494" s="599"/>
      <c r="R494" s="599"/>
      <c r="S494" s="599"/>
      <c r="T494" s="599"/>
      <c r="U494" s="599"/>
      <c r="V494" s="599"/>
      <c r="W494" s="599"/>
      <c r="X494" s="599"/>
      <c r="Y494" s="599"/>
      <c r="Z494" s="599"/>
    </row>
    <row r="495" spans="1:26" ht="15.75" customHeight="1">
      <c r="A495" s="599"/>
      <c r="B495" s="599"/>
      <c r="C495" s="599"/>
      <c r="D495" s="599"/>
      <c r="E495" s="599"/>
      <c r="F495" s="599"/>
      <c r="G495" s="599"/>
      <c r="H495" s="599"/>
      <c r="I495" s="599"/>
      <c r="J495" s="599"/>
      <c r="K495" s="599"/>
      <c r="L495" s="599"/>
      <c r="M495" s="599"/>
      <c r="N495" s="599"/>
      <c r="O495" s="599"/>
      <c r="P495" s="599"/>
      <c r="Q495" s="599"/>
      <c r="R495" s="599"/>
      <c r="S495" s="599"/>
      <c r="T495" s="599"/>
      <c r="U495" s="599"/>
      <c r="V495" s="599"/>
      <c r="W495" s="599"/>
      <c r="X495" s="599"/>
      <c r="Y495" s="599"/>
      <c r="Z495" s="599"/>
    </row>
    <row r="496" spans="1:26" ht="15.75" customHeight="1">
      <c r="A496" s="599"/>
      <c r="B496" s="599"/>
      <c r="C496" s="599"/>
      <c r="D496" s="599"/>
      <c r="E496" s="599"/>
      <c r="F496" s="599"/>
      <c r="G496" s="599"/>
      <c r="H496" s="599"/>
      <c r="I496" s="599"/>
      <c r="J496" s="599"/>
      <c r="K496" s="599"/>
      <c r="L496" s="599"/>
      <c r="M496" s="599"/>
      <c r="N496" s="599"/>
      <c r="O496" s="599"/>
      <c r="P496" s="599"/>
      <c r="Q496" s="599"/>
      <c r="R496" s="599"/>
      <c r="S496" s="599"/>
      <c r="T496" s="599"/>
      <c r="U496" s="599"/>
      <c r="V496" s="599"/>
      <c r="W496" s="599"/>
      <c r="X496" s="599"/>
      <c r="Y496" s="599"/>
      <c r="Z496" s="599"/>
    </row>
    <row r="497" spans="1:26" ht="15.75" customHeight="1">
      <c r="A497" s="599"/>
      <c r="B497" s="599"/>
      <c r="C497" s="599"/>
      <c r="D497" s="599"/>
      <c r="E497" s="599"/>
      <c r="F497" s="599"/>
      <c r="G497" s="599"/>
      <c r="H497" s="599"/>
      <c r="I497" s="599"/>
      <c r="J497" s="599"/>
      <c r="K497" s="599"/>
      <c r="L497" s="599"/>
      <c r="M497" s="599"/>
      <c r="N497" s="599"/>
      <c r="O497" s="599"/>
      <c r="P497" s="599"/>
      <c r="Q497" s="599"/>
      <c r="R497" s="599"/>
      <c r="S497" s="599"/>
      <c r="T497" s="599"/>
      <c r="U497" s="599"/>
      <c r="V497" s="599"/>
      <c r="W497" s="599"/>
      <c r="X497" s="599"/>
      <c r="Y497" s="599"/>
      <c r="Z497" s="599"/>
    </row>
    <row r="498" spans="1:26" ht="15.75" customHeight="1">
      <c r="A498" s="599"/>
      <c r="B498" s="599"/>
      <c r="C498" s="599"/>
      <c r="D498" s="599"/>
      <c r="E498" s="599"/>
      <c r="F498" s="599"/>
      <c r="G498" s="599"/>
      <c r="H498" s="599"/>
      <c r="I498" s="599"/>
      <c r="J498" s="599"/>
      <c r="K498" s="599"/>
      <c r="L498" s="599"/>
      <c r="M498" s="599"/>
      <c r="N498" s="599"/>
      <c r="O498" s="599"/>
      <c r="P498" s="599"/>
      <c r="Q498" s="599"/>
      <c r="R498" s="599"/>
      <c r="S498" s="599"/>
      <c r="T498" s="599"/>
      <c r="U498" s="599"/>
      <c r="V498" s="599"/>
      <c r="W498" s="599"/>
      <c r="X498" s="599"/>
      <c r="Y498" s="599"/>
      <c r="Z498" s="599"/>
    </row>
    <row r="499" spans="1:26" ht="15.75" customHeight="1">
      <c r="A499" s="599"/>
      <c r="B499" s="599"/>
      <c r="C499" s="599"/>
      <c r="D499" s="599"/>
      <c r="E499" s="599"/>
      <c r="F499" s="599"/>
      <c r="G499" s="599"/>
      <c r="H499" s="599"/>
      <c r="I499" s="599"/>
      <c r="J499" s="599"/>
      <c r="K499" s="599"/>
      <c r="L499" s="599"/>
      <c r="M499" s="599"/>
      <c r="N499" s="599"/>
      <c r="O499" s="599"/>
      <c r="P499" s="599"/>
      <c r="Q499" s="599"/>
      <c r="R499" s="599"/>
      <c r="S499" s="599"/>
      <c r="T499" s="599"/>
      <c r="U499" s="599"/>
      <c r="V499" s="599"/>
      <c r="W499" s="599"/>
      <c r="X499" s="599"/>
      <c r="Y499" s="599"/>
      <c r="Z499" s="599"/>
    </row>
    <row r="500" spans="1:26" ht="15.75" customHeight="1">
      <c r="A500" s="599"/>
      <c r="B500" s="599"/>
      <c r="C500" s="599"/>
      <c r="D500" s="599"/>
      <c r="E500" s="599"/>
      <c r="F500" s="599"/>
      <c r="G500" s="599"/>
      <c r="H500" s="599"/>
      <c r="I500" s="599"/>
      <c r="J500" s="599"/>
      <c r="K500" s="599"/>
      <c r="L500" s="599"/>
      <c r="M500" s="599"/>
      <c r="N500" s="599"/>
      <c r="O500" s="599"/>
      <c r="P500" s="599"/>
      <c r="Q500" s="599"/>
      <c r="R500" s="599"/>
      <c r="S500" s="599"/>
      <c r="T500" s="599"/>
      <c r="U500" s="599"/>
      <c r="V500" s="599"/>
      <c r="W500" s="599"/>
      <c r="X500" s="599"/>
      <c r="Y500" s="599"/>
      <c r="Z500" s="599"/>
    </row>
    <row r="501" spans="1:26" ht="15.75" customHeight="1">
      <c r="A501" s="599"/>
      <c r="B501" s="599"/>
      <c r="C501" s="599"/>
      <c r="D501" s="599"/>
      <c r="E501" s="599"/>
      <c r="F501" s="599"/>
      <c r="G501" s="599"/>
      <c r="H501" s="599"/>
      <c r="I501" s="599"/>
      <c r="J501" s="599"/>
      <c r="K501" s="599"/>
      <c r="L501" s="599"/>
      <c r="M501" s="599"/>
      <c r="N501" s="599"/>
      <c r="O501" s="599"/>
      <c r="P501" s="599"/>
      <c r="Q501" s="599"/>
      <c r="R501" s="599"/>
      <c r="S501" s="599"/>
      <c r="T501" s="599"/>
      <c r="U501" s="599"/>
      <c r="V501" s="599"/>
      <c r="W501" s="599"/>
      <c r="X501" s="599"/>
      <c r="Y501" s="599"/>
      <c r="Z501" s="599"/>
    </row>
    <row r="502" spans="1:26" ht="15.75" customHeight="1">
      <c r="A502" s="599"/>
      <c r="B502" s="599"/>
      <c r="C502" s="599"/>
      <c r="D502" s="599"/>
      <c r="E502" s="599"/>
      <c r="F502" s="599"/>
      <c r="G502" s="599"/>
      <c r="H502" s="599"/>
      <c r="I502" s="599"/>
      <c r="J502" s="599"/>
      <c r="K502" s="599"/>
      <c r="L502" s="599"/>
      <c r="M502" s="599"/>
      <c r="N502" s="599"/>
      <c r="O502" s="599"/>
      <c r="P502" s="599"/>
      <c r="Q502" s="599"/>
      <c r="R502" s="599"/>
      <c r="S502" s="599"/>
      <c r="T502" s="599"/>
      <c r="U502" s="599"/>
      <c r="V502" s="599"/>
      <c r="W502" s="599"/>
      <c r="X502" s="599"/>
      <c r="Y502" s="599"/>
      <c r="Z502" s="599"/>
    </row>
    <row r="503" spans="1:26" ht="15.75" customHeight="1">
      <c r="A503" s="599"/>
      <c r="B503" s="599"/>
      <c r="C503" s="599"/>
      <c r="D503" s="599"/>
      <c r="E503" s="599"/>
      <c r="F503" s="599"/>
      <c r="G503" s="599"/>
      <c r="H503" s="599"/>
      <c r="I503" s="599"/>
      <c r="J503" s="599"/>
      <c r="K503" s="599"/>
      <c r="L503" s="599"/>
      <c r="M503" s="599"/>
      <c r="N503" s="599"/>
      <c r="O503" s="599"/>
      <c r="P503" s="599"/>
      <c r="Q503" s="599"/>
      <c r="R503" s="599"/>
      <c r="S503" s="599"/>
      <c r="T503" s="599"/>
      <c r="U503" s="599"/>
      <c r="V503" s="599"/>
      <c r="W503" s="599"/>
      <c r="X503" s="599"/>
      <c r="Y503" s="599"/>
      <c r="Z503" s="599"/>
    </row>
    <row r="504" spans="1:26" ht="15.75" customHeight="1">
      <c r="A504" s="599"/>
      <c r="B504" s="599"/>
      <c r="C504" s="599"/>
      <c r="D504" s="599"/>
      <c r="E504" s="599"/>
      <c r="F504" s="599"/>
      <c r="G504" s="599"/>
      <c r="H504" s="599"/>
      <c r="I504" s="599"/>
      <c r="J504" s="599"/>
      <c r="K504" s="599"/>
      <c r="L504" s="599"/>
      <c r="M504" s="599"/>
      <c r="N504" s="599"/>
      <c r="O504" s="599"/>
      <c r="P504" s="599"/>
      <c r="Q504" s="599"/>
      <c r="R504" s="599"/>
      <c r="S504" s="599"/>
      <c r="T504" s="599"/>
      <c r="U504" s="599"/>
      <c r="V504" s="599"/>
      <c r="W504" s="599"/>
      <c r="X504" s="599"/>
      <c r="Y504" s="599"/>
      <c r="Z504" s="599"/>
    </row>
    <row r="505" spans="1:26" ht="15.75" customHeight="1">
      <c r="A505" s="599"/>
      <c r="B505" s="599"/>
      <c r="C505" s="599"/>
      <c r="D505" s="599"/>
      <c r="E505" s="599"/>
      <c r="F505" s="599"/>
      <c r="G505" s="599"/>
      <c r="H505" s="599"/>
      <c r="I505" s="599"/>
      <c r="J505" s="599"/>
      <c r="K505" s="599"/>
      <c r="L505" s="599"/>
      <c r="M505" s="599"/>
      <c r="N505" s="599"/>
      <c r="O505" s="599"/>
      <c r="P505" s="599"/>
      <c r="Q505" s="599"/>
      <c r="R505" s="599"/>
      <c r="S505" s="599"/>
      <c r="T505" s="599"/>
      <c r="U505" s="599"/>
      <c r="V505" s="599"/>
      <c r="W505" s="599"/>
      <c r="X505" s="599"/>
      <c r="Y505" s="599"/>
      <c r="Z505" s="599"/>
    </row>
    <row r="506" spans="1:26" ht="15.75" customHeight="1">
      <c r="A506" s="599"/>
      <c r="B506" s="599"/>
      <c r="C506" s="599"/>
      <c r="D506" s="599"/>
      <c r="E506" s="599"/>
      <c r="F506" s="599"/>
      <c r="G506" s="599"/>
      <c r="H506" s="599"/>
      <c r="I506" s="599"/>
      <c r="J506" s="599"/>
      <c r="K506" s="599"/>
      <c r="L506" s="599"/>
      <c r="M506" s="599"/>
      <c r="N506" s="599"/>
      <c r="O506" s="599"/>
      <c r="P506" s="599"/>
      <c r="Q506" s="599"/>
      <c r="R506" s="599"/>
      <c r="S506" s="599"/>
      <c r="T506" s="599"/>
      <c r="U506" s="599"/>
      <c r="V506" s="599"/>
      <c r="W506" s="599"/>
      <c r="X506" s="599"/>
      <c r="Y506" s="599"/>
      <c r="Z506" s="599"/>
    </row>
    <row r="507" spans="1:26" ht="15.75" customHeight="1">
      <c r="A507" s="599"/>
      <c r="B507" s="599"/>
      <c r="C507" s="599"/>
      <c r="D507" s="599"/>
      <c r="E507" s="599"/>
      <c r="F507" s="599"/>
      <c r="G507" s="599"/>
      <c r="H507" s="599"/>
      <c r="I507" s="599"/>
      <c r="J507" s="599"/>
      <c r="K507" s="599"/>
      <c r="L507" s="599"/>
      <c r="M507" s="599"/>
      <c r="N507" s="599"/>
      <c r="O507" s="599"/>
      <c r="P507" s="599"/>
      <c r="Q507" s="599"/>
      <c r="R507" s="599"/>
      <c r="S507" s="599"/>
      <c r="T507" s="599"/>
      <c r="U507" s="599"/>
      <c r="V507" s="599"/>
      <c r="W507" s="599"/>
      <c r="X507" s="599"/>
      <c r="Y507" s="599"/>
      <c r="Z507" s="599"/>
    </row>
    <row r="508" spans="1:26" ht="15.75" customHeight="1">
      <c r="A508" s="599"/>
      <c r="B508" s="599"/>
      <c r="C508" s="599"/>
      <c r="D508" s="599"/>
      <c r="E508" s="599"/>
      <c r="F508" s="599"/>
      <c r="G508" s="599"/>
      <c r="H508" s="599"/>
      <c r="I508" s="599"/>
      <c r="J508" s="599"/>
      <c r="K508" s="599"/>
      <c r="L508" s="599"/>
      <c r="M508" s="599"/>
      <c r="N508" s="599"/>
      <c r="O508" s="599"/>
      <c r="P508" s="599"/>
      <c r="Q508" s="599"/>
      <c r="R508" s="599"/>
      <c r="S508" s="599"/>
      <c r="T508" s="599"/>
      <c r="U508" s="599"/>
      <c r="V508" s="599"/>
      <c r="W508" s="599"/>
      <c r="X508" s="599"/>
      <c r="Y508" s="599"/>
      <c r="Z508" s="599"/>
    </row>
    <row r="509" spans="1:26" ht="15.75" customHeight="1">
      <c r="A509" s="599"/>
      <c r="B509" s="599"/>
      <c r="C509" s="599"/>
      <c r="D509" s="599"/>
      <c r="E509" s="599"/>
      <c r="F509" s="599"/>
      <c r="G509" s="599"/>
      <c r="H509" s="599"/>
      <c r="I509" s="599"/>
      <c r="J509" s="599"/>
      <c r="K509" s="599"/>
      <c r="L509" s="599"/>
      <c r="M509" s="599"/>
      <c r="N509" s="599"/>
      <c r="O509" s="599"/>
      <c r="P509" s="599"/>
      <c r="Q509" s="599"/>
      <c r="R509" s="599"/>
      <c r="S509" s="599"/>
      <c r="T509" s="599"/>
      <c r="U509" s="599"/>
      <c r="V509" s="599"/>
      <c r="W509" s="599"/>
      <c r="X509" s="599"/>
      <c r="Y509" s="599"/>
      <c r="Z509" s="599"/>
    </row>
    <row r="510" spans="1:26" ht="15.75" customHeight="1">
      <c r="A510" s="599"/>
      <c r="B510" s="599"/>
      <c r="C510" s="599"/>
      <c r="D510" s="599"/>
      <c r="E510" s="599"/>
      <c r="F510" s="599"/>
      <c r="G510" s="599"/>
      <c r="H510" s="599"/>
      <c r="I510" s="599"/>
      <c r="J510" s="599"/>
      <c r="K510" s="599"/>
      <c r="L510" s="599"/>
      <c r="M510" s="599"/>
      <c r="N510" s="599"/>
      <c r="O510" s="599"/>
      <c r="P510" s="599"/>
      <c r="Q510" s="599"/>
      <c r="R510" s="599"/>
      <c r="S510" s="599"/>
      <c r="T510" s="599"/>
      <c r="U510" s="599"/>
      <c r="V510" s="599"/>
      <c r="W510" s="599"/>
      <c r="X510" s="599"/>
      <c r="Y510" s="599"/>
      <c r="Z510" s="599"/>
    </row>
    <row r="511" spans="1:26" ht="15.75" customHeight="1">
      <c r="A511" s="599"/>
      <c r="B511" s="599"/>
      <c r="C511" s="599"/>
      <c r="D511" s="599"/>
      <c r="E511" s="599"/>
      <c r="F511" s="599"/>
      <c r="G511" s="599"/>
      <c r="H511" s="599"/>
      <c r="I511" s="599"/>
      <c r="J511" s="599"/>
      <c r="K511" s="599"/>
      <c r="L511" s="599"/>
      <c r="M511" s="599"/>
      <c r="N511" s="599"/>
      <c r="O511" s="599"/>
      <c r="P511" s="599"/>
      <c r="Q511" s="599"/>
      <c r="R511" s="599"/>
      <c r="S511" s="599"/>
      <c r="T511" s="599"/>
      <c r="U511" s="599"/>
      <c r="V511" s="599"/>
      <c r="W511" s="599"/>
      <c r="X511" s="599"/>
      <c r="Y511" s="599"/>
      <c r="Z511" s="599"/>
    </row>
    <row r="512" spans="1:26" ht="15.75" customHeight="1">
      <c r="A512" s="599"/>
      <c r="B512" s="599"/>
      <c r="C512" s="599"/>
      <c r="D512" s="599"/>
      <c r="E512" s="599"/>
      <c r="F512" s="599"/>
      <c r="G512" s="599"/>
      <c r="H512" s="599"/>
      <c r="I512" s="599"/>
      <c r="J512" s="599"/>
      <c r="K512" s="599"/>
      <c r="L512" s="599"/>
      <c r="M512" s="599"/>
      <c r="N512" s="599"/>
      <c r="O512" s="599"/>
      <c r="P512" s="599"/>
      <c r="Q512" s="599"/>
      <c r="R512" s="599"/>
      <c r="S512" s="599"/>
      <c r="T512" s="599"/>
      <c r="U512" s="599"/>
      <c r="V512" s="599"/>
      <c r="W512" s="599"/>
      <c r="X512" s="599"/>
      <c r="Y512" s="599"/>
      <c r="Z512" s="599"/>
    </row>
    <row r="513" spans="1:26" ht="15.75" customHeight="1">
      <c r="A513" s="599"/>
      <c r="B513" s="599"/>
      <c r="C513" s="599"/>
      <c r="D513" s="599"/>
      <c r="E513" s="599"/>
      <c r="F513" s="599"/>
      <c r="G513" s="599"/>
      <c r="H513" s="599"/>
      <c r="I513" s="599"/>
      <c r="J513" s="599"/>
      <c r="K513" s="599"/>
      <c r="L513" s="599"/>
      <c r="M513" s="599"/>
      <c r="N513" s="599"/>
      <c r="O513" s="599"/>
      <c r="P513" s="599"/>
      <c r="Q513" s="599"/>
      <c r="R513" s="599"/>
      <c r="S513" s="599"/>
      <c r="T513" s="599"/>
      <c r="U513" s="599"/>
      <c r="V513" s="599"/>
      <c r="W513" s="599"/>
      <c r="X513" s="599"/>
      <c r="Y513" s="599"/>
      <c r="Z513" s="599"/>
    </row>
    <row r="514" spans="1:26" ht="15.75" customHeight="1">
      <c r="A514" s="599"/>
      <c r="B514" s="599"/>
      <c r="C514" s="599"/>
      <c r="D514" s="599"/>
      <c r="E514" s="599"/>
      <c r="F514" s="599"/>
      <c r="G514" s="599"/>
      <c r="H514" s="599"/>
      <c r="I514" s="599"/>
      <c r="J514" s="599"/>
      <c r="K514" s="599"/>
      <c r="L514" s="599"/>
      <c r="M514" s="599"/>
      <c r="N514" s="599"/>
      <c r="O514" s="599"/>
      <c r="P514" s="599"/>
      <c r="Q514" s="599"/>
      <c r="R514" s="599"/>
      <c r="S514" s="599"/>
      <c r="T514" s="599"/>
      <c r="U514" s="599"/>
      <c r="V514" s="599"/>
      <c r="W514" s="599"/>
      <c r="X514" s="599"/>
      <c r="Y514" s="599"/>
      <c r="Z514" s="599"/>
    </row>
    <row r="515" spans="1:26" ht="15.75" customHeight="1">
      <c r="A515" s="599"/>
      <c r="B515" s="599"/>
      <c r="C515" s="599"/>
      <c r="D515" s="599"/>
      <c r="E515" s="599"/>
      <c r="F515" s="599"/>
      <c r="G515" s="599"/>
      <c r="H515" s="599"/>
      <c r="I515" s="599"/>
      <c r="J515" s="599"/>
      <c r="K515" s="599"/>
      <c r="L515" s="599"/>
      <c r="M515" s="599"/>
      <c r="N515" s="599"/>
      <c r="O515" s="599"/>
      <c r="P515" s="599"/>
      <c r="Q515" s="599"/>
      <c r="R515" s="599"/>
      <c r="S515" s="599"/>
      <c r="T515" s="599"/>
      <c r="U515" s="599"/>
      <c r="V515" s="599"/>
      <c r="W515" s="599"/>
      <c r="X515" s="599"/>
      <c r="Y515" s="599"/>
      <c r="Z515" s="599"/>
    </row>
    <row r="516" spans="1:26" ht="15.75" customHeight="1">
      <c r="A516" s="599"/>
      <c r="B516" s="599"/>
      <c r="C516" s="599"/>
      <c r="D516" s="599"/>
      <c r="E516" s="599"/>
      <c r="F516" s="599"/>
      <c r="G516" s="599"/>
      <c r="H516" s="599"/>
      <c r="I516" s="599"/>
      <c r="J516" s="599"/>
      <c r="K516" s="599"/>
      <c r="L516" s="599"/>
      <c r="M516" s="599"/>
      <c r="N516" s="599"/>
      <c r="O516" s="599"/>
      <c r="P516" s="599"/>
      <c r="Q516" s="599"/>
      <c r="R516" s="599"/>
      <c r="S516" s="599"/>
      <c r="T516" s="599"/>
      <c r="U516" s="599"/>
      <c r="V516" s="599"/>
      <c r="W516" s="599"/>
      <c r="X516" s="599"/>
      <c r="Y516" s="599"/>
      <c r="Z516" s="599"/>
    </row>
    <row r="517" spans="1:26" ht="15.75" customHeight="1">
      <c r="A517" s="599"/>
      <c r="B517" s="599"/>
      <c r="C517" s="599"/>
      <c r="D517" s="599"/>
      <c r="E517" s="599"/>
      <c r="F517" s="599"/>
      <c r="G517" s="599"/>
      <c r="H517" s="599"/>
      <c r="I517" s="599"/>
      <c r="J517" s="599"/>
      <c r="K517" s="599"/>
      <c r="L517" s="599"/>
      <c r="M517" s="599"/>
      <c r="N517" s="599"/>
      <c r="O517" s="599"/>
      <c r="P517" s="599"/>
      <c r="Q517" s="599"/>
      <c r="R517" s="599"/>
      <c r="S517" s="599"/>
      <c r="T517" s="599"/>
      <c r="U517" s="599"/>
      <c r="V517" s="599"/>
      <c r="W517" s="599"/>
      <c r="X517" s="599"/>
      <c r="Y517" s="599"/>
      <c r="Z517" s="599"/>
    </row>
    <row r="518" spans="1:26" ht="15.75" customHeight="1">
      <c r="A518" s="599"/>
      <c r="B518" s="599"/>
      <c r="C518" s="599"/>
      <c r="D518" s="599"/>
      <c r="E518" s="599"/>
      <c r="F518" s="599"/>
      <c r="G518" s="599"/>
      <c r="H518" s="599"/>
      <c r="I518" s="599"/>
      <c r="J518" s="599"/>
      <c r="K518" s="599"/>
      <c r="L518" s="599"/>
      <c r="M518" s="599"/>
      <c r="N518" s="599"/>
      <c r="O518" s="599"/>
      <c r="P518" s="599"/>
      <c r="Q518" s="599"/>
      <c r="R518" s="599"/>
      <c r="S518" s="599"/>
      <c r="T518" s="599"/>
      <c r="U518" s="599"/>
      <c r="V518" s="599"/>
      <c r="W518" s="599"/>
      <c r="X518" s="599"/>
      <c r="Y518" s="599"/>
      <c r="Z518" s="599"/>
    </row>
    <row r="519" spans="1:26" ht="15.75" customHeight="1">
      <c r="A519" s="599"/>
      <c r="B519" s="599"/>
      <c r="C519" s="599"/>
      <c r="D519" s="599"/>
      <c r="E519" s="599"/>
      <c r="F519" s="599"/>
      <c r="G519" s="599"/>
      <c r="H519" s="599"/>
      <c r="I519" s="599"/>
      <c r="J519" s="599"/>
      <c r="K519" s="599"/>
      <c r="L519" s="599"/>
      <c r="M519" s="599"/>
      <c r="N519" s="599"/>
      <c r="O519" s="599"/>
      <c r="P519" s="599"/>
      <c r="Q519" s="599"/>
      <c r="R519" s="599"/>
      <c r="S519" s="599"/>
      <c r="T519" s="599"/>
      <c r="U519" s="599"/>
      <c r="V519" s="599"/>
      <c r="W519" s="599"/>
      <c r="X519" s="599"/>
      <c r="Y519" s="599"/>
      <c r="Z519" s="599"/>
    </row>
    <row r="520" spans="1:26" ht="15.75" customHeight="1">
      <c r="A520" s="599"/>
      <c r="B520" s="599"/>
      <c r="C520" s="599"/>
      <c r="D520" s="599"/>
      <c r="E520" s="599"/>
      <c r="F520" s="599"/>
      <c r="G520" s="599"/>
      <c r="H520" s="599"/>
      <c r="I520" s="599"/>
      <c r="J520" s="599"/>
      <c r="K520" s="599"/>
      <c r="L520" s="599"/>
      <c r="M520" s="599"/>
      <c r="N520" s="599"/>
      <c r="O520" s="599"/>
      <c r="P520" s="599"/>
      <c r="Q520" s="599"/>
      <c r="R520" s="599"/>
      <c r="S520" s="599"/>
      <c r="T520" s="599"/>
      <c r="U520" s="599"/>
      <c r="V520" s="599"/>
      <c r="W520" s="599"/>
      <c r="X520" s="599"/>
      <c r="Y520" s="599"/>
      <c r="Z520" s="599"/>
    </row>
    <row r="521" spans="1:26" ht="15.75" customHeight="1">
      <c r="A521" s="599"/>
      <c r="B521" s="599"/>
      <c r="C521" s="599"/>
      <c r="D521" s="599"/>
      <c r="E521" s="599"/>
      <c r="F521" s="599"/>
      <c r="G521" s="599"/>
      <c r="H521" s="599"/>
      <c r="I521" s="599"/>
      <c r="J521" s="599"/>
      <c r="K521" s="599"/>
      <c r="L521" s="599"/>
      <c r="M521" s="599"/>
      <c r="N521" s="599"/>
      <c r="O521" s="599"/>
      <c r="P521" s="599"/>
      <c r="Q521" s="599"/>
      <c r="R521" s="599"/>
      <c r="S521" s="599"/>
      <c r="T521" s="599"/>
      <c r="U521" s="599"/>
      <c r="V521" s="599"/>
      <c r="W521" s="599"/>
      <c r="X521" s="599"/>
      <c r="Y521" s="599"/>
      <c r="Z521" s="599"/>
    </row>
    <row r="522" spans="1:26" ht="15.75" customHeight="1">
      <c r="A522" s="599"/>
      <c r="B522" s="599"/>
      <c r="C522" s="599"/>
      <c r="D522" s="599"/>
      <c r="E522" s="599"/>
      <c r="F522" s="599"/>
      <c r="G522" s="599"/>
      <c r="H522" s="599"/>
      <c r="I522" s="599"/>
      <c r="J522" s="599"/>
      <c r="K522" s="599"/>
      <c r="L522" s="599"/>
      <c r="M522" s="599"/>
      <c r="N522" s="599"/>
      <c r="O522" s="599"/>
      <c r="P522" s="599"/>
      <c r="Q522" s="599"/>
      <c r="R522" s="599"/>
      <c r="S522" s="599"/>
      <c r="T522" s="599"/>
      <c r="U522" s="599"/>
      <c r="V522" s="599"/>
      <c r="W522" s="599"/>
      <c r="X522" s="599"/>
      <c r="Y522" s="599"/>
      <c r="Z522" s="599"/>
    </row>
    <row r="523" spans="1:26" ht="15.75" customHeight="1">
      <c r="A523" s="599"/>
      <c r="B523" s="599"/>
      <c r="C523" s="599"/>
      <c r="D523" s="599"/>
      <c r="E523" s="599"/>
      <c r="F523" s="599"/>
      <c r="G523" s="599"/>
      <c r="H523" s="599"/>
      <c r="I523" s="599"/>
      <c r="J523" s="599"/>
      <c r="K523" s="599"/>
      <c r="L523" s="599"/>
      <c r="M523" s="599"/>
      <c r="N523" s="599"/>
      <c r="O523" s="599"/>
      <c r="P523" s="599"/>
      <c r="Q523" s="599"/>
      <c r="R523" s="599"/>
      <c r="S523" s="599"/>
      <c r="T523" s="599"/>
      <c r="U523" s="599"/>
      <c r="V523" s="599"/>
      <c r="W523" s="599"/>
      <c r="X523" s="599"/>
      <c r="Y523" s="599"/>
      <c r="Z523" s="599"/>
    </row>
    <row r="524" spans="1:26" ht="15.75" customHeight="1">
      <c r="A524" s="599"/>
      <c r="B524" s="599"/>
      <c r="C524" s="599"/>
      <c r="D524" s="599"/>
      <c r="E524" s="599"/>
      <c r="F524" s="599"/>
      <c r="G524" s="599"/>
      <c r="H524" s="599"/>
      <c r="I524" s="599"/>
      <c r="J524" s="599"/>
      <c r="K524" s="599"/>
      <c r="L524" s="599"/>
      <c r="M524" s="599"/>
      <c r="N524" s="599"/>
      <c r="O524" s="599"/>
      <c r="P524" s="599"/>
      <c r="Q524" s="599"/>
      <c r="R524" s="599"/>
      <c r="S524" s="599"/>
      <c r="T524" s="599"/>
      <c r="U524" s="599"/>
      <c r="V524" s="599"/>
      <c r="W524" s="599"/>
      <c r="X524" s="599"/>
      <c r="Y524" s="599"/>
      <c r="Z524" s="599"/>
    </row>
    <row r="525" spans="1:26" ht="15.75" customHeight="1">
      <c r="A525" s="599"/>
      <c r="B525" s="599"/>
      <c r="C525" s="599"/>
      <c r="D525" s="599"/>
      <c r="E525" s="599"/>
      <c r="F525" s="599"/>
      <c r="G525" s="599"/>
      <c r="H525" s="599"/>
      <c r="I525" s="599"/>
      <c r="J525" s="599"/>
      <c r="K525" s="599"/>
      <c r="L525" s="599"/>
      <c r="M525" s="599"/>
      <c r="N525" s="599"/>
      <c r="O525" s="599"/>
      <c r="P525" s="599"/>
      <c r="Q525" s="599"/>
      <c r="R525" s="599"/>
      <c r="S525" s="599"/>
      <c r="T525" s="599"/>
      <c r="U525" s="599"/>
      <c r="V525" s="599"/>
      <c r="W525" s="599"/>
      <c r="X525" s="599"/>
      <c r="Y525" s="599"/>
      <c r="Z525" s="599"/>
    </row>
    <row r="526" spans="1:26" ht="15.75" customHeight="1">
      <c r="A526" s="599"/>
      <c r="B526" s="599"/>
      <c r="C526" s="599"/>
      <c r="D526" s="599"/>
      <c r="E526" s="599"/>
      <c r="F526" s="599"/>
      <c r="G526" s="599"/>
      <c r="H526" s="599"/>
      <c r="I526" s="599"/>
      <c r="J526" s="599"/>
      <c r="K526" s="599"/>
      <c r="L526" s="599"/>
      <c r="M526" s="599"/>
      <c r="N526" s="599"/>
      <c r="O526" s="599"/>
      <c r="P526" s="599"/>
      <c r="Q526" s="599"/>
      <c r="R526" s="599"/>
      <c r="S526" s="599"/>
      <c r="T526" s="599"/>
      <c r="U526" s="599"/>
      <c r="V526" s="599"/>
      <c r="W526" s="599"/>
      <c r="X526" s="599"/>
      <c r="Y526" s="599"/>
      <c r="Z526" s="599"/>
    </row>
    <row r="527" spans="1:26" ht="15.75" customHeight="1">
      <c r="A527" s="599"/>
      <c r="B527" s="599"/>
      <c r="C527" s="599"/>
      <c r="D527" s="599"/>
      <c r="E527" s="599"/>
      <c r="F527" s="599"/>
      <c r="G527" s="599"/>
      <c r="H527" s="599"/>
      <c r="I527" s="599"/>
      <c r="J527" s="599"/>
      <c r="K527" s="599"/>
      <c r="L527" s="599"/>
      <c r="M527" s="599"/>
      <c r="N527" s="599"/>
      <c r="O527" s="599"/>
      <c r="P527" s="599"/>
      <c r="Q527" s="599"/>
      <c r="R527" s="599"/>
      <c r="S527" s="599"/>
      <c r="T527" s="599"/>
      <c r="U527" s="599"/>
      <c r="V527" s="599"/>
      <c r="W527" s="599"/>
      <c r="X527" s="599"/>
      <c r="Y527" s="599"/>
      <c r="Z527" s="599"/>
    </row>
    <row r="528" spans="1:26" ht="15.75" customHeight="1">
      <c r="A528" s="599"/>
      <c r="B528" s="599"/>
      <c r="C528" s="599"/>
      <c r="D528" s="599"/>
      <c r="E528" s="599"/>
      <c r="F528" s="599"/>
      <c r="G528" s="599"/>
      <c r="H528" s="599"/>
      <c r="I528" s="599"/>
      <c r="J528" s="599"/>
      <c r="K528" s="599"/>
      <c r="L528" s="599"/>
      <c r="M528" s="599"/>
      <c r="N528" s="599"/>
      <c r="O528" s="599"/>
      <c r="P528" s="599"/>
      <c r="Q528" s="599"/>
      <c r="R528" s="599"/>
      <c r="S528" s="599"/>
      <c r="T528" s="599"/>
      <c r="U528" s="599"/>
      <c r="V528" s="599"/>
      <c r="W528" s="599"/>
      <c r="X528" s="599"/>
      <c r="Y528" s="599"/>
      <c r="Z528" s="599"/>
    </row>
    <row r="529" spans="1:26" ht="15.75" customHeight="1">
      <c r="A529" s="599"/>
      <c r="B529" s="599"/>
      <c r="C529" s="599"/>
      <c r="D529" s="599"/>
      <c r="E529" s="599"/>
      <c r="F529" s="599"/>
      <c r="G529" s="599"/>
      <c r="H529" s="599"/>
      <c r="I529" s="599"/>
      <c r="J529" s="599"/>
      <c r="K529" s="599"/>
      <c r="L529" s="599"/>
      <c r="M529" s="599"/>
      <c r="N529" s="599"/>
      <c r="O529" s="599"/>
      <c r="P529" s="599"/>
      <c r="Q529" s="599"/>
      <c r="R529" s="599"/>
      <c r="S529" s="599"/>
      <c r="T529" s="599"/>
      <c r="U529" s="599"/>
      <c r="V529" s="599"/>
      <c r="W529" s="599"/>
      <c r="X529" s="599"/>
      <c r="Y529" s="599"/>
      <c r="Z529" s="599"/>
    </row>
    <row r="530" spans="1:26" ht="15.75" customHeight="1">
      <c r="A530" s="599"/>
      <c r="B530" s="599"/>
      <c r="C530" s="599"/>
      <c r="D530" s="599"/>
      <c r="E530" s="599"/>
      <c r="F530" s="599"/>
      <c r="G530" s="599"/>
      <c r="H530" s="599"/>
      <c r="I530" s="599"/>
      <c r="J530" s="599"/>
      <c r="K530" s="599"/>
      <c r="L530" s="599"/>
      <c r="M530" s="599"/>
      <c r="N530" s="599"/>
      <c r="O530" s="599"/>
      <c r="P530" s="599"/>
      <c r="Q530" s="599"/>
      <c r="R530" s="599"/>
      <c r="S530" s="599"/>
      <c r="T530" s="599"/>
      <c r="U530" s="599"/>
      <c r="V530" s="599"/>
      <c r="W530" s="599"/>
      <c r="X530" s="599"/>
      <c r="Y530" s="599"/>
      <c r="Z530" s="599"/>
    </row>
    <row r="531" spans="1:26" ht="15.75" customHeight="1">
      <c r="A531" s="599"/>
      <c r="B531" s="599"/>
      <c r="C531" s="599"/>
      <c r="D531" s="599"/>
      <c r="E531" s="599"/>
      <c r="F531" s="599"/>
      <c r="G531" s="599"/>
      <c r="H531" s="599"/>
      <c r="I531" s="599"/>
      <c r="J531" s="599"/>
      <c r="K531" s="599"/>
      <c r="L531" s="599"/>
      <c r="M531" s="599"/>
      <c r="N531" s="599"/>
      <c r="O531" s="599"/>
      <c r="P531" s="599"/>
      <c r="Q531" s="599"/>
      <c r="R531" s="599"/>
      <c r="S531" s="599"/>
      <c r="T531" s="599"/>
      <c r="U531" s="599"/>
      <c r="V531" s="599"/>
      <c r="W531" s="599"/>
      <c r="X531" s="599"/>
      <c r="Y531" s="599"/>
      <c r="Z531" s="599"/>
    </row>
    <row r="532" spans="1:26" ht="15.75" customHeight="1">
      <c r="A532" s="599"/>
      <c r="B532" s="599"/>
      <c r="C532" s="599"/>
      <c r="D532" s="599"/>
      <c r="E532" s="599"/>
      <c r="F532" s="599"/>
      <c r="G532" s="599"/>
      <c r="H532" s="599"/>
      <c r="I532" s="599"/>
      <c r="J532" s="599"/>
      <c r="K532" s="599"/>
      <c r="L532" s="599"/>
      <c r="M532" s="599"/>
      <c r="N532" s="599"/>
      <c r="O532" s="599"/>
      <c r="P532" s="599"/>
      <c r="Q532" s="599"/>
      <c r="R532" s="599"/>
      <c r="S532" s="599"/>
      <c r="T532" s="599"/>
      <c r="U532" s="599"/>
      <c r="V532" s="599"/>
      <c r="W532" s="599"/>
      <c r="X532" s="599"/>
      <c r="Y532" s="599"/>
      <c r="Z532" s="599"/>
    </row>
    <row r="533" spans="1:26" ht="15.75" customHeight="1">
      <c r="A533" s="599"/>
      <c r="B533" s="599"/>
      <c r="C533" s="599"/>
      <c r="D533" s="599"/>
      <c r="E533" s="599"/>
      <c r="F533" s="599"/>
      <c r="G533" s="599"/>
      <c r="H533" s="599"/>
      <c r="I533" s="599"/>
      <c r="J533" s="599"/>
      <c r="K533" s="599"/>
      <c r="L533" s="599"/>
      <c r="M533" s="599"/>
      <c r="N533" s="599"/>
      <c r="O533" s="599"/>
      <c r="P533" s="599"/>
      <c r="Q533" s="599"/>
      <c r="R533" s="599"/>
      <c r="S533" s="599"/>
      <c r="T533" s="599"/>
      <c r="U533" s="599"/>
      <c r="V533" s="599"/>
      <c r="W533" s="599"/>
      <c r="X533" s="599"/>
      <c r="Y533" s="599"/>
      <c r="Z533" s="599"/>
    </row>
    <row r="534" spans="1:26" ht="15.75" customHeight="1">
      <c r="A534" s="599"/>
      <c r="B534" s="599"/>
      <c r="C534" s="599"/>
      <c r="D534" s="599"/>
      <c r="E534" s="599"/>
      <c r="F534" s="599"/>
      <c r="G534" s="599"/>
      <c r="H534" s="599"/>
      <c r="I534" s="599"/>
      <c r="J534" s="599"/>
      <c r="K534" s="599"/>
      <c r="L534" s="599"/>
      <c r="M534" s="599"/>
      <c r="N534" s="599"/>
      <c r="O534" s="599"/>
      <c r="P534" s="599"/>
      <c r="Q534" s="599"/>
      <c r="R534" s="599"/>
      <c r="S534" s="599"/>
      <c r="T534" s="599"/>
      <c r="U534" s="599"/>
      <c r="V534" s="599"/>
      <c r="W534" s="599"/>
      <c r="X534" s="599"/>
      <c r="Y534" s="599"/>
      <c r="Z534" s="599"/>
    </row>
    <row r="535" spans="1:26" ht="15.75" customHeight="1">
      <c r="A535" s="599"/>
      <c r="B535" s="599"/>
      <c r="C535" s="599"/>
      <c r="D535" s="599"/>
      <c r="E535" s="599"/>
      <c r="F535" s="599"/>
      <c r="G535" s="599"/>
      <c r="H535" s="599"/>
      <c r="I535" s="599"/>
      <c r="J535" s="599"/>
      <c r="K535" s="599"/>
      <c r="L535" s="599"/>
      <c r="M535" s="599"/>
      <c r="N535" s="599"/>
      <c r="O535" s="599"/>
      <c r="P535" s="599"/>
      <c r="Q535" s="599"/>
      <c r="R535" s="599"/>
      <c r="S535" s="599"/>
      <c r="T535" s="599"/>
      <c r="U535" s="599"/>
      <c r="V535" s="599"/>
      <c r="W535" s="599"/>
      <c r="X535" s="599"/>
      <c r="Y535" s="599"/>
      <c r="Z535" s="599"/>
    </row>
    <row r="536" spans="1:26" ht="15.75" customHeight="1">
      <c r="A536" s="599"/>
      <c r="B536" s="599"/>
      <c r="C536" s="599"/>
      <c r="D536" s="599"/>
      <c r="E536" s="599"/>
      <c r="F536" s="599"/>
      <c r="G536" s="599"/>
      <c r="H536" s="599"/>
      <c r="I536" s="599"/>
      <c r="J536" s="599"/>
      <c r="K536" s="599"/>
      <c r="L536" s="599"/>
      <c r="M536" s="599"/>
      <c r="N536" s="599"/>
      <c r="O536" s="599"/>
      <c r="P536" s="599"/>
      <c r="Q536" s="599"/>
      <c r="R536" s="599"/>
      <c r="S536" s="599"/>
      <c r="T536" s="599"/>
      <c r="U536" s="599"/>
      <c r="V536" s="599"/>
      <c r="W536" s="599"/>
      <c r="X536" s="599"/>
      <c r="Y536" s="599"/>
      <c r="Z536" s="599"/>
    </row>
    <row r="537" spans="1:26" ht="15.75" customHeight="1">
      <c r="A537" s="599"/>
      <c r="B537" s="599"/>
      <c r="C537" s="599"/>
      <c r="D537" s="599"/>
      <c r="E537" s="599"/>
      <c r="F537" s="599"/>
      <c r="G537" s="599"/>
      <c r="H537" s="599"/>
      <c r="I537" s="599"/>
      <c r="J537" s="599"/>
      <c r="K537" s="599"/>
      <c r="L537" s="599"/>
      <c r="M537" s="599"/>
      <c r="N537" s="599"/>
      <c r="O537" s="599"/>
      <c r="P537" s="599"/>
      <c r="Q537" s="599"/>
      <c r="R537" s="599"/>
      <c r="S537" s="599"/>
      <c r="T537" s="599"/>
      <c r="U537" s="599"/>
      <c r="V537" s="599"/>
      <c r="W537" s="599"/>
      <c r="X537" s="599"/>
      <c r="Y537" s="599"/>
      <c r="Z537" s="599"/>
    </row>
    <row r="538" spans="1:26" ht="15.75" customHeight="1">
      <c r="A538" s="599"/>
      <c r="B538" s="599"/>
      <c r="C538" s="599"/>
      <c r="D538" s="599"/>
      <c r="E538" s="599"/>
      <c r="F538" s="599"/>
      <c r="G538" s="599"/>
      <c r="H538" s="599"/>
      <c r="I538" s="599"/>
      <c r="J538" s="599"/>
      <c r="K538" s="599"/>
      <c r="L538" s="599"/>
      <c r="M538" s="599"/>
      <c r="N538" s="599"/>
      <c r="O538" s="599"/>
      <c r="P538" s="599"/>
      <c r="Q538" s="599"/>
      <c r="R538" s="599"/>
      <c r="S538" s="599"/>
      <c r="T538" s="599"/>
      <c r="U538" s="599"/>
      <c r="V538" s="599"/>
      <c r="W538" s="599"/>
      <c r="X538" s="599"/>
      <c r="Y538" s="599"/>
      <c r="Z538" s="599"/>
    </row>
    <row r="539" spans="1:26" ht="15.75" customHeight="1">
      <c r="A539" s="599"/>
      <c r="B539" s="599"/>
      <c r="C539" s="599"/>
      <c r="D539" s="599"/>
      <c r="E539" s="599"/>
      <c r="F539" s="599"/>
      <c r="G539" s="599"/>
      <c r="H539" s="599"/>
      <c r="I539" s="599"/>
      <c r="J539" s="599"/>
      <c r="K539" s="599"/>
      <c r="L539" s="599"/>
      <c r="M539" s="599"/>
      <c r="N539" s="599"/>
      <c r="O539" s="599"/>
      <c r="P539" s="599"/>
      <c r="Q539" s="599"/>
      <c r="R539" s="599"/>
      <c r="S539" s="599"/>
      <c r="T539" s="599"/>
      <c r="U539" s="599"/>
      <c r="V539" s="599"/>
      <c r="W539" s="599"/>
      <c r="X539" s="599"/>
      <c r="Y539" s="599"/>
      <c r="Z539" s="599"/>
    </row>
    <row r="540" spans="1:26" ht="15.75" customHeight="1">
      <c r="A540" s="599"/>
      <c r="B540" s="599"/>
      <c r="C540" s="599"/>
      <c r="D540" s="599"/>
      <c r="E540" s="599"/>
      <c r="F540" s="599"/>
      <c r="G540" s="599"/>
      <c r="H540" s="599"/>
      <c r="I540" s="599"/>
      <c r="J540" s="599"/>
      <c r="K540" s="599"/>
      <c r="L540" s="599"/>
      <c r="M540" s="599"/>
      <c r="N540" s="599"/>
      <c r="O540" s="599"/>
      <c r="P540" s="599"/>
      <c r="Q540" s="599"/>
      <c r="R540" s="599"/>
      <c r="S540" s="599"/>
      <c r="T540" s="599"/>
      <c r="U540" s="599"/>
      <c r="V540" s="599"/>
      <c r="W540" s="599"/>
      <c r="X540" s="599"/>
      <c r="Y540" s="599"/>
      <c r="Z540" s="599"/>
    </row>
    <row r="541" spans="1:26" ht="15.75" customHeight="1">
      <c r="A541" s="599"/>
      <c r="B541" s="599"/>
      <c r="C541" s="599"/>
      <c r="D541" s="599"/>
      <c r="E541" s="599"/>
      <c r="F541" s="599"/>
      <c r="G541" s="599"/>
      <c r="H541" s="599"/>
      <c r="I541" s="599"/>
      <c r="J541" s="599"/>
      <c r="K541" s="599"/>
      <c r="L541" s="599"/>
      <c r="M541" s="599"/>
      <c r="N541" s="599"/>
      <c r="O541" s="599"/>
      <c r="P541" s="599"/>
      <c r="Q541" s="599"/>
      <c r="R541" s="599"/>
      <c r="S541" s="599"/>
      <c r="T541" s="599"/>
      <c r="U541" s="599"/>
      <c r="V541" s="599"/>
      <c r="W541" s="599"/>
      <c r="X541" s="599"/>
      <c r="Y541" s="599"/>
      <c r="Z541" s="599"/>
    </row>
    <row r="542" spans="1:26" ht="15.75" customHeight="1">
      <c r="A542" s="599"/>
      <c r="B542" s="599"/>
      <c r="C542" s="599"/>
      <c r="D542" s="599"/>
      <c r="E542" s="599"/>
      <c r="F542" s="599"/>
      <c r="G542" s="599"/>
      <c r="H542" s="599"/>
      <c r="I542" s="599"/>
      <c r="J542" s="599"/>
      <c r="K542" s="599"/>
      <c r="L542" s="599"/>
      <c r="M542" s="599"/>
      <c r="N542" s="599"/>
      <c r="O542" s="599"/>
      <c r="P542" s="599"/>
      <c r="Q542" s="599"/>
      <c r="R542" s="599"/>
      <c r="S542" s="599"/>
      <c r="T542" s="599"/>
      <c r="U542" s="599"/>
      <c r="V542" s="599"/>
      <c r="W542" s="599"/>
      <c r="X542" s="599"/>
      <c r="Y542" s="599"/>
      <c r="Z542" s="599"/>
    </row>
    <row r="543" spans="1:26" ht="15.75" customHeight="1">
      <c r="A543" s="599"/>
      <c r="B543" s="599"/>
      <c r="C543" s="599"/>
      <c r="D543" s="599"/>
      <c r="E543" s="599"/>
      <c r="F543" s="599"/>
      <c r="G543" s="599"/>
      <c r="H543" s="599"/>
      <c r="I543" s="599"/>
      <c r="J543" s="599"/>
      <c r="K543" s="599"/>
      <c r="L543" s="599"/>
      <c r="M543" s="599"/>
      <c r="N543" s="599"/>
      <c r="O543" s="599"/>
      <c r="P543" s="599"/>
      <c r="Q543" s="599"/>
      <c r="R543" s="599"/>
      <c r="S543" s="599"/>
      <c r="T543" s="599"/>
      <c r="U543" s="599"/>
      <c r="V543" s="599"/>
      <c r="W543" s="599"/>
      <c r="X543" s="599"/>
      <c r="Y543" s="599"/>
      <c r="Z543" s="599"/>
    </row>
    <row r="544" spans="1:26" ht="15.75" customHeight="1">
      <c r="A544" s="599"/>
      <c r="B544" s="599"/>
      <c r="C544" s="599"/>
      <c r="D544" s="599"/>
      <c r="E544" s="599"/>
      <c r="F544" s="599"/>
      <c r="G544" s="599"/>
      <c r="H544" s="599"/>
      <c r="I544" s="599"/>
      <c r="J544" s="599"/>
      <c r="K544" s="599"/>
      <c r="L544" s="599"/>
      <c r="M544" s="599"/>
      <c r="N544" s="599"/>
      <c r="O544" s="599"/>
      <c r="P544" s="599"/>
      <c r="Q544" s="599"/>
      <c r="R544" s="599"/>
      <c r="S544" s="599"/>
      <c r="T544" s="599"/>
      <c r="U544" s="599"/>
      <c r="V544" s="599"/>
      <c r="W544" s="599"/>
      <c r="X544" s="599"/>
      <c r="Y544" s="599"/>
      <c r="Z544" s="599"/>
    </row>
    <row r="545" spans="1:26" ht="15.75" customHeight="1">
      <c r="A545" s="599"/>
      <c r="B545" s="599"/>
      <c r="C545" s="599"/>
      <c r="D545" s="599"/>
      <c r="E545" s="599"/>
      <c r="F545" s="599"/>
      <c r="G545" s="599"/>
      <c r="H545" s="599"/>
      <c r="I545" s="599"/>
      <c r="J545" s="599"/>
      <c r="K545" s="599"/>
      <c r="L545" s="599"/>
      <c r="M545" s="599"/>
      <c r="N545" s="599"/>
      <c r="O545" s="599"/>
      <c r="P545" s="599"/>
      <c r="Q545" s="599"/>
      <c r="R545" s="599"/>
      <c r="S545" s="599"/>
      <c r="T545" s="599"/>
      <c r="U545" s="599"/>
      <c r="V545" s="599"/>
      <c r="W545" s="599"/>
      <c r="X545" s="599"/>
      <c r="Y545" s="599"/>
      <c r="Z545" s="599"/>
    </row>
    <row r="546" spans="1:26" ht="15.75" customHeight="1">
      <c r="A546" s="599"/>
      <c r="B546" s="599"/>
      <c r="C546" s="599"/>
      <c r="D546" s="599"/>
      <c r="E546" s="599"/>
      <c r="F546" s="599"/>
      <c r="G546" s="599"/>
      <c r="H546" s="599"/>
      <c r="I546" s="599"/>
      <c r="J546" s="599"/>
      <c r="K546" s="599"/>
      <c r="L546" s="599"/>
      <c r="M546" s="599"/>
      <c r="N546" s="599"/>
      <c r="O546" s="599"/>
      <c r="P546" s="599"/>
      <c r="Q546" s="599"/>
      <c r="R546" s="599"/>
      <c r="S546" s="599"/>
      <c r="T546" s="599"/>
      <c r="U546" s="599"/>
      <c r="V546" s="599"/>
      <c r="W546" s="599"/>
      <c r="X546" s="599"/>
      <c r="Y546" s="599"/>
      <c r="Z546" s="599"/>
    </row>
    <row r="547" spans="1:26" ht="15.75" customHeight="1">
      <c r="A547" s="599"/>
      <c r="B547" s="599"/>
      <c r="C547" s="599"/>
      <c r="D547" s="599"/>
      <c r="E547" s="599"/>
      <c r="F547" s="599"/>
      <c r="G547" s="599"/>
      <c r="H547" s="599"/>
      <c r="I547" s="599"/>
      <c r="J547" s="599"/>
      <c r="K547" s="599"/>
      <c r="L547" s="599"/>
      <c r="M547" s="599"/>
      <c r="N547" s="599"/>
      <c r="O547" s="599"/>
      <c r="P547" s="599"/>
      <c r="Q547" s="599"/>
      <c r="R547" s="599"/>
      <c r="S547" s="599"/>
      <c r="T547" s="599"/>
      <c r="U547" s="599"/>
      <c r="V547" s="599"/>
      <c r="W547" s="599"/>
      <c r="X547" s="599"/>
      <c r="Y547" s="599"/>
      <c r="Z547" s="599"/>
    </row>
    <row r="548" spans="1:26" ht="15.75" customHeight="1">
      <c r="A548" s="599"/>
      <c r="B548" s="599"/>
      <c r="C548" s="599"/>
      <c r="D548" s="599"/>
      <c r="E548" s="599"/>
      <c r="F548" s="599"/>
      <c r="G548" s="599"/>
      <c r="H548" s="599"/>
      <c r="I548" s="599"/>
      <c r="J548" s="599"/>
      <c r="K548" s="599"/>
      <c r="L548" s="599"/>
      <c r="M548" s="599"/>
      <c r="N548" s="599"/>
      <c r="O548" s="599"/>
      <c r="P548" s="599"/>
      <c r="Q548" s="599"/>
      <c r="R548" s="599"/>
      <c r="S548" s="599"/>
      <c r="T548" s="599"/>
      <c r="U548" s="599"/>
      <c r="V548" s="599"/>
      <c r="W548" s="599"/>
      <c r="X548" s="599"/>
      <c r="Y548" s="599"/>
      <c r="Z548" s="599"/>
    </row>
    <row r="549" spans="1:26" ht="15.75" customHeight="1">
      <c r="A549" s="599"/>
      <c r="B549" s="599"/>
      <c r="C549" s="599"/>
      <c r="D549" s="599"/>
      <c r="E549" s="599"/>
      <c r="F549" s="599"/>
      <c r="G549" s="599"/>
      <c r="H549" s="599"/>
      <c r="I549" s="599"/>
      <c r="J549" s="599"/>
      <c r="K549" s="599"/>
      <c r="L549" s="599"/>
      <c r="M549" s="599"/>
      <c r="N549" s="599"/>
      <c r="O549" s="599"/>
      <c r="P549" s="599"/>
      <c r="Q549" s="599"/>
      <c r="R549" s="599"/>
      <c r="S549" s="599"/>
      <c r="T549" s="599"/>
      <c r="U549" s="599"/>
      <c r="V549" s="599"/>
      <c r="W549" s="599"/>
      <c r="X549" s="599"/>
      <c r="Y549" s="599"/>
      <c r="Z549" s="599"/>
    </row>
    <row r="550" spans="1:26" ht="15.75" customHeight="1">
      <c r="A550" s="599"/>
      <c r="B550" s="599"/>
      <c r="C550" s="599"/>
      <c r="D550" s="599"/>
      <c r="E550" s="599"/>
      <c r="F550" s="599"/>
      <c r="G550" s="599"/>
      <c r="H550" s="599"/>
      <c r="I550" s="599"/>
      <c r="J550" s="599"/>
      <c r="K550" s="599"/>
      <c r="L550" s="599"/>
      <c r="M550" s="599"/>
      <c r="N550" s="599"/>
      <c r="O550" s="599"/>
      <c r="P550" s="599"/>
      <c r="Q550" s="599"/>
      <c r="R550" s="599"/>
      <c r="S550" s="599"/>
      <c r="T550" s="599"/>
      <c r="U550" s="599"/>
      <c r="V550" s="599"/>
      <c r="W550" s="599"/>
      <c r="X550" s="599"/>
      <c r="Y550" s="599"/>
      <c r="Z550" s="599"/>
    </row>
    <row r="551" spans="1:26" ht="15.75" customHeight="1">
      <c r="A551" s="599"/>
      <c r="B551" s="599"/>
      <c r="C551" s="599"/>
      <c r="D551" s="599"/>
      <c r="E551" s="599"/>
      <c r="F551" s="599"/>
      <c r="G551" s="599"/>
      <c r="H551" s="599"/>
      <c r="I551" s="599"/>
      <c r="J551" s="599"/>
      <c r="K551" s="599"/>
      <c r="L551" s="599"/>
      <c r="M551" s="599"/>
      <c r="N551" s="599"/>
      <c r="O551" s="599"/>
      <c r="P551" s="599"/>
      <c r="Q551" s="599"/>
      <c r="R551" s="599"/>
      <c r="S551" s="599"/>
      <c r="T551" s="599"/>
      <c r="U551" s="599"/>
      <c r="V551" s="599"/>
      <c r="W551" s="599"/>
      <c r="X551" s="599"/>
      <c r="Y551" s="599"/>
      <c r="Z551" s="599"/>
    </row>
    <row r="552" spans="1:26" ht="15.75" customHeight="1">
      <c r="A552" s="599"/>
      <c r="B552" s="599"/>
      <c r="C552" s="599"/>
      <c r="D552" s="599"/>
      <c r="E552" s="599"/>
      <c r="F552" s="599"/>
      <c r="G552" s="599"/>
      <c r="H552" s="599"/>
      <c r="I552" s="599"/>
      <c r="J552" s="599"/>
      <c r="K552" s="599"/>
      <c r="L552" s="599"/>
      <c r="M552" s="599"/>
      <c r="N552" s="599"/>
      <c r="O552" s="599"/>
      <c r="P552" s="599"/>
      <c r="Q552" s="599"/>
      <c r="R552" s="599"/>
      <c r="S552" s="599"/>
      <c r="T552" s="599"/>
      <c r="U552" s="599"/>
      <c r="V552" s="599"/>
      <c r="W552" s="599"/>
      <c r="X552" s="599"/>
      <c r="Y552" s="599"/>
      <c r="Z552" s="599"/>
    </row>
    <row r="553" spans="1:26" ht="15.75" customHeight="1">
      <c r="A553" s="599"/>
      <c r="B553" s="599"/>
      <c r="C553" s="599"/>
      <c r="D553" s="599"/>
      <c r="E553" s="599"/>
      <c r="F553" s="599"/>
      <c r="G553" s="599"/>
      <c r="H553" s="599"/>
      <c r="I553" s="599"/>
      <c r="J553" s="599"/>
      <c r="K553" s="599"/>
      <c r="L553" s="599"/>
      <c r="M553" s="599"/>
      <c r="N553" s="599"/>
      <c r="O553" s="599"/>
      <c r="P553" s="599"/>
      <c r="Q553" s="599"/>
      <c r="R553" s="599"/>
      <c r="S553" s="599"/>
      <c r="T553" s="599"/>
      <c r="U553" s="599"/>
      <c r="V553" s="599"/>
      <c r="W553" s="599"/>
      <c r="X553" s="599"/>
      <c r="Y553" s="599"/>
      <c r="Z553" s="599"/>
    </row>
    <row r="554" spans="1:26" ht="15.75" customHeight="1">
      <c r="A554" s="599"/>
      <c r="B554" s="599"/>
      <c r="C554" s="599"/>
      <c r="D554" s="599"/>
      <c r="E554" s="599"/>
      <c r="F554" s="599"/>
      <c r="G554" s="599"/>
      <c r="H554" s="599"/>
      <c r="I554" s="599"/>
      <c r="J554" s="599"/>
      <c r="K554" s="599"/>
      <c r="L554" s="599"/>
      <c r="M554" s="599"/>
      <c r="N554" s="599"/>
      <c r="O554" s="599"/>
      <c r="P554" s="599"/>
      <c r="Q554" s="599"/>
      <c r="R554" s="599"/>
      <c r="S554" s="599"/>
      <c r="T554" s="599"/>
      <c r="U554" s="599"/>
      <c r="V554" s="599"/>
      <c r="W554" s="599"/>
      <c r="X554" s="599"/>
      <c r="Y554" s="599"/>
      <c r="Z554" s="599"/>
    </row>
    <row r="555" spans="1:26" ht="15.75" customHeight="1">
      <c r="A555" s="599"/>
      <c r="B555" s="599"/>
      <c r="C555" s="599"/>
      <c r="D555" s="599"/>
      <c r="E555" s="599"/>
      <c r="F555" s="599"/>
      <c r="G555" s="599"/>
      <c r="H555" s="599"/>
      <c r="I555" s="599"/>
      <c r="J555" s="599"/>
      <c r="K555" s="599"/>
      <c r="L555" s="599"/>
      <c r="M555" s="599"/>
      <c r="N555" s="599"/>
      <c r="O555" s="599"/>
      <c r="P555" s="599"/>
      <c r="Q555" s="599"/>
      <c r="R555" s="599"/>
      <c r="S555" s="599"/>
      <c r="T555" s="599"/>
      <c r="U555" s="599"/>
      <c r="V555" s="599"/>
      <c r="W555" s="599"/>
      <c r="X555" s="599"/>
      <c r="Y555" s="599"/>
      <c r="Z555" s="599"/>
    </row>
    <row r="556" spans="1:26" ht="15.75" customHeight="1">
      <c r="A556" s="599"/>
      <c r="B556" s="599"/>
      <c r="C556" s="599"/>
      <c r="D556" s="599"/>
      <c r="E556" s="599"/>
      <c r="F556" s="599"/>
      <c r="G556" s="599"/>
      <c r="H556" s="599"/>
      <c r="I556" s="599"/>
      <c r="J556" s="599"/>
      <c r="K556" s="599"/>
      <c r="L556" s="599"/>
      <c r="M556" s="599"/>
      <c r="N556" s="599"/>
      <c r="O556" s="599"/>
      <c r="P556" s="599"/>
      <c r="Q556" s="599"/>
      <c r="R556" s="599"/>
      <c r="S556" s="599"/>
      <c r="T556" s="599"/>
      <c r="U556" s="599"/>
      <c r="V556" s="599"/>
      <c r="W556" s="599"/>
      <c r="X556" s="599"/>
      <c r="Y556" s="599"/>
      <c r="Z556" s="599"/>
    </row>
    <row r="557" spans="1:26" ht="15.75" customHeight="1">
      <c r="A557" s="599"/>
      <c r="B557" s="599"/>
      <c r="C557" s="599"/>
      <c r="D557" s="599"/>
      <c r="E557" s="599"/>
      <c r="F557" s="599"/>
      <c r="G557" s="599"/>
      <c r="H557" s="599"/>
      <c r="I557" s="599"/>
      <c r="J557" s="599"/>
      <c r="K557" s="599"/>
      <c r="L557" s="599"/>
      <c r="M557" s="599"/>
      <c r="N557" s="599"/>
      <c r="O557" s="599"/>
      <c r="P557" s="599"/>
      <c r="Q557" s="599"/>
      <c r="R557" s="599"/>
      <c r="S557" s="599"/>
      <c r="T557" s="599"/>
      <c r="U557" s="599"/>
      <c r="V557" s="599"/>
      <c r="W557" s="599"/>
      <c r="X557" s="599"/>
      <c r="Y557" s="599"/>
      <c r="Z557" s="599"/>
    </row>
    <row r="558" spans="1:26" ht="15.75" customHeight="1">
      <c r="A558" s="599"/>
      <c r="B558" s="599"/>
      <c r="C558" s="599"/>
      <c r="D558" s="599"/>
      <c r="E558" s="599"/>
      <c r="F558" s="599"/>
      <c r="G558" s="599"/>
      <c r="H558" s="599"/>
      <c r="I558" s="599"/>
      <c r="J558" s="599"/>
      <c r="K558" s="599"/>
      <c r="L558" s="599"/>
      <c r="M558" s="599"/>
      <c r="N558" s="599"/>
      <c r="O558" s="599"/>
      <c r="P558" s="599"/>
      <c r="Q558" s="599"/>
      <c r="R558" s="599"/>
      <c r="S558" s="599"/>
      <c r="T558" s="599"/>
      <c r="U558" s="599"/>
      <c r="V558" s="599"/>
      <c r="W558" s="599"/>
      <c r="X558" s="599"/>
      <c r="Y558" s="599"/>
      <c r="Z558" s="599"/>
    </row>
    <row r="559" spans="1:26" ht="15.75" customHeight="1">
      <c r="A559" s="599"/>
      <c r="B559" s="599"/>
      <c r="C559" s="599"/>
      <c r="D559" s="599"/>
      <c r="E559" s="599"/>
      <c r="F559" s="599"/>
      <c r="G559" s="599"/>
      <c r="H559" s="599"/>
      <c r="I559" s="599"/>
      <c r="J559" s="599"/>
      <c r="K559" s="599"/>
      <c r="L559" s="599"/>
      <c r="M559" s="599"/>
      <c r="N559" s="599"/>
      <c r="O559" s="599"/>
      <c r="P559" s="599"/>
      <c r="Q559" s="599"/>
      <c r="R559" s="599"/>
      <c r="S559" s="599"/>
      <c r="T559" s="599"/>
      <c r="U559" s="599"/>
      <c r="V559" s="599"/>
      <c r="W559" s="599"/>
      <c r="X559" s="599"/>
      <c r="Y559" s="599"/>
      <c r="Z559" s="599"/>
    </row>
    <row r="560" spans="1:26" ht="15.75" customHeight="1">
      <c r="A560" s="599"/>
      <c r="B560" s="599"/>
      <c r="C560" s="599"/>
      <c r="D560" s="599"/>
      <c r="E560" s="599"/>
      <c r="F560" s="599"/>
      <c r="G560" s="599"/>
      <c r="H560" s="599"/>
      <c r="I560" s="599"/>
      <c r="J560" s="599"/>
      <c r="K560" s="599"/>
      <c r="L560" s="599"/>
      <c r="M560" s="599"/>
      <c r="N560" s="599"/>
      <c r="O560" s="599"/>
      <c r="P560" s="599"/>
      <c r="Q560" s="599"/>
      <c r="R560" s="599"/>
      <c r="S560" s="599"/>
      <c r="T560" s="599"/>
      <c r="U560" s="599"/>
      <c r="V560" s="599"/>
      <c r="W560" s="599"/>
      <c r="X560" s="599"/>
      <c r="Y560" s="599"/>
      <c r="Z560" s="599"/>
    </row>
    <row r="561" spans="1:26" ht="15.75" customHeight="1">
      <c r="A561" s="599"/>
      <c r="B561" s="599"/>
      <c r="C561" s="599"/>
      <c r="D561" s="599"/>
      <c r="E561" s="599"/>
      <c r="F561" s="599"/>
      <c r="G561" s="599"/>
      <c r="H561" s="599"/>
      <c r="I561" s="599"/>
      <c r="J561" s="599"/>
      <c r="K561" s="599"/>
      <c r="L561" s="599"/>
      <c r="M561" s="599"/>
      <c r="N561" s="599"/>
      <c r="O561" s="599"/>
      <c r="P561" s="599"/>
      <c r="Q561" s="599"/>
      <c r="R561" s="599"/>
      <c r="S561" s="599"/>
      <c r="T561" s="599"/>
      <c r="U561" s="599"/>
      <c r="V561" s="599"/>
      <c r="W561" s="599"/>
      <c r="X561" s="599"/>
      <c r="Y561" s="599"/>
      <c r="Z561" s="599"/>
    </row>
    <row r="562" spans="1:26" ht="15.75" customHeight="1">
      <c r="A562" s="599"/>
      <c r="B562" s="599"/>
      <c r="C562" s="599"/>
      <c r="D562" s="599"/>
      <c r="E562" s="599"/>
      <c r="F562" s="599"/>
      <c r="G562" s="599"/>
      <c r="H562" s="599"/>
      <c r="I562" s="599"/>
      <c r="J562" s="599"/>
      <c r="K562" s="599"/>
      <c r="L562" s="599"/>
      <c r="M562" s="599"/>
      <c r="N562" s="599"/>
      <c r="O562" s="599"/>
      <c r="P562" s="599"/>
      <c r="Q562" s="599"/>
      <c r="R562" s="599"/>
      <c r="S562" s="599"/>
      <c r="T562" s="599"/>
      <c r="U562" s="599"/>
      <c r="V562" s="599"/>
      <c r="W562" s="599"/>
      <c r="X562" s="599"/>
      <c r="Y562" s="599"/>
      <c r="Z562" s="599"/>
    </row>
    <row r="563" spans="1:26" ht="15.75" customHeight="1">
      <c r="A563" s="599"/>
      <c r="B563" s="599"/>
      <c r="C563" s="599"/>
      <c r="D563" s="599"/>
      <c r="E563" s="599"/>
      <c r="F563" s="599"/>
      <c r="G563" s="599"/>
      <c r="H563" s="599"/>
      <c r="I563" s="599"/>
      <c r="J563" s="599"/>
      <c r="K563" s="599"/>
      <c r="L563" s="599"/>
      <c r="M563" s="599"/>
      <c r="N563" s="599"/>
      <c r="O563" s="599"/>
      <c r="P563" s="599"/>
      <c r="Q563" s="599"/>
      <c r="R563" s="599"/>
      <c r="S563" s="599"/>
      <c r="T563" s="599"/>
      <c r="U563" s="599"/>
      <c r="V563" s="599"/>
      <c r="W563" s="599"/>
      <c r="X563" s="599"/>
      <c r="Y563" s="599"/>
      <c r="Z563" s="599"/>
    </row>
    <row r="564" spans="1:26" ht="15.75" customHeight="1">
      <c r="A564" s="599"/>
      <c r="B564" s="599"/>
      <c r="C564" s="599"/>
      <c r="D564" s="599"/>
      <c r="E564" s="599"/>
      <c r="F564" s="599"/>
      <c r="G564" s="599"/>
      <c r="H564" s="599"/>
      <c r="I564" s="599"/>
      <c r="J564" s="599"/>
      <c r="K564" s="599"/>
      <c r="L564" s="599"/>
      <c r="M564" s="599"/>
      <c r="N564" s="599"/>
      <c r="O564" s="599"/>
      <c r="P564" s="599"/>
      <c r="Q564" s="599"/>
      <c r="R564" s="599"/>
      <c r="S564" s="599"/>
      <c r="T564" s="599"/>
      <c r="U564" s="599"/>
      <c r="V564" s="599"/>
      <c r="W564" s="599"/>
      <c r="X564" s="599"/>
      <c r="Y564" s="599"/>
      <c r="Z564" s="599"/>
    </row>
    <row r="565" spans="1:26" ht="15.75" customHeight="1">
      <c r="A565" s="599"/>
      <c r="B565" s="599"/>
      <c r="C565" s="599"/>
      <c r="D565" s="599"/>
      <c r="E565" s="599"/>
      <c r="F565" s="599"/>
      <c r="G565" s="599"/>
      <c r="H565" s="599"/>
      <c r="I565" s="599"/>
      <c r="J565" s="599"/>
      <c r="K565" s="599"/>
      <c r="L565" s="599"/>
      <c r="M565" s="599"/>
      <c r="N565" s="599"/>
      <c r="O565" s="599"/>
      <c r="P565" s="599"/>
      <c r="Q565" s="599"/>
      <c r="R565" s="599"/>
      <c r="S565" s="599"/>
      <c r="T565" s="599"/>
      <c r="U565" s="599"/>
      <c r="V565" s="599"/>
      <c r="W565" s="599"/>
      <c r="X565" s="599"/>
      <c r="Y565" s="599"/>
      <c r="Z565" s="599"/>
    </row>
    <row r="566" spans="1:26" ht="15.75" customHeight="1">
      <c r="A566" s="599"/>
      <c r="B566" s="599"/>
      <c r="C566" s="599"/>
      <c r="D566" s="599"/>
      <c r="E566" s="599"/>
      <c r="F566" s="599"/>
      <c r="G566" s="599"/>
      <c r="H566" s="599"/>
      <c r="I566" s="599"/>
      <c r="J566" s="599"/>
      <c r="K566" s="599"/>
      <c r="L566" s="599"/>
      <c r="M566" s="599"/>
      <c r="N566" s="599"/>
      <c r="O566" s="599"/>
      <c r="P566" s="599"/>
      <c r="Q566" s="599"/>
      <c r="R566" s="599"/>
      <c r="S566" s="599"/>
      <c r="T566" s="599"/>
      <c r="U566" s="599"/>
      <c r="V566" s="599"/>
      <c r="W566" s="599"/>
      <c r="X566" s="599"/>
      <c r="Y566" s="599"/>
      <c r="Z566" s="599"/>
    </row>
    <row r="567" spans="1:26" ht="15.75" customHeight="1">
      <c r="A567" s="599"/>
      <c r="B567" s="599"/>
      <c r="C567" s="599"/>
      <c r="D567" s="599"/>
      <c r="E567" s="599"/>
      <c r="F567" s="599"/>
      <c r="G567" s="599"/>
      <c r="H567" s="599"/>
      <c r="I567" s="599"/>
      <c r="J567" s="599"/>
      <c r="K567" s="599"/>
      <c r="L567" s="599"/>
      <c r="M567" s="599"/>
      <c r="N567" s="599"/>
      <c r="O567" s="599"/>
      <c r="P567" s="599"/>
      <c r="Q567" s="599"/>
      <c r="R567" s="599"/>
      <c r="S567" s="599"/>
      <c r="T567" s="599"/>
      <c r="U567" s="599"/>
      <c r="V567" s="599"/>
      <c r="W567" s="599"/>
      <c r="X567" s="599"/>
      <c r="Y567" s="599"/>
      <c r="Z567" s="599"/>
    </row>
    <row r="568" spans="1:26" ht="15.75" customHeight="1">
      <c r="A568" s="599"/>
      <c r="B568" s="599"/>
      <c r="C568" s="599"/>
      <c r="D568" s="599"/>
      <c r="E568" s="599"/>
      <c r="F568" s="599"/>
      <c r="G568" s="599"/>
      <c r="H568" s="599"/>
      <c r="I568" s="599"/>
      <c r="J568" s="599"/>
      <c r="K568" s="599"/>
      <c r="L568" s="599"/>
      <c r="M568" s="599"/>
      <c r="N568" s="599"/>
      <c r="O568" s="599"/>
      <c r="P568" s="599"/>
      <c r="Q568" s="599"/>
      <c r="R568" s="599"/>
      <c r="S568" s="599"/>
      <c r="T568" s="599"/>
      <c r="U568" s="599"/>
      <c r="V568" s="599"/>
      <c r="W568" s="599"/>
      <c r="X568" s="599"/>
      <c r="Y568" s="599"/>
      <c r="Z568" s="599"/>
    </row>
    <row r="569" spans="1:26" ht="15.75" customHeight="1">
      <c r="A569" s="599"/>
      <c r="B569" s="599"/>
      <c r="C569" s="599"/>
      <c r="D569" s="599"/>
      <c r="E569" s="599"/>
      <c r="F569" s="599"/>
      <c r="G569" s="599"/>
      <c r="H569" s="599"/>
      <c r="I569" s="599"/>
      <c r="J569" s="599"/>
      <c r="K569" s="599"/>
      <c r="L569" s="599"/>
      <c r="M569" s="599"/>
      <c r="N569" s="599"/>
      <c r="O569" s="599"/>
      <c r="P569" s="599"/>
      <c r="Q569" s="599"/>
      <c r="R569" s="599"/>
      <c r="S569" s="599"/>
      <c r="T569" s="599"/>
      <c r="U569" s="599"/>
      <c r="V569" s="599"/>
      <c r="W569" s="599"/>
      <c r="X569" s="599"/>
      <c r="Y569" s="599"/>
      <c r="Z569" s="599"/>
    </row>
    <row r="570" spans="1:26" ht="15.75" customHeight="1">
      <c r="A570" s="599"/>
      <c r="B570" s="599"/>
      <c r="C570" s="599"/>
      <c r="D570" s="599"/>
      <c r="E570" s="599"/>
      <c r="F570" s="599"/>
      <c r="G570" s="599"/>
      <c r="H570" s="599"/>
      <c r="I570" s="599"/>
      <c r="J570" s="599"/>
      <c r="K570" s="599"/>
      <c r="L570" s="599"/>
      <c r="M570" s="599"/>
      <c r="N570" s="599"/>
      <c r="O570" s="599"/>
      <c r="P570" s="599"/>
      <c r="Q570" s="599"/>
      <c r="R570" s="599"/>
      <c r="S570" s="599"/>
      <c r="T570" s="599"/>
      <c r="U570" s="599"/>
      <c r="V570" s="599"/>
      <c r="W570" s="599"/>
      <c r="X570" s="599"/>
      <c r="Y570" s="599"/>
      <c r="Z570" s="599"/>
    </row>
    <row r="571" spans="1:26" ht="15.75" customHeight="1">
      <c r="A571" s="599"/>
      <c r="B571" s="599"/>
      <c r="C571" s="599"/>
      <c r="D571" s="599"/>
      <c r="E571" s="599"/>
      <c r="F571" s="599"/>
      <c r="G571" s="599"/>
      <c r="H571" s="599"/>
      <c r="I571" s="599"/>
      <c r="J571" s="599"/>
      <c r="K571" s="599"/>
      <c r="L571" s="599"/>
      <c r="M571" s="599"/>
      <c r="N571" s="599"/>
      <c r="O571" s="599"/>
      <c r="P571" s="599"/>
      <c r="Q571" s="599"/>
      <c r="R571" s="599"/>
      <c r="S571" s="599"/>
      <c r="T571" s="599"/>
      <c r="U571" s="599"/>
      <c r="V571" s="599"/>
      <c r="W571" s="599"/>
      <c r="X571" s="599"/>
      <c r="Y571" s="599"/>
      <c r="Z571" s="599"/>
    </row>
    <row r="572" spans="1:26" ht="15.75" customHeight="1">
      <c r="A572" s="599"/>
      <c r="B572" s="599"/>
      <c r="C572" s="599"/>
      <c r="D572" s="599"/>
      <c r="E572" s="599"/>
      <c r="F572" s="599"/>
      <c r="G572" s="599"/>
      <c r="H572" s="599"/>
      <c r="I572" s="599"/>
      <c r="J572" s="599"/>
      <c r="K572" s="599"/>
      <c r="L572" s="599"/>
      <c r="M572" s="599"/>
      <c r="N572" s="599"/>
      <c r="O572" s="599"/>
      <c r="P572" s="599"/>
      <c r="Q572" s="599"/>
      <c r="R572" s="599"/>
      <c r="S572" s="599"/>
      <c r="T572" s="599"/>
      <c r="U572" s="599"/>
      <c r="V572" s="599"/>
      <c r="W572" s="599"/>
      <c r="X572" s="599"/>
      <c r="Y572" s="599"/>
      <c r="Z572" s="599"/>
    </row>
    <row r="573" spans="1:26" ht="15.75" customHeight="1">
      <c r="A573" s="599"/>
      <c r="B573" s="599"/>
      <c r="C573" s="599"/>
      <c r="D573" s="599"/>
      <c r="E573" s="599"/>
      <c r="F573" s="599"/>
      <c r="G573" s="599"/>
      <c r="H573" s="599"/>
      <c r="I573" s="599"/>
      <c r="J573" s="599"/>
      <c r="K573" s="599"/>
      <c r="L573" s="599"/>
      <c r="M573" s="599"/>
      <c r="N573" s="599"/>
      <c r="O573" s="599"/>
      <c r="P573" s="599"/>
      <c r="Q573" s="599"/>
      <c r="R573" s="599"/>
      <c r="S573" s="599"/>
      <c r="T573" s="599"/>
      <c r="U573" s="599"/>
      <c r="V573" s="599"/>
      <c r="W573" s="599"/>
      <c r="X573" s="599"/>
      <c r="Y573" s="599"/>
      <c r="Z573" s="599"/>
    </row>
    <row r="574" spans="1:26" ht="15.75" customHeight="1">
      <c r="A574" s="599"/>
      <c r="B574" s="599"/>
      <c r="C574" s="599"/>
      <c r="D574" s="599"/>
      <c r="E574" s="599"/>
      <c r="F574" s="599"/>
      <c r="G574" s="599"/>
      <c r="H574" s="599"/>
      <c r="I574" s="599"/>
      <c r="J574" s="599"/>
      <c r="K574" s="599"/>
      <c r="L574" s="599"/>
      <c r="M574" s="599"/>
      <c r="N574" s="599"/>
      <c r="O574" s="599"/>
      <c r="P574" s="599"/>
      <c r="Q574" s="599"/>
      <c r="R574" s="599"/>
      <c r="S574" s="599"/>
      <c r="T574" s="599"/>
      <c r="U574" s="599"/>
      <c r="V574" s="599"/>
      <c r="W574" s="599"/>
      <c r="X574" s="599"/>
      <c r="Y574" s="599"/>
      <c r="Z574" s="599"/>
    </row>
    <row r="575" spans="1:26" ht="15.75" customHeight="1">
      <c r="A575" s="599"/>
      <c r="B575" s="599"/>
      <c r="C575" s="599"/>
      <c r="D575" s="599"/>
      <c r="E575" s="599"/>
      <c r="F575" s="599"/>
      <c r="G575" s="599"/>
      <c r="H575" s="599"/>
      <c r="I575" s="599"/>
      <c r="J575" s="599"/>
      <c r="K575" s="599"/>
      <c r="L575" s="599"/>
      <c r="M575" s="599"/>
      <c r="N575" s="599"/>
      <c r="O575" s="599"/>
      <c r="P575" s="599"/>
      <c r="Q575" s="599"/>
      <c r="R575" s="599"/>
      <c r="S575" s="599"/>
      <c r="T575" s="599"/>
      <c r="U575" s="599"/>
      <c r="V575" s="599"/>
      <c r="W575" s="599"/>
      <c r="X575" s="599"/>
      <c r="Y575" s="599"/>
      <c r="Z575" s="599"/>
    </row>
    <row r="576" spans="1:26" ht="15.75" customHeight="1">
      <c r="A576" s="599"/>
      <c r="B576" s="599"/>
      <c r="C576" s="599"/>
      <c r="D576" s="599"/>
      <c r="E576" s="599"/>
      <c r="F576" s="599"/>
      <c r="G576" s="599"/>
      <c r="H576" s="599"/>
      <c r="I576" s="599"/>
      <c r="J576" s="599"/>
      <c r="K576" s="599"/>
      <c r="L576" s="599"/>
      <c r="M576" s="599"/>
      <c r="N576" s="599"/>
      <c r="O576" s="599"/>
      <c r="P576" s="599"/>
      <c r="Q576" s="599"/>
      <c r="R576" s="599"/>
      <c r="S576" s="599"/>
      <c r="T576" s="599"/>
      <c r="U576" s="599"/>
      <c r="V576" s="599"/>
      <c r="W576" s="599"/>
      <c r="X576" s="599"/>
      <c r="Y576" s="599"/>
      <c r="Z576" s="599"/>
    </row>
    <row r="577" spans="1:26" ht="15.75" customHeight="1">
      <c r="A577" s="599"/>
      <c r="B577" s="599"/>
      <c r="C577" s="599"/>
      <c r="D577" s="599"/>
      <c r="E577" s="599"/>
      <c r="F577" s="599"/>
      <c r="G577" s="599"/>
      <c r="H577" s="599"/>
      <c r="I577" s="599"/>
      <c r="J577" s="599"/>
      <c r="K577" s="599"/>
      <c r="L577" s="599"/>
      <c r="M577" s="599"/>
      <c r="N577" s="599"/>
      <c r="O577" s="599"/>
      <c r="P577" s="599"/>
      <c r="Q577" s="599"/>
      <c r="R577" s="599"/>
      <c r="S577" s="599"/>
      <c r="T577" s="599"/>
      <c r="U577" s="599"/>
      <c r="V577" s="599"/>
      <c r="W577" s="599"/>
      <c r="X577" s="599"/>
      <c r="Y577" s="599"/>
      <c r="Z577" s="599"/>
    </row>
    <row r="578" spans="1:26" ht="15.75" customHeight="1">
      <c r="A578" s="599"/>
      <c r="B578" s="599"/>
      <c r="C578" s="599"/>
      <c r="D578" s="599"/>
      <c r="E578" s="599"/>
      <c r="F578" s="599"/>
      <c r="G578" s="599"/>
      <c r="H578" s="599"/>
      <c r="I578" s="599"/>
      <c r="J578" s="599"/>
      <c r="K578" s="599"/>
      <c r="L578" s="599"/>
      <c r="M578" s="599"/>
      <c r="N578" s="599"/>
      <c r="O578" s="599"/>
      <c r="P578" s="599"/>
      <c r="Q578" s="599"/>
      <c r="R578" s="599"/>
      <c r="S578" s="599"/>
      <c r="T578" s="599"/>
      <c r="U578" s="599"/>
      <c r="V578" s="599"/>
      <c r="W578" s="599"/>
      <c r="X578" s="599"/>
      <c r="Y578" s="599"/>
      <c r="Z578" s="599"/>
    </row>
    <row r="579" spans="1:26" ht="15.75" customHeight="1">
      <c r="A579" s="599"/>
      <c r="B579" s="599"/>
      <c r="C579" s="599"/>
      <c r="D579" s="599"/>
      <c r="E579" s="599"/>
      <c r="F579" s="599"/>
      <c r="G579" s="599"/>
      <c r="H579" s="599"/>
      <c r="I579" s="599"/>
      <c r="J579" s="599"/>
      <c r="K579" s="599"/>
      <c r="L579" s="599"/>
      <c r="M579" s="599"/>
      <c r="N579" s="599"/>
      <c r="O579" s="599"/>
      <c r="P579" s="599"/>
      <c r="Q579" s="599"/>
      <c r="R579" s="599"/>
      <c r="S579" s="599"/>
      <c r="T579" s="599"/>
      <c r="U579" s="599"/>
      <c r="V579" s="599"/>
      <c r="W579" s="599"/>
      <c r="X579" s="599"/>
      <c r="Y579" s="599"/>
      <c r="Z579" s="599"/>
    </row>
    <row r="580" spans="1:26" ht="15.75" customHeight="1">
      <c r="A580" s="599"/>
      <c r="B580" s="599"/>
      <c r="C580" s="599"/>
      <c r="D580" s="599"/>
      <c r="E580" s="599"/>
      <c r="F580" s="599"/>
      <c r="G580" s="599"/>
      <c r="H580" s="599"/>
      <c r="I580" s="599"/>
      <c r="J580" s="599"/>
      <c r="K580" s="599"/>
      <c r="L580" s="599"/>
      <c r="M580" s="599"/>
      <c r="N580" s="599"/>
      <c r="O580" s="599"/>
      <c r="P580" s="599"/>
      <c r="Q580" s="599"/>
      <c r="R580" s="599"/>
      <c r="S580" s="599"/>
      <c r="T580" s="599"/>
      <c r="U580" s="599"/>
      <c r="V580" s="599"/>
      <c r="W580" s="599"/>
      <c r="X580" s="599"/>
      <c r="Y580" s="599"/>
      <c r="Z580" s="599"/>
    </row>
    <row r="581" spans="1:26" ht="15.75" customHeight="1">
      <c r="A581" s="599"/>
      <c r="B581" s="599"/>
      <c r="C581" s="599"/>
      <c r="D581" s="599"/>
      <c r="E581" s="599"/>
      <c r="F581" s="599"/>
      <c r="G581" s="599"/>
      <c r="H581" s="599"/>
      <c r="I581" s="599"/>
      <c r="J581" s="599"/>
      <c r="K581" s="599"/>
      <c r="L581" s="599"/>
      <c r="M581" s="599"/>
      <c r="N581" s="599"/>
      <c r="O581" s="599"/>
      <c r="P581" s="599"/>
      <c r="Q581" s="599"/>
      <c r="R581" s="599"/>
      <c r="S581" s="599"/>
      <c r="T581" s="599"/>
      <c r="U581" s="599"/>
      <c r="V581" s="599"/>
      <c r="W581" s="599"/>
      <c r="X581" s="599"/>
      <c r="Y581" s="599"/>
      <c r="Z581" s="599"/>
    </row>
    <row r="582" spans="1:26" ht="15.75" customHeight="1">
      <c r="A582" s="599"/>
      <c r="B582" s="599"/>
      <c r="C582" s="599"/>
      <c r="D582" s="599"/>
      <c r="E582" s="599"/>
      <c r="F582" s="599"/>
      <c r="G582" s="599"/>
      <c r="H582" s="599"/>
      <c r="I582" s="599"/>
      <c r="J582" s="599"/>
      <c r="K582" s="599"/>
      <c r="L582" s="599"/>
      <c r="M582" s="599"/>
      <c r="N582" s="599"/>
      <c r="O582" s="599"/>
      <c r="P582" s="599"/>
      <c r="Q582" s="599"/>
      <c r="R582" s="599"/>
      <c r="S582" s="599"/>
      <c r="T582" s="599"/>
      <c r="U582" s="599"/>
      <c r="V582" s="599"/>
      <c r="W582" s="599"/>
      <c r="X582" s="599"/>
      <c r="Y582" s="599"/>
      <c r="Z582" s="599"/>
    </row>
    <row r="583" spans="1:26" ht="15.75" customHeight="1">
      <c r="A583" s="599"/>
      <c r="B583" s="599"/>
      <c r="C583" s="599"/>
      <c r="D583" s="599"/>
      <c r="E583" s="599"/>
      <c r="F583" s="599"/>
      <c r="G583" s="599"/>
      <c r="H583" s="599"/>
      <c r="I583" s="599"/>
      <c r="J583" s="599"/>
      <c r="K583" s="599"/>
      <c r="L583" s="599"/>
      <c r="M583" s="599"/>
      <c r="N583" s="599"/>
      <c r="O583" s="599"/>
      <c r="P583" s="599"/>
      <c r="Q583" s="599"/>
      <c r="R583" s="599"/>
      <c r="S583" s="599"/>
      <c r="T583" s="599"/>
      <c r="U583" s="599"/>
      <c r="V583" s="599"/>
      <c r="W583" s="599"/>
      <c r="X583" s="599"/>
      <c r="Y583" s="599"/>
      <c r="Z583" s="599"/>
    </row>
    <row r="584" spans="1:26" ht="15.75" customHeight="1">
      <c r="A584" s="599"/>
      <c r="B584" s="599"/>
      <c r="C584" s="599"/>
      <c r="D584" s="599"/>
      <c r="E584" s="599"/>
      <c r="F584" s="599"/>
      <c r="G584" s="599"/>
      <c r="H584" s="599"/>
      <c r="I584" s="599"/>
      <c r="J584" s="599"/>
      <c r="K584" s="599"/>
      <c r="L584" s="599"/>
      <c r="M584" s="599"/>
      <c r="N584" s="599"/>
      <c r="O584" s="599"/>
      <c r="P584" s="599"/>
      <c r="Q584" s="599"/>
      <c r="R584" s="599"/>
      <c r="S584" s="599"/>
      <c r="T584" s="599"/>
      <c r="U584" s="599"/>
      <c r="V584" s="599"/>
      <c r="W584" s="599"/>
      <c r="X584" s="599"/>
      <c r="Y584" s="599"/>
      <c r="Z584" s="599"/>
    </row>
    <row r="585" spans="1:26" ht="15.75" customHeight="1">
      <c r="A585" s="599"/>
      <c r="B585" s="599"/>
      <c r="C585" s="599"/>
      <c r="D585" s="599"/>
      <c r="E585" s="599"/>
      <c r="F585" s="599"/>
      <c r="G585" s="599"/>
      <c r="H585" s="599"/>
      <c r="I585" s="599"/>
      <c r="J585" s="599"/>
      <c r="K585" s="599"/>
      <c r="L585" s="599"/>
      <c r="M585" s="599"/>
      <c r="N585" s="599"/>
      <c r="O585" s="599"/>
      <c r="P585" s="599"/>
      <c r="Q585" s="599"/>
      <c r="R585" s="599"/>
      <c r="S585" s="599"/>
      <c r="T585" s="599"/>
      <c r="U585" s="599"/>
      <c r="V585" s="599"/>
      <c r="W585" s="599"/>
      <c r="X585" s="599"/>
      <c r="Y585" s="599"/>
      <c r="Z585" s="599"/>
    </row>
    <row r="586" spans="1:26" ht="15.75" customHeight="1">
      <c r="A586" s="599"/>
      <c r="B586" s="599"/>
      <c r="C586" s="599"/>
      <c r="D586" s="599"/>
      <c r="E586" s="599"/>
      <c r="F586" s="599"/>
      <c r="G586" s="599"/>
      <c r="H586" s="599"/>
      <c r="I586" s="599"/>
      <c r="J586" s="599"/>
      <c r="K586" s="599"/>
      <c r="L586" s="599"/>
      <c r="M586" s="599"/>
      <c r="N586" s="599"/>
      <c r="O586" s="599"/>
      <c r="P586" s="599"/>
      <c r="Q586" s="599"/>
      <c r="R586" s="599"/>
      <c r="S586" s="599"/>
      <c r="T586" s="599"/>
      <c r="U586" s="599"/>
      <c r="V586" s="599"/>
      <c r="W586" s="599"/>
      <c r="X586" s="599"/>
      <c r="Y586" s="599"/>
      <c r="Z586" s="599"/>
    </row>
    <row r="587" spans="1:26" ht="15.75" customHeight="1">
      <c r="A587" s="599"/>
      <c r="B587" s="599"/>
      <c r="C587" s="599"/>
      <c r="D587" s="599"/>
      <c r="E587" s="599"/>
      <c r="F587" s="599"/>
      <c r="G587" s="599"/>
      <c r="H587" s="599"/>
      <c r="I587" s="599"/>
      <c r="J587" s="599"/>
      <c r="K587" s="599"/>
      <c r="L587" s="599"/>
      <c r="M587" s="599"/>
      <c r="N587" s="599"/>
      <c r="O587" s="599"/>
      <c r="P587" s="599"/>
      <c r="Q587" s="599"/>
      <c r="R587" s="599"/>
      <c r="S587" s="599"/>
      <c r="T587" s="599"/>
      <c r="U587" s="599"/>
      <c r="V587" s="599"/>
      <c r="W587" s="599"/>
      <c r="X587" s="599"/>
      <c r="Y587" s="599"/>
      <c r="Z587" s="599"/>
    </row>
    <row r="588" spans="1:26" ht="15.75" customHeight="1">
      <c r="A588" s="599"/>
      <c r="B588" s="599"/>
      <c r="C588" s="599"/>
      <c r="D588" s="599"/>
      <c r="E588" s="599"/>
      <c r="F588" s="599"/>
      <c r="G588" s="599"/>
      <c r="H588" s="599"/>
      <c r="I588" s="599"/>
      <c r="J588" s="599"/>
      <c r="K588" s="599"/>
      <c r="L588" s="599"/>
      <c r="M588" s="599"/>
      <c r="N588" s="599"/>
      <c r="O588" s="599"/>
      <c r="P588" s="599"/>
      <c r="Q588" s="599"/>
      <c r="R588" s="599"/>
      <c r="S588" s="599"/>
      <c r="T588" s="599"/>
      <c r="U588" s="599"/>
      <c r="V588" s="599"/>
      <c r="W588" s="599"/>
      <c r="X588" s="599"/>
      <c r="Y588" s="599"/>
      <c r="Z588" s="599"/>
    </row>
    <row r="589" spans="1:26" ht="15.75" customHeight="1">
      <c r="A589" s="599"/>
      <c r="B589" s="599"/>
      <c r="C589" s="599"/>
      <c r="D589" s="599"/>
      <c r="E589" s="599"/>
      <c r="F589" s="599"/>
      <c r="G589" s="599"/>
      <c r="H589" s="599"/>
      <c r="I589" s="599"/>
      <c r="J589" s="599"/>
      <c r="K589" s="599"/>
      <c r="L589" s="599"/>
      <c r="M589" s="599"/>
      <c r="N589" s="599"/>
      <c r="O589" s="599"/>
      <c r="P589" s="599"/>
      <c r="Q589" s="599"/>
      <c r="R589" s="599"/>
      <c r="S589" s="599"/>
      <c r="T589" s="599"/>
      <c r="U589" s="599"/>
      <c r="V589" s="599"/>
      <c r="W589" s="599"/>
      <c r="X589" s="599"/>
      <c r="Y589" s="599"/>
      <c r="Z589" s="599"/>
    </row>
    <row r="590" spans="1:26" ht="15.75" customHeight="1">
      <c r="A590" s="599"/>
      <c r="B590" s="599"/>
      <c r="C590" s="599"/>
      <c r="D590" s="599"/>
      <c r="E590" s="599"/>
      <c r="F590" s="599"/>
      <c r="G590" s="599"/>
      <c r="H590" s="599"/>
      <c r="I590" s="599"/>
      <c r="J590" s="599"/>
      <c r="K590" s="599"/>
      <c r="L590" s="599"/>
      <c r="M590" s="599"/>
      <c r="N590" s="599"/>
      <c r="O590" s="599"/>
      <c r="P590" s="599"/>
      <c r="Q590" s="599"/>
      <c r="R590" s="599"/>
      <c r="S590" s="599"/>
      <c r="T590" s="599"/>
      <c r="U590" s="599"/>
      <c r="V590" s="599"/>
      <c r="W590" s="599"/>
      <c r="X590" s="599"/>
      <c r="Y590" s="599"/>
      <c r="Z590" s="599"/>
    </row>
    <row r="591" spans="1:26" ht="15.75" customHeight="1">
      <c r="A591" s="599"/>
      <c r="B591" s="599"/>
      <c r="C591" s="599"/>
      <c r="D591" s="599"/>
      <c r="E591" s="599"/>
      <c r="F591" s="599"/>
      <c r="G591" s="599"/>
      <c r="H591" s="599"/>
      <c r="I591" s="599"/>
      <c r="J591" s="599"/>
      <c r="K591" s="599"/>
      <c r="L591" s="599"/>
      <c r="M591" s="599"/>
      <c r="N591" s="599"/>
      <c r="O591" s="599"/>
      <c r="P591" s="599"/>
      <c r="Q591" s="599"/>
      <c r="R591" s="599"/>
      <c r="S591" s="599"/>
      <c r="T591" s="599"/>
      <c r="U591" s="599"/>
      <c r="V591" s="599"/>
      <c r="W591" s="599"/>
      <c r="X591" s="599"/>
      <c r="Y591" s="599"/>
      <c r="Z591" s="599"/>
    </row>
    <row r="592" spans="1:26" ht="15.75" customHeight="1">
      <c r="A592" s="599"/>
      <c r="B592" s="599"/>
      <c r="C592" s="599"/>
      <c r="D592" s="599"/>
      <c r="E592" s="599"/>
      <c r="F592" s="599"/>
      <c r="G592" s="599"/>
      <c r="H592" s="599"/>
      <c r="I592" s="599"/>
      <c r="J592" s="599"/>
      <c r="K592" s="599"/>
      <c r="L592" s="599"/>
      <c r="M592" s="599"/>
      <c r="N592" s="599"/>
      <c r="O592" s="599"/>
      <c r="P592" s="599"/>
      <c r="Q592" s="599"/>
      <c r="R592" s="599"/>
      <c r="S592" s="599"/>
      <c r="T592" s="599"/>
      <c r="U592" s="599"/>
      <c r="V592" s="599"/>
      <c r="W592" s="599"/>
      <c r="X592" s="599"/>
      <c r="Y592" s="599"/>
      <c r="Z592" s="599"/>
    </row>
    <row r="593" spans="1:26" ht="15.75" customHeight="1">
      <c r="A593" s="599"/>
      <c r="B593" s="599"/>
      <c r="C593" s="599"/>
      <c r="D593" s="599"/>
      <c r="E593" s="599"/>
      <c r="F593" s="599"/>
      <c r="G593" s="599"/>
      <c r="H593" s="599"/>
      <c r="I593" s="599"/>
      <c r="J593" s="599"/>
      <c r="K593" s="599"/>
      <c r="L593" s="599"/>
      <c r="M593" s="599"/>
      <c r="N593" s="599"/>
      <c r="O593" s="599"/>
      <c r="P593" s="599"/>
      <c r="Q593" s="599"/>
      <c r="R593" s="599"/>
      <c r="S593" s="599"/>
      <c r="T593" s="599"/>
      <c r="U593" s="599"/>
      <c r="V593" s="599"/>
      <c r="W593" s="599"/>
      <c r="X593" s="599"/>
      <c r="Y593" s="599"/>
      <c r="Z593" s="599"/>
    </row>
    <row r="594" spans="1:26" ht="15.75" customHeight="1">
      <c r="A594" s="599"/>
      <c r="B594" s="599"/>
      <c r="C594" s="599"/>
      <c r="D594" s="599"/>
      <c r="E594" s="599"/>
      <c r="F594" s="599"/>
      <c r="G594" s="599"/>
      <c r="H594" s="599"/>
      <c r="I594" s="599"/>
      <c r="J594" s="599"/>
      <c r="K594" s="599"/>
      <c r="L594" s="599"/>
      <c r="M594" s="599"/>
      <c r="N594" s="599"/>
      <c r="O594" s="599"/>
      <c r="P594" s="599"/>
      <c r="Q594" s="599"/>
      <c r="R594" s="599"/>
      <c r="S594" s="599"/>
      <c r="T594" s="599"/>
      <c r="U594" s="599"/>
      <c r="V594" s="599"/>
      <c r="W594" s="599"/>
      <c r="X594" s="599"/>
      <c r="Y594" s="599"/>
      <c r="Z594" s="599"/>
    </row>
    <row r="595" spans="1:26" ht="15.75" customHeight="1">
      <c r="A595" s="599"/>
      <c r="B595" s="599"/>
      <c r="C595" s="599"/>
      <c r="D595" s="599"/>
      <c r="E595" s="599"/>
      <c r="F595" s="599"/>
      <c r="G595" s="599"/>
      <c r="H595" s="599"/>
      <c r="I595" s="599"/>
      <c r="J595" s="599"/>
      <c r="K595" s="599"/>
      <c r="L595" s="599"/>
      <c r="M595" s="599"/>
      <c r="N595" s="599"/>
      <c r="O595" s="599"/>
      <c r="P595" s="599"/>
      <c r="Q595" s="599"/>
      <c r="R595" s="599"/>
      <c r="S595" s="599"/>
      <c r="T595" s="599"/>
      <c r="U595" s="599"/>
      <c r="V595" s="599"/>
      <c r="W595" s="599"/>
      <c r="X595" s="599"/>
      <c r="Y595" s="599"/>
      <c r="Z595" s="599"/>
    </row>
    <row r="596" spans="1:26" ht="15.75" customHeight="1">
      <c r="A596" s="599"/>
      <c r="B596" s="599"/>
      <c r="C596" s="599"/>
      <c r="D596" s="599"/>
      <c r="E596" s="599"/>
      <c r="F596" s="599"/>
      <c r="G596" s="599"/>
      <c r="H596" s="599"/>
      <c r="I596" s="599"/>
      <c r="J596" s="599"/>
      <c r="K596" s="599"/>
      <c r="L596" s="599"/>
      <c r="M596" s="599"/>
      <c r="N596" s="599"/>
      <c r="O596" s="599"/>
      <c r="P596" s="599"/>
      <c r="Q596" s="599"/>
      <c r="R596" s="599"/>
      <c r="S596" s="599"/>
      <c r="T596" s="599"/>
      <c r="U596" s="599"/>
      <c r="V596" s="599"/>
      <c r="W596" s="599"/>
      <c r="X596" s="599"/>
      <c r="Y596" s="599"/>
      <c r="Z596" s="599"/>
    </row>
    <row r="597" spans="1:26" ht="15.75" customHeight="1">
      <c r="A597" s="599"/>
      <c r="B597" s="599"/>
      <c r="C597" s="599"/>
      <c r="D597" s="599"/>
      <c r="E597" s="599"/>
      <c r="F597" s="599"/>
      <c r="G597" s="599"/>
      <c r="H597" s="599"/>
      <c r="I597" s="599"/>
      <c r="J597" s="599"/>
      <c r="K597" s="599"/>
      <c r="L597" s="599"/>
      <c r="M597" s="599"/>
      <c r="N597" s="599"/>
      <c r="O597" s="599"/>
      <c r="P597" s="599"/>
      <c r="Q597" s="599"/>
      <c r="R597" s="599"/>
      <c r="S597" s="599"/>
      <c r="T597" s="599"/>
      <c r="U597" s="599"/>
      <c r="V597" s="599"/>
      <c r="W597" s="599"/>
      <c r="X597" s="599"/>
      <c r="Y597" s="599"/>
      <c r="Z597" s="599"/>
    </row>
    <row r="598" spans="1:26" ht="15.75" customHeight="1">
      <c r="A598" s="599"/>
      <c r="B598" s="599"/>
      <c r="C598" s="599"/>
      <c r="D598" s="599"/>
      <c r="E598" s="599"/>
      <c r="F598" s="599"/>
      <c r="G598" s="599"/>
      <c r="H598" s="599"/>
      <c r="I598" s="599"/>
      <c r="J598" s="599"/>
      <c r="K598" s="599"/>
      <c r="L598" s="599"/>
      <c r="M598" s="599"/>
      <c r="N598" s="599"/>
      <c r="O598" s="599"/>
      <c r="P598" s="599"/>
      <c r="Q598" s="599"/>
      <c r="R598" s="599"/>
      <c r="S598" s="599"/>
      <c r="T598" s="599"/>
      <c r="U598" s="599"/>
      <c r="V598" s="599"/>
      <c r="W598" s="599"/>
      <c r="X598" s="599"/>
      <c r="Y598" s="599"/>
      <c r="Z598" s="599"/>
    </row>
    <row r="599" spans="1:26" ht="15.75" customHeight="1">
      <c r="A599" s="599"/>
      <c r="B599" s="599"/>
      <c r="C599" s="599"/>
      <c r="D599" s="599"/>
      <c r="E599" s="599"/>
      <c r="F599" s="599"/>
      <c r="G599" s="599"/>
      <c r="H599" s="599"/>
      <c r="I599" s="599"/>
      <c r="J599" s="599"/>
      <c r="K599" s="599"/>
      <c r="L599" s="599"/>
      <c r="M599" s="599"/>
      <c r="N599" s="599"/>
      <c r="O599" s="599"/>
      <c r="P599" s="599"/>
      <c r="Q599" s="599"/>
      <c r="R599" s="599"/>
      <c r="S599" s="599"/>
      <c r="T599" s="599"/>
      <c r="U599" s="599"/>
      <c r="V599" s="599"/>
      <c r="W599" s="599"/>
      <c r="X599" s="599"/>
      <c r="Y599" s="599"/>
      <c r="Z599" s="599"/>
    </row>
    <row r="600" spans="1:26" ht="15.75" customHeight="1">
      <c r="A600" s="599"/>
      <c r="B600" s="599"/>
      <c r="C600" s="599"/>
      <c r="D600" s="599"/>
      <c r="E600" s="599"/>
      <c r="F600" s="599"/>
      <c r="G600" s="599"/>
      <c r="H600" s="599"/>
      <c r="I600" s="599"/>
      <c r="J600" s="599"/>
      <c r="K600" s="599"/>
      <c r="L600" s="599"/>
      <c r="M600" s="599"/>
      <c r="N600" s="599"/>
      <c r="O600" s="599"/>
      <c r="P600" s="599"/>
      <c r="Q600" s="599"/>
      <c r="R600" s="599"/>
      <c r="S600" s="599"/>
      <c r="T600" s="599"/>
      <c r="U600" s="599"/>
      <c r="V600" s="599"/>
      <c r="W600" s="599"/>
      <c r="X600" s="599"/>
      <c r="Y600" s="599"/>
      <c r="Z600" s="599"/>
    </row>
    <row r="601" spans="1:26" ht="15.75" customHeight="1">
      <c r="A601" s="599"/>
      <c r="B601" s="599"/>
      <c r="C601" s="599"/>
      <c r="D601" s="599"/>
      <c r="E601" s="599"/>
      <c r="F601" s="599"/>
      <c r="G601" s="599"/>
      <c r="H601" s="599"/>
      <c r="I601" s="599"/>
      <c r="J601" s="599"/>
      <c r="K601" s="599"/>
      <c r="L601" s="599"/>
      <c r="M601" s="599"/>
      <c r="N601" s="599"/>
      <c r="O601" s="599"/>
      <c r="P601" s="599"/>
      <c r="Q601" s="599"/>
      <c r="R601" s="599"/>
      <c r="S601" s="599"/>
      <c r="T601" s="599"/>
      <c r="U601" s="599"/>
      <c r="V601" s="599"/>
      <c r="W601" s="599"/>
      <c r="X601" s="599"/>
      <c r="Y601" s="599"/>
      <c r="Z601" s="599"/>
    </row>
    <row r="602" spans="1:26" ht="15.75" customHeight="1">
      <c r="A602" s="599"/>
      <c r="B602" s="599"/>
      <c r="C602" s="599"/>
      <c r="D602" s="599"/>
      <c r="E602" s="599"/>
      <c r="F602" s="599"/>
      <c r="G602" s="599"/>
      <c r="H602" s="599"/>
      <c r="I602" s="599"/>
      <c r="J602" s="599"/>
      <c r="K602" s="599"/>
      <c r="L602" s="599"/>
      <c r="M602" s="599"/>
      <c r="N602" s="599"/>
      <c r="O602" s="599"/>
      <c r="P602" s="599"/>
      <c r="Q602" s="599"/>
      <c r="R602" s="599"/>
      <c r="S602" s="599"/>
      <c r="T602" s="599"/>
      <c r="U602" s="599"/>
      <c r="V602" s="599"/>
      <c r="W602" s="599"/>
      <c r="X602" s="599"/>
      <c r="Y602" s="599"/>
      <c r="Z602" s="599"/>
    </row>
    <row r="603" spans="1:26" ht="15.75" customHeight="1">
      <c r="A603" s="599"/>
      <c r="B603" s="599"/>
      <c r="C603" s="599"/>
      <c r="D603" s="599"/>
      <c r="E603" s="599"/>
      <c r="F603" s="599"/>
      <c r="G603" s="599"/>
      <c r="H603" s="599"/>
      <c r="I603" s="599"/>
      <c r="J603" s="599"/>
      <c r="K603" s="599"/>
      <c r="L603" s="599"/>
      <c r="M603" s="599"/>
      <c r="N603" s="599"/>
      <c r="O603" s="599"/>
      <c r="P603" s="599"/>
      <c r="Q603" s="599"/>
      <c r="R603" s="599"/>
      <c r="S603" s="599"/>
      <c r="T603" s="599"/>
      <c r="U603" s="599"/>
      <c r="V603" s="599"/>
      <c r="W603" s="599"/>
      <c r="X603" s="599"/>
      <c r="Y603" s="599"/>
      <c r="Z603" s="599"/>
    </row>
    <row r="604" spans="1:26" ht="15.75" customHeight="1">
      <c r="A604" s="599"/>
      <c r="B604" s="599"/>
      <c r="C604" s="599"/>
      <c r="D604" s="599"/>
      <c r="E604" s="599"/>
      <c r="F604" s="599"/>
      <c r="G604" s="599"/>
      <c r="H604" s="599"/>
      <c r="I604" s="599"/>
      <c r="J604" s="599"/>
      <c r="K604" s="599"/>
      <c r="L604" s="599"/>
      <c r="M604" s="599"/>
      <c r="N604" s="599"/>
      <c r="O604" s="599"/>
      <c r="P604" s="599"/>
      <c r="Q604" s="599"/>
      <c r="R604" s="599"/>
      <c r="S604" s="599"/>
      <c r="T604" s="599"/>
      <c r="U604" s="599"/>
      <c r="V604" s="599"/>
      <c r="W604" s="599"/>
      <c r="X604" s="599"/>
      <c r="Y604" s="599"/>
      <c r="Z604" s="599"/>
    </row>
    <row r="605" spans="1:26" ht="15.75" customHeight="1">
      <c r="A605" s="599"/>
      <c r="B605" s="599"/>
      <c r="C605" s="599"/>
      <c r="D605" s="599"/>
      <c r="E605" s="599"/>
      <c r="F605" s="599"/>
      <c r="G605" s="599"/>
      <c r="H605" s="599"/>
      <c r="I605" s="599"/>
      <c r="J605" s="599"/>
      <c r="K605" s="599"/>
      <c r="L605" s="599"/>
      <c r="M605" s="599"/>
      <c r="N605" s="599"/>
      <c r="O605" s="599"/>
      <c r="P605" s="599"/>
      <c r="Q605" s="599"/>
      <c r="R605" s="599"/>
      <c r="S605" s="599"/>
      <c r="T605" s="599"/>
      <c r="U605" s="599"/>
      <c r="V605" s="599"/>
      <c r="W605" s="599"/>
      <c r="X605" s="599"/>
      <c r="Y605" s="599"/>
      <c r="Z605" s="599"/>
    </row>
    <row r="606" spans="1:26" ht="15.75" customHeight="1">
      <c r="A606" s="599"/>
      <c r="B606" s="599"/>
      <c r="C606" s="599"/>
      <c r="D606" s="599"/>
      <c r="E606" s="599"/>
      <c r="F606" s="599"/>
      <c r="G606" s="599"/>
      <c r="H606" s="599"/>
      <c r="I606" s="599"/>
      <c r="J606" s="599"/>
      <c r="K606" s="599"/>
      <c r="L606" s="599"/>
      <c r="M606" s="599"/>
      <c r="N606" s="599"/>
      <c r="O606" s="599"/>
      <c r="P606" s="599"/>
      <c r="Q606" s="599"/>
      <c r="R606" s="599"/>
      <c r="S606" s="599"/>
      <c r="T606" s="599"/>
      <c r="U606" s="599"/>
      <c r="V606" s="599"/>
      <c r="W606" s="599"/>
      <c r="X606" s="599"/>
      <c r="Y606" s="599"/>
      <c r="Z606" s="599"/>
    </row>
    <row r="607" spans="1:26" ht="15.75" customHeight="1">
      <c r="A607" s="599"/>
      <c r="B607" s="599"/>
      <c r="C607" s="599"/>
      <c r="D607" s="599"/>
      <c r="E607" s="599"/>
      <c r="F607" s="599"/>
      <c r="G607" s="599"/>
      <c r="H607" s="599"/>
      <c r="I607" s="599"/>
      <c r="J607" s="599"/>
      <c r="K607" s="599"/>
      <c r="L607" s="599"/>
      <c r="M607" s="599"/>
      <c r="N607" s="599"/>
      <c r="O607" s="599"/>
      <c r="P607" s="599"/>
      <c r="Q607" s="599"/>
      <c r="R607" s="599"/>
      <c r="S607" s="599"/>
      <c r="T607" s="599"/>
      <c r="U607" s="599"/>
      <c r="V607" s="599"/>
      <c r="W607" s="599"/>
      <c r="X607" s="599"/>
      <c r="Y607" s="599"/>
      <c r="Z607" s="599"/>
    </row>
    <row r="608" spans="1:26" ht="15.75" customHeight="1">
      <c r="A608" s="599"/>
      <c r="B608" s="599"/>
      <c r="C608" s="599"/>
      <c r="D608" s="599"/>
      <c r="E608" s="599"/>
      <c r="F608" s="599"/>
      <c r="G608" s="599"/>
      <c r="H608" s="599"/>
      <c r="I608" s="599"/>
      <c r="J608" s="599"/>
      <c r="K608" s="599"/>
      <c r="L608" s="599"/>
      <c r="M608" s="599"/>
      <c r="N608" s="599"/>
      <c r="O608" s="599"/>
      <c r="P608" s="599"/>
      <c r="Q608" s="599"/>
      <c r="R608" s="599"/>
      <c r="S608" s="599"/>
      <c r="T608" s="599"/>
      <c r="U608" s="599"/>
      <c r="V608" s="599"/>
      <c r="W608" s="599"/>
      <c r="X608" s="599"/>
      <c r="Y608" s="599"/>
      <c r="Z608" s="599"/>
    </row>
    <row r="609" spans="1:26" ht="15.75" customHeight="1">
      <c r="A609" s="599"/>
      <c r="B609" s="599"/>
      <c r="C609" s="599"/>
      <c r="D609" s="599"/>
      <c r="E609" s="599"/>
      <c r="F609" s="599"/>
      <c r="G609" s="599"/>
      <c r="H609" s="599"/>
      <c r="I609" s="599"/>
      <c r="J609" s="599"/>
      <c r="K609" s="599"/>
      <c r="L609" s="599"/>
      <c r="M609" s="599"/>
      <c r="N609" s="599"/>
      <c r="O609" s="599"/>
      <c r="P609" s="599"/>
      <c r="Q609" s="599"/>
      <c r="R609" s="599"/>
      <c r="S609" s="599"/>
      <c r="T609" s="599"/>
      <c r="U609" s="599"/>
      <c r="V609" s="599"/>
      <c r="W609" s="599"/>
      <c r="X609" s="599"/>
      <c r="Y609" s="599"/>
      <c r="Z609" s="599"/>
    </row>
    <row r="610" spans="1:26" ht="15.75" customHeight="1">
      <c r="A610" s="599"/>
      <c r="B610" s="599"/>
      <c r="C610" s="599"/>
      <c r="D610" s="599"/>
      <c r="E610" s="599"/>
      <c r="F610" s="599"/>
      <c r="G610" s="599"/>
      <c r="H610" s="599"/>
      <c r="I610" s="599"/>
      <c r="J610" s="599"/>
      <c r="K610" s="599"/>
      <c r="L610" s="599"/>
      <c r="M610" s="599"/>
      <c r="N610" s="599"/>
      <c r="O610" s="599"/>
      <c r="P610" s="599"/>
      <c r="Q610" s="599"/>
      <c r="R610" s="599"/>
      <c r="S610" s="599"/>
      <c r="T610" s="599"/>
      <c r="U610" s="599"/>
      <c r="V610" s="599"/>
      <c r="W610" s="599"/>
      <c r="X610" s="599"/>
      <c r="Y610" s="599"/>
      <c r="Z610" s="599"/>
    </row>
    <row r="611" spans="1:26" ht="15.75" customHeight="1">
      <c r="A611" s="599"/>
      <c r="B611" s="599"/>
      <c r="C611" s="599"/>
      <c r="D611" s="599"/>
      <c r="E611" s="599"/>
      <c r="F611" s="599"/>
      <c r="G611" s="599"/>
      <c r="H611" s="599"/>
      <c r="I611" s="599"/>
      <c r="J611" s="599"/>
      <c r="K611" s="599"/>
      <c r="L611" s="599"/>
      <c r="M611" s="599"/>
      <c r="N611" s="599"/>
      <c r="O611" s="599"/>
      <c r="P611" s="599"/>
      <c r="Q611" s="599"/>
      <c r="R611" s="599"/>
      <c r="S611" s="599"/>
      <c r="T611" s="599"/>
      <c r="U611" s="599"/>
      <c r="V611" s="599"/>
      <c r="W611" s="599"/>
      <c r="X611" s="599"/>
      <c r="Y611" s="599"/>
      <c r="Z611" s="599"/>
    </row>
    <row r="612" spans="1:26" ht="15.75" customHeight="1">
      <c r="A612" s="599"/>
      <c r="B612" s="599"/>
      <c r="C612" s="599"/>
      <c r="D612" s="599"/>
      <c r="E612" s="599"/>
      <c r="F612" s="599"/>
      <c r="G612" s="599"/>
      <c r="H612" s="599"/>
      <c r="I612" s="599"/>
      <c r="J612" s="599"/>
      <c r="K612" s="599"/>
      <c r="L612" s="599"/>
      <c r="M612" s="599"/>
      <c r="N612" s="599"/>
      <c r="O612" s="599"/>
      <c r="P612" s="599"/>
      <c r="Q612" s="599"/>
      <c r="R612" s="599"/>
      <c r="S612" s="599"/>
      <c r="T612" s="599"/>
      <c r="U612" s="599"/>
      <c r="V612" s="599"/>
      <c r="W612" s="599"/>
      <c r="X612" s="599"/>
      <c r="Y612" s="599"/>
      <c r="Z612" s="599"/>
    </row>
    <row r="613" spans="1:26" ht="15.75" customHeight="1">
      <c r="A613" s="599"/>
      <c r="B613" s="599"/>
      <c r="C613" s="599"/>
      <c r="D613" s="599"/>
      <c r="E613" s="599"/>
      <c r="F613" s="599"/>
      <c r="G613" s="599"/>
      <c r="H613" s="599"/>
      <c r="I613" s="599"/>
      <c r="J613" s="599"/>
      <c r="K613" s="599"/>
      <c r="L613" s="599"/>
      <c r="M613" s="599"/>
      <c r="N613" s="599"/>
      <c r="O613" s="599"/>
      <c r="P613" s="599"/>
      <c r="Q613" s="599"/>
      <c r="R613" s="599"/>
      <c r="S613" s="599"/>
      <c r="T613" s="599"/>
      <c r="U613" s="599"/>
      <c r="V613" s="599"/>
      <c r="W613" s="599"/>
      <c r="X613" s="599"/>
      <c r="Y613" s="599"/>
      <c r="Z613" s="599"/>
    </row>
    <row r="614" spans="1:26" ht="15.75" customHeight="1">
      <c r="A614" s="599"/>
      <c r="B614" s="599"/>
      <c r="C614" s="599"/>
      <c r="D614" s="599"/>
      <c r="E614" s="599"/>
      <c r="F614" s="599"/>
      <c r="G614" s="599"/>
      <c r="H614" s="599"/>
      <c r="I614" s="599"/>
      <c r="J614" s="599"/>
      <c r="K614" s="599"/>
      <c r="L614" s="599"/>
      <c r="M614" s="599"/>
      <c r="N614" s="599"/>
      <c r="O614" s="599"/>
      <c r="P614" s="599"/>
      <c r="Q614" s="599"/>
      <c r="R614" s="599"/>
      <c r="S614" s="599"/>
      <c r="T614" s="599"/>
      <c r="U614" s="599"/>
      <c r="V614" s="599"/>
      <c r="W614" s="599"/>
      <c r="X614" s="599"/>
      <c r="Y614" s="599"/>
      <c r="Z614" s="599"/>
    </row>
    <row r="615" spans="1:26" ht="15.75" customHeight="1">
      <c r="A615" s="599"/>
      <c r="B615" s="599"/>
      <c r="C615" s="599"/>
      <c r="D615" s="599"/>
      <c r="E615" s="599"/>
      <c r="F615" s="599"/>
      <c r="G615" s="599"/>
      <c r="H615" s="599"/>
      <c r="I615" s="599"/>
      <c r="J615" s="599"/>
      <c r="K615" s="599"/>
      <c r="L615" s="599"/>
      <c r="M615" s="599"/>
      <c r="N615" s="599"/>
      <c r="O615" s="599"/>
      <c r="P615" s="599"/>
      <c r="Q615" s="599"/>
      <c r="R615" s="599"/>
      <c r="S615" s="599"/>
      <c r="T615" s="599"/>
      <c r="U615" s="599"/>
      <c r="V615" s="599"/>
      <c r="W615" s="599"/>
      <c r="X615" s="599"/>
      <c r="Y615" s="599"/>
      <c r="Z615" s="599"/>
    </row>
    <row r="616" spans="1:26" ht="15.75" customHeight="1">
      <c r="A616" s="599"/>
      <c r="B616" s="599"/>
      <c r="C616" s="599"/>
      <c r="D616" s="599"/>
      <c r="E616" s="599"/>
      <c r="F616" s="599"/>
      <c r="G616" s="599"/>
      <c r="H616" s="599"/>
      <c r="I616" s="599"/>
      <c r="J616" s="599"/>
      <c r="K616" s="599"/>
      <c r="L616" s="599"/>
      <c r="M616" s="599"/>
      <c r="N616" s="599"/>
      <c r="O616" s="599"/>
      <c r="P616" s="599"/>
      <c r="Q616" s="599"/>
      <c r="R616" s="599"/>
      <c r="S616" s="599"/>
      <c r="T616" s="599"/>
      <c r="U616" s="599"/>
      <c r="V616" s="599"/>
      <c r="W616" s="599"/>
      <c r="X616" s="599"/>
      <c r="Y616" s="599"/>
      <c r="Z616" s="599"/>
    </row>
    <row r="617" spans="1:26" ht="15.75" customHeight="1">
      <c r="A617" s="599"/>
      <c r="B617" s="599"/>
      <c r="C617" s="599"/>
      <c r="D617" s="599"/>
      <c r="E617" s="599"/>
      <c r="F617" s="599"/>
      <c r="G617" s="599"/>
      <c r="H617" s="599"/>
      <c r="I617" s="599"/>
      <c r="J617" s="599"/>
      <c r="K617" s="599"/>
      <c r="L617" s="599"/>
      <c r="M617" s="599"/>
      <c r="N617" s="599"/>
      <c r="O617" s="599"/>
      <c r="P617" s="599"/>
      <c r="Q617" s="599"/>
      <c r="R617" s="599"/>
      <c r="S617" s="599"/>
      <c r="T617" s="599"/>
      <c r="U617" s="599"/>
      <c r="V617" s="599"/>
      <c r="W617" s="599"/>
      <c r="X617" s="599"/>
      <c r="Y617" s="599"/>
      <c r="Z617" s="599"/>
    </row>
    <row r="618" spans="1:26" ht="15.75" customHeight="1">
      <c r="A618" s="599"/>
      <c r="B618" s="599"/>
      <c r="C618" s="599"/>
      <c r="D618" s="599"/>
      <c r="E618" s="599"/>
      <c r="F618" s="599"/>
      <c r="G618" s="599"/>
      <c r="H618" s="599"/>
      <c r="I618" s="599"/>
      <c r="J618" s="599"/>
      <c r="K618" s="599"/>
      <c r="L618" s="599"/>
      <c r="M618" s="599"/>
      <c r="N618" s="599"/>
      <c r="O618" s="599"/>
      <c r="P618" s="599"/>
      <c r="Q618" s="599"/>
      <c r="R618" s="599"/>
      <c r="S618" s="599"/>
      <c r="T618" s="599"/>
      <c r="U618" s="599"/>
      <c r="V618" s="599"/>
      <c r="W618" s="599"/>
      <c r="X618" s="599"/>
      <c r="Y618" s="599"/>
      <c r="Z618" s="599"/>
    </row>
    <row r="619" spans="1:26" ht="15.75" customHeight="1">
      <c r="A619" s="599"/>
      <c r="B619" s="599"/>
      <c r="C619" s="599"/>
      <c r="D619" s="599"/>
      <c r="E619" s="599"/>
      <c r="F619" s="599"/>
      <c r="G619" s="599"/>
      <c r="H619" s="599"/>
      <c r="I619" s="599"/>
      <c r="J619" s="599"/>
      <c r="K619" s="599"/>
      <c r="L619" s="599"/>
      <c r="M619" s="599"/>
      <c r="N619" s="599"/>
      <c r="O619" s="599"/>
      <c r="P619" s="599"/>
      <c r="Q619" s="599"/>
      <c r="R619" s="599"/>
      <c r="S619" s="599"/>
      <c r="T619" s="599"/>
      <c r="U619" s="599"/>
      <c r="V619" s="599"/>
      <c r="W619" s="599"/>
      <c r="X619" s="599"/>
      <c r="Y619" s="599"/>
      <c r="Z619" s="599"/>
    </row>
    <row r="620" spans="1:26" ht="15.75" customHeight="1">
      <c r="A620" s="599"/>
      <c r="B620" s="599"/>
      <c r="C620" s="599"/>
      <c r="D620" s="599"/>
      <c r="E620" s="599"/>
      <c r="F620" s="599"/>
      <c r="G620" s="599"/>
      <c r="H620" s="599"/>
      <c r="I620" s="599"/>
      <c r="J620" s="599"/>
      <c r="K620" s="599"/>
      <c r="L620" s="599"/>
      <c r="M620" s="599"/>
      <c r="N620" s="599"/>
      <c r="O620" s="599"/>
      <c r="P620" s="599"/>
      <c r="Q620" s="599"/>
      <c r="R620" s="599"/>
      <c r="S620" s="599"/>
      <c r="T620" s="599"/>
      <c r="U620" s="599"/>
      <c r="V620" s="599"/>
      <c r="W620" s="599"/>
      <c r="X620" s="599"/>
      <c r="Y620" s="599"/>
      <c r="Z620" s="599"/>
    </row>
    <row r="621" spans="1:26" ht="15.75" customHeight="1">
      <c r="A621" s="599"/>
      <c r="B621" s="599"/>
      <c r="C621" s="599"/>
      <c r="D621" s="599"/>
      <c r="E621" s="599"/>
      <c r="F621" s="599"/>
      <c r="G621" s="599"/>
      <c r="H621" s="599"/>
      <c r="I621" s="599"/>
      <c r="J621" s="599"/>
      <c r="K621" s="599"/>
      <c r="L621" s="599"/>
      <c r="M621" s="599"/>
      <c r="N621" s="599"/>
      <c r="O621" s="599"/>
      <c r="P621" s="599"/>
      <c r="Q621" s="599"/>
      <c r="R621" s="599"/>
      <c r="S621" s="599"/>
      <c r="T621" s="599"/>
      <c r="U621" s="599"/>
      <c r="V621" s="599"/>
      <c r="W621" s="599"/>
      <c r="X621" s="599"/>
      <c r="Y621" s="599"/>
      <c r="Z621" s="599"/>
    </row>
    <row r="622" spans="1:26" ht="15.75" customHeight="1">
      <c r="A622" s="599"/>
      <c r="B622" s="599"/>
      <c r="C622" s="599"/>
      <c r="D622" s="599"/>
      <c r="E622" s="599"/>
      <c r="F622" s="599"/>
      <c r="G622" s="599"/>
      <c r="H622" s="599"/>
      <c r="I622" s="599"/>
      <c r="J622" s="599"/>
      <c r="K622" s="599"/>
      <c r="L622" s="599"/>
      <c r="M622" s="599"/>
      <c r="N622" s="599"/>
      <c r="O622" s="599"/>
      <c r="P622" s="599"/>
      <c r="Q622" s="599"/>
      <c r="R622" s="599"/>
      <c r="S622" s="599"/>
      <c r="T622" s="599"/>
      <c r="U622" s="599"/>
      <c r="V622" s="599"/>
      <c r="W622" s="599"/>
      <c r="X622" s="599"/>
      <c r="Y622" s="599"/>
      <c r="Z622" s="599"/>
    </row>
    <row r="623" spans="1:26" ht="15.75" customHeight="1">
      <c r="A623" s="599"/>
      <c r="B623" s="599"/>
      <c r="C623" s="599"/>
      <c r="D623" s="599"/>
      <c r="E623" s="599"/>
      <c r="F623" s="599"/>
      <c r="G623" s="599"/>
      <c r="H623" s="599"/>
      <c r="I623" s="599"/>
      <c r="J623" s="599"/>
      <c r="K623" s="599"/>
      <c r="L623" s="599"/>
      <c r="M623" s="599"/>
      <c r="N623" s="599"/>
      <c r="O623" s="599"/>
      <c r="P623" s="599"/>
      <c r="Q623" s="599"/>
      <c r="R623" s="599"/>
      <c r="S623" s="599"/>
      <c r="T623" s="599"/>
      <c r="U623" s="599"/>
      <c r="V623" s="599"/>
      <c r="W623" s="599"/>
      <c r="X623" s="599"/>
      <c r="Y623" s="599"/>
      <c r="Z623" s="599"/>
    </row>
    <row r="624" spans="1:26" ht="15.75" customHeight="1">
      <c r="A624" s="599"/>
      <c r="B624" s="599"/>
      <c r="C624" s="599"/>
      <c r="D624" s="599"/>
      <c r="E624" s="599"/>
      <c r="F624" s="599"/>
      <c r="G624" s="599"/>
      <c r="H624" s="599"/>
      <c r="I624" s="599"/>
      <c r="J624" s="599"/>
      <c r="K624" s="599"/>
      <c r="L624" s="599"/>
      <c r="M624" s="599"/>
      <c r="N624" s="599"/>
      <c r="O624" s="599"/>
      <c r="P624" s="599"/>
      <c r="Q624" s="599"/>
      <c r="R624" s="599"/>
      <c r="S624" s="599"/>
      <c r="T624" s="599"/>
      <c r="U624" s="599"/>
      <c r="V624" s="599"/>
      <c r="W624" s="599"/>
      <c r="X624" s="599"/>
      <c r="Y624" s="599"/>
      <c r="Z624" s="599"/>
    </row>
    <row r="625" spans="1:26" ht="15.75" customHeight="1">
      <c r="A625" s="599"/>
      <c r="B625" s="599"/>
      <c r="C625" s="599"/>
      <c r="D625" s="599"/>
      <c r="E625" s="599"/>
      <c r="F625" s="599"/>
      <c r="G625" s="599"/>
      <c r="H625" s="599"/>
      <c r="I625" s="599"/>
      <c r="J625" s="599"/>
      <c r="K625" s="599"/>
      <c r="L625" s="599"/>
      <c r="M625" s="599"/>
      <c r="N625" s="599"/>
      <c r="O625" s="599"/>
      <c r="P625" s="599"/>
      <c r="Q625" s="599"/>
      <c r="R625" s="599"/>
      <c r="S625" s="599"/>
      <c r="T625" s="599"/>
      <c r="U625" s="599"/>
      <c r="V625" s="599"/>
      <c r="W625" s="599"/>
      <c r="X625" s="599"/>
      <c r="Y625" s="599"/>
      <c r="Z625" s="599"/>
    </row>
    <row r="626" spans="1:26" ht="15.75" customHeight="1">
      <c r="A626" s="599"/>
      <c r="B626" s="599"/>
      <c r="C626" s="599"/>
      <c r="D626" s="599"/>
      <c r="E626" s="599"/>
      <c r="F626" s="599"/>
      <c r="G626" s="599"/>
      <c r="H626" s="599"/>
      <c r="I626" s="599"/>
      <c r="J626" s="599"/>
      <c r="K626" s="599"/>
      <c r="L626" s="599"/>
      <c r="M626" s="599"/>
      <c r="N626" s="599"/>
      <c r="O626" s="599"/>
      <c r="P626" s="599"/>
      <c r="Q626" s="599"/>
      <c r="R626" s="599"/>
      <c r="S626" s="599"/>
      <c r="T626" s="599"/>
      <c r="U626" s="599"/>
      <c r="V626" s="599"/>
      <c r="W626" s="599"/>
      <c r="X626" s="599"/>
      <c r="Y626" s="599"/>
      <c r="Z626" s="599"/>
    </row>
    <row r="627" spans="1:26" ht="15.75" customHeight="1">
      <c r="A627" s="599"/>
      <c r="B627" s="599"/>
      <c r="C627" s="599"/>
      <c r="D627" s="599"/>
      <c r="E627" s="599"/>
      <c r="F627" s="599"/>
      <c r="G627" s="599"/>
      <c r="H627" s="599"/>
      <c r="I627" s="599"/>
      <c r="J627" s="599"/>
      <c r="K627" s="599"/>
      <c r="L627" s="599"/>
      <c r="M627" s="599"/>
      <c r="N627" s="599"/>
      <c r="O627" s="599"/>
      <c r="P627" s="599"/>
      <c r="Q627" s="599"/>
      <c r="R627" s="599"/>
      <c r="S627" s="599"/>
      <c r="T627" s="599"/>
      <c r="U627" s="599"/>
      <c r="V627" s="599"/>
      <c r="W627" s="599"/>
      <c r="X627" s="599"/>
      <c r="Y627" s="599"/>
      <c r="Z627" s="599"/>
    </row>
    <row r="628" spans="1:26" ht="15.75" customHeight="1">
      <c r="A628" s="599"/>
      <c r="B628" s="599"/>
      <c r="C628" s="599"/>
      <c r="D628" s="599"/>
      <c r="E628" s="599"/>
      <c r="F628" s="599"/>
      <c r="G628" s="599"/>
      <c r="H628" s="599"/>
      <c r="I628" s="599"/>
      <c r="J628" s="599"/>
      <c r="K628" s="599"/>
      <c r="L628" s="599"/>
      <c r="M628" s="599"/>
      <c r="N628" s="599"/>
      <c r="O628" s="599"/>
      <c r="P628" s="599"/>
      <c r="Q628" s="599"/>
      <c r="R628" s="599"/>
      <c r="S628" s="599"/>
      <c r="T628" s="599"/>
      <c r="U628" s="599"/>
      <c r="V628" s="599"/>
      <c r="W628" s="599"/>
      <c r="X628" s="599"/>
      <c r="Y628" s="599"/>
      <c r="Z628" s="599"/>
    </row>
    <row r="629" spans="1:26" ht="15.75" customHeight="1">
      <c r="A629" s="599"/>
      <c r="B629" s="599"/>
      <c r="C629" s="599"/>
      <c r="D629" s="599"/>
      <c r="E629" s="599"/>
      <c r="F629" s="599"/>
      <c r="G629" s="599"/>
      <c r="H629" s="599"/>
      <c r="I629" s="599"/>
      <c r="J629" s="599"/>
      <c r="K629" s="599"/>
      <c r="L629" s="599"/>
      <c r="M629" s="599"/>
      <c r="N629" s="599"/>
      <c r="O629" s="599"/>
      <c r="P629" s="599"/>
      <c r="Q629" s="599"/>
      <c r="R629" s="599"/>
      <c r="S629" s="599"/>
      <c r="T629" s="599"/>
      <c r="U629" s="599"/>
      <c r="V629" s="599"/>
      <c r="W629" s="599"/>
      <c r="X629" s="599"/>
      <c r="Y629" s="599"/>
      <c r="Z629" s="599"/>
    </row>
    <row r="630" spans="1:26" ht="15.75" customHeight="1">
      <c r="A630" s="599"/>
      <c r="B630" s="599"/>
      <c r="C630" s="599"/>
      <c r="D630" s="599"/>
      <c r="E630" s="599"/>
      <c r="F630" s="599"/>
      <c r="G630" s="599"/>
      <c r="H630" s="599"/>
      <c r="I630" s="599"/>
      <c r="J630" s="599"/>
      <c r="K630" s="599"/>
      <c r="L630" s="599"/>
      <c r="M630" s="599"/>
      <c r="N630" s="599"/>
      <c r="O630" s="599"/>
      <c r="P630" s="599"/>
      <c r="Q630" s="599"/>
      <c r="R630" s="599"/>
      <c r="S630" s="599"/>
      <c r="T630" s="599"/>
      <c r="U630" s="599"/>
      <c r="V630" s="599"/>
      <c r="W630" s="599"/>
      <c r="X630" s="599"/>
      <c r="Y630" s="599"/>
      <c r="Z630" s="599"/>
    </row>
    <row r="631" spans="1:26" ht="15.75" customHeight="1">
      <c r="A631" s="599"/>
      <c r="B631" s="599"/>
      <c r="C631" s="599"/>
      <c r="D631" s="599"/>
      <c r="E631" s="599"/>
      <c r="F631" s="599"/>
      <c r="G631" s="599"/>
      <c r="H631" s="599"/>
      <c r="I631" s="599"/>
      <c r="J631" s="599"/>
      <c r="K631" s="599"/>
      <c r="L631" s="599"/>
      <c r="M631" s="599"/>
      <c r="N631" s="599"/>
      <c r="O631" s="599"/>
      <c r="P631" s="599"/>
      <c r="Q631" s="599"/>
      <c r="R631" s="599"/>
      <c r="S631" s="599"/>
      <c r="T631" s="599"/>
      <c r="U631" s="599"/>
      <c r="V631" s="599"/>
      <c r="W631" s="599"/>
      <c r="X631" s="599"/>
      <c r="Y631" s="599"/>
      <c r="Z631" s="599"/>
    </row>
    <row r="632" spans="1:26" ht="15.75" customHeight="1">
      <c r="A632" s="599"/>
      <c r="B632" s="599"/>
      <c r="C632" s="599"/>
      <c r="D632" s="599"/>
      <c r="E632" s="599"/>
      <c r="F632" s="599"/>
      <c r="G632" s="599"/>
      <c r="H632" s="599"/>
      <c r="I632" s="599"/>
      <c r="J632" s="599"/>
      <c r="K632" s="599"/>
      <c r="L632" s="599"/>
      <c r="M632" s="599"/>
      <c r="N632" s="599"/>
      <c r="O632" s="599"/>
      <c r="P632" s="599"/>
      <c r="Q632" s="599"/>
      <c r="R632" s="599"/>
      <c r="S632" s="599"/>
      <c r="T632" s="599"/>
      <c r="U632" s="599"/>
      <c r="V632" s="599"/>
      <c r="W632" s="599"/>
      <c r="X632" s="599"/>
      <c r="Y632" s="599"/>
      <c r="Z632" s="599"/>
    </row>
    <row r="633" spans="1:26" ht="15.75" customHeight="1">
      <c r="A633" s="599"/>
      <c r="B633" s="599"/>
      <c r="C633" s="599"/>
      <c r="D633" s="599"/>
      <c r="E633" s="599"/>
      <c r="F633" s="599"/>
      <c r="G633" s="599"/>
      <c r="H633" s="599"/>
      <c r="I633" s="599"/>
      <c r="J633" s="599"/>
      <c r="K633" s="599"/>
      <c r="L633" s="599"/>
      <c r="M633" s="599"/>
      <c r="N633" s="599"/>
      <c r="O633" s="599"/>
      <c r="P633" s="599"/>
      <c r="Q633" s="599"/>
      <c r="R633" s="599"/>
      <c r="S633" s="599"/>
      <c r="T633" s="599"/>
      <c r="U633" s="599"/>
      <c r="V633" s="599"/>
      <c r="W633" s="599"/>
      <c r="X633" s="599"/>
      <c r="Y633" s="599"/>
      <c r="Z633" s="599"/>
    </row>
    <row r="634" spans="1:26" ht="15.75" customHeight="1">
      <c r="A634" s="599"/>
      <c r="B634" s="599"/>
      <c r="C634" s="599"/>
      <c r="D634" s="599"/>
      <c r="E634" s="599"/>
      <c r="F634" s="599"/>
      <c r="G634" s="599"/>
      <c r="H634" s="599"/>
      <c r="I634" s="599"/>
      <c r="J634" s="599"/>
      <c r="K634" s="599"/>
      <c r="L634" s="599"/>
      <c r="M634" s="599"/>
      <c r="N634" s="599"/>
      <c r="O634" s="599"/>
      <c r="P634" s="599"/>
      <c r="Q634" s="599"/>
      <c r="R634" s="599"/>
      <c r="S634" s="599"/>
      <c r="T634" s="599"/>
      <c r="U634" s="599"/>
      <c r="V634" s="599"/>
      <c r="W634" s="599"/>
      <c r="X634" s="599"/>
      <c r="Y634" s="599"/>
      <c r="Z634" s="599"/>
    </row>
    <row r="635" spans="1:26" ht="15.75" customHeight="1">
      <c r="A635" s="599"/>
      <c r="B635" s="599"/>
      <c r="C635" s="599"/>
      <c r="D635" s="599"/>
      <c r="E635" s="599"/>
      <c r="F635" s="599"/>
      <c r="G635" s="599"/>
      <c r="H635" s="599"/>
      <c r="I635" s="599"/>
      <c r="J635" s="599"/>
      <c r="K635" s="599"/>
      <c r="L635" s="599"/>
      <c r="M635" s="599"/>
      <c r="N635" s="599"/>
      <c r="O635" s="599"/>
      <c r="P635" s="599"/>
      <c r="Q635" s="599"/>
      <c r="R635" s="599"/>
      <c r="S635" s="599"/>
      <c r="T635" s="599"/>
      <c r="U635" s="599"/>
      <c r="V635" s="599"/>
      <c r="W635" s="599"/>
      <c r="X635" s="599"/>
      <c r="Y635" s="599"/>
      <c r="Z635" s="599"/>
    </row>
    <row r="636" spans="1:26" ht="15.75" customHeight="1">
      <c r="A636" s="599"/>
      <c r="B636" s="599"/>
      <c r="C636" s="599"/>
      <c r="D636" s="599"/>
      <c r="E636" s="599"/>
      <c r="F636" s="599"/>
      <c r="G636" s="599"/>
      <c r="H636" s="599"/>
      <c r="I636" s="599"/>
      <c r="J636" s="599"/>
      <c r="K636" s="599"/>
      <c r="L636" s="599"/>
      <c r="M636" s="599"/>
      <c r="N636" s="599"/>
      <c r="O636" s="599"/>
      <c r="P636" s="599"/>
      <c r="Q636" s="599"/>
      <c r="R636" s="599"/>
      <c r="S636" s="599"/>
      <c r="T636" s="599"/>
      <c r="U636" s="599"/>
      <c r="V636" s="599"/>
      <c r="W636" s="599"/>
      <c r="X636" s="599"/>
      <c r="Y636" s="599"/>
      <c r="Z636" s="599"/>
    </row>
    <row r="637" spans="1:26" ht="15.75" customHeight="1">
      <c r="A637" s="599"/>
      <c r="B637" s="599"/>
      <c r="C637" s="599"/>
      <c r="D637" s="599"/>
      <c r="E637" s="599"/>
      <c r="F637" s="599"/>
      <c r="G637" s="599"/>
      <c r="H637" s="599"/>
      <c r="I637" s="599"/>
      <c r="J637" s="599"/>
      <c r="K637" s="599"/>
      <c r="L637" s="599"/>
      <c r="M637" s="599"/>
      <c r="N637" s="599"/>
      <c r="O637" s="599"/>
      <c r="P637" s="599"/>
      <c r="Q637" s="599"/>
      <c r="R637" s="599"/>
      <c r="S637" s="599"/>
      <c r="T637" s="599"/>
      <c r="U637" s="599"/>
      <c r="V637" s="599"/>
      <c r="W637" s="599"/>
      <c r="X637" s="599"/>
      <c r="Y637" s="599"/>
      <c r="Z637" s="599"/>
    </row>
    <row r="638" spans="1:26" ht="15.75" customHeight="1">
      <c r="A638" s="599"/>
      <c r="B638" s="599"/>
      <c r="C638" s="599"/>
      <c r="D638" s="599"/>
      <c r="E638" s="599"/>
      <c r="F638" s="599"/>
      <c r="G638" s="599"/>
      <c r="H638" s="599"/>
      <c r="I638" s="599"/>
      <c r="J638" s="599"/>
      <c r="K638" s="599"/>
      <c r="L638" s="599"/>
      <c r="M638" s="599"/>
      <c r="N638" s="599"/>
      <c r="O638" s="599"/>
      <c r="P638" s="599"/>
      <c r="Q638" s="599"/>
      <c r="R638" s="599"/>
      <c r="S638" s="599"/>
      <c r="T638" s="599"/>
      <c r="U638" s="599"/>
      <c r="V638" s="599"/>
      <c r="W638" s="599"/>
      <c r="X638" s="599"/>
      <c r="Y638" s="599"/>
      <c r="Z638" s="599"/>
    </row>
    <row r="639" spans="1:26" ht="15.75" customHeight="1">
      <c r="A639" s="599"/>
      <c r="B639" s="599"/>
      <c r="C639" s="599"/>
      <c r="D639" s="599"/>
      <c r="E639" s="599"/>
      <c r="F639" s="599"/>
      <c r="G639" s="599"/>
      <c r="H639" s="599"/>
      <c r="I639" s="599"/>
      <c r="J639" s="599"/>
      <c r="K639" s="599"/>
      <c r="L639" s="599"/>
      <c r="M639" s="599"/>
      <c r="N639" s="599"/>
      <c r="O639" s="599"/>
      <c r="P639" s="599"/>
      <c r="Q639" s="599"/>
      <c r="R639" s="599"/>
      <c r="S639" s="599"/>
      <c r="T639" s="599"/>
      <c r="U639" s="599"/>
      <c r="V639" s="599"/>
      <c r="W639" s="599"/>
      <c r="X639" s="599"/>
      <c r="Y639" s="599"/>
      <c r="Z639" s="599"/>
    </row>
    <row r="640" spans="1:26" ht="15.75" customHeight="1">
      <c r="A640" s="599"/>
      <c r="B640" s="599"/>
      <c r="C640" s="599"/>
      <c r="D640" s="599"/>
      <c r="E640" s="599"/>
      <c r="F640" s="599"/>
      <c r="G640" s="599"/>
      <c r="H640" s="599"/>
      <c r="I640" s="599"/>
      <c r="J640" s="599"/>
      <c r="K640" s="599"/>
      <c r="L640" s="599"/>
      <c r="M640" s="599"/>
      <c r="N640" s="599"/>
      <c r="O640" s="599"/>
      <c r="P640" s="599"/>
      <c r="Q640" s="599"/>
      <c r="R640" s="599"/>
      <c r="S640" s="599"/>
      <c r="T640" s="599"/>
      <c r="U640" s="599"/>
      <c r="V640" s="599"/>
      <c r="W640" s="599"/>
      <c r="X640" s="599"/>
      <c r="Y640" s="599"/>
      <c r="Z640" s="599"/>
    </row>
    <row r="641" spans="1:26" ht="15.75" customHeight="1">
      <c r="A641" s="599"/>
      <c r="B641" s="599"/>
      <c r="C641" s="599"/>
      <c r="D641" s="599"/>
      <c r="E641" s="599"/>
      <c r="F641" s="599"/>
      <c r="G641" s="599"/>
      <c r="H641" s="599"/>
      <c r="I641" s="599"/>
      <c r="J641" s="599"/>
      <c r="K641" s="599"/>
      <c r="L641" s="599"/>
      <c r="M641" s="599"/>
      <c r="N641" s="599"/>
      <c r="O641" s="599"/>
      <c r="P641" s="599"/>
      <c r="Q641" s="599"/>
      <c r="R641" s="599"/>
      <c r="S641" s="599"/>
      <c r="T641" s="599"/>
      <c r="U641" s="599"/>
      <c r="V641" s="599"/>
      <c r="W641" s="599"/>
      <c r="X641" s="599"/>
      <c r="Y641" s="599"/>
      <c r="Z641" s="599"/>
    </row>
    <row r="642" spans="1:26" ht="15.75" customHeight="1">
      <c r="A642" s="599"/>
      <c r="B642" s="599"/>
      <c r="C642" s="599"/>
      <c r="D642" s="599"/>
      <c r="E642" s="599"/>
      <c r="F642" s="599"/>
      <c r="G642" s="599"/>
      <c r="H642" s="599"/>
      <c r="I642" s="599"/>
      <c r="J642" s="599"/>
      <c r="K642" s="599"/>
      <c r="L642" s="599"/>
      <c r="M642" s="599"/>
      <c r="N642" s="599"/>
      <c r="O642" s="599"/>
      <c r="P642" s="599"/>
      <c r="Q642" s="599"/>
      <c r="R642" s="599"/>
      <c r="S642" s="599"/>
      <c r="T642" s="599"/>
      <c r="U642" s="599"/>
      <c r="V642" s="599"/>
      <c r="W642" s="599"/>
      <c r="X642" s="599"/>
      <c r="Y642" s="599"/>
      <c r="Z642" s="599"/>
    </row>
    <row r="643" spans="1:26" ht="15.75" customHeight="1">
      <c r="A643" s="599"/>
      <c r="B643" s="599"/>
      <c r="C643" s="599"/>
      <c r="D643" s="599"/>
      <c r="E643" s="599"/>
      <c r="F643" s="599"/>
      <c r="G643" s="599"/>
      <c r="H643" s="599"/>
      <c r="I643" s="599"/>
      <c r="J643" s="599"/>
      <c r="K643" s="599"/>
      <c r="L643" s="599"/>
      <c r="M643" s="599"/>
      <c r="N643" s="599"/>
      <c r="O643" s="599"/>
      <c r="P643" s="599"/>
      <c r="Q643" s="599"/>
      <c r="R643" s="599"/>
      <c r="S643" s="599"/>
      <c r="T643" s="599"/>
      <c r="U643" s="599"/>
      <c r="V643" s="599"/>
      <c r="W643" s="599"/>
      <c r="X643" s="599"/>
      <c r="Y643" s="599"/>
      <c r="Z643" s="599"/>
    </row>
    <row r="644" spans="1:26" ht="15.75" customHeight="1">
      <c r="A644" s="599"/>
      <c r="B644" s="599"/>
      <c r="C644" s="599"/>
      <c r="D644" s="599"/>
      <c r="E644" s="599"/>
      <c r="F644" s="599"/>
      <c r="G644" s="599"/>
      <c r="H644" s="599"/>
      <c r="I644" s="599"/>
      <c r="J644" s="599"/>
      <c r="K644" s="599"/>
      <c r="L644" s="599"/>
      <c r="M644" s="599"/>
      <c r="N644" s="599"/>
      <c r="O644" s="599"/>
      <c r="P644" s="599"/>
      <c r="Q644" s="599"/>
      <c r="R644" s="599"/>
      <c r="S644" s="599"/>
      <c r="T644" s="599"/>
      <c r="U644" s="599"/>
      <c r="V644" s="599"/>
      <c r="W644" s="599"/>
      <c r="X644" s="599"/>
      <c r="Y644" s="599"/>
      <c r="Z644" s="599"/>
    </row>
    <row r="645" spans="1:26" ht="15.75" customHeight="1">
      <c r="A645" s="599"/>
      <c r="B645" s="599"/>
      <c r="C645" s="599"/>
      <c r="D645" s="599"/>
      <c r="E645" s="599"/>
      <c r="F645" s="599"/>
      <c r="G645" s="599"/>
      <c r="H645" s="599"/>
      <c r="I645" s="599"/>
      <c r="J645" s="599"/>
      <c r="K645" s="599"/>
      <c r="L645" s="599"/>
      <c r="M645" s="599"/>
      <c r="N645" s="599"/>
      <c r="O645" s="599"/>
      <c r="P645" s="599"/>
      <c r="Q645" s="599"/>
      <c r="R645" s="599"/>
      <c r="S645" s="599"/>
      <c r="T645" s="599"/>
      <c r="U645" s="599"/>
      <c r="V645" s="599"/>
      <c r="W645" s="599"/>
      <c r="X645" s="599"/>
      <c r="Y645" s="599"/>
      <c r="Z645" s="599"/>
    </row>
    <row r="646" spans="1:26" ht="15.75" customHeight="1">
      <c r="A646" s="599"/>
      <c r="B646" s="599"/>
      <c r="C646" s="599"/>
      <c r="D646" s="599"/>
      <c r="E646" s="599"/>
      <c r="F646" s="599"/>
      <c r="G646" s="599"/>
      <c r="H646" s="599"/>
      <c r="I646" s="599"/>
      <c r="J646" s="599"/>
      <c r="K646" s="599"/>
      <c r="L646" s="599"/>
      <c r="M646" s="599"/>
      <c r="N646" s="599"/>
      <c r="O646" s="599"/>
      <c r="P646" s="599"/>
      <c r="Q646" s="599"/>
      <c r="R646" s="599"/>
      <c r="S646" s="599"/>
      <c r="T646" s="599"/>
      <c r="U646" s="599"/>
      <c r="V646" s="599"/>
      <c r="W646" s="599"/>
      <c r="X646" s="599"/>
      <c r="Y646" s="599"/>
      <c r="Z646" s="599"/>
    </row>
    <row r="647" spans="1:26" ht="15.75" customHeight="1">
      <c r="A647" s="599"/>
      <c r="B647" s="599"/>
      <c r="C647" s="599"/>
      <c r="D647" s="599"/>
      <c r="E647" s="599"/>
      <c r="F647" s="599"/>
      <c r="G647" s="599"/>
      <c r="H647" s="599"/>
      <c r="I647" s="599"/>
      <c r="J647" s="599"/>
      <c r="K647" s="599"/>
      <c r="L647" s="599"/>
      <c r="M647" s="599"/>
      <c r="N647" s="599"/>
      <c r="O647" s="599"/>
      <c r="P647" s="599"/>
      <c r="Q647" s="599"/>
      <c r="R647" s="599"/>
      <c r="S647" s="599"/>
      <c r="T647" s="599"/>
      <c r="U647" s="599"/>
      <c r="V647" s="599"/>
      <c r="W647" s="599"/>
      <c r="X647" s="599"/>
      <c r="Y647" s="599"/>
      <c r="Z647" s="599"/>
    </row>
    <row r="648" spans="1:26" ht="15.75" customHeight="1">
      <c r="A648" s="599"/>
      <c r="B648" s="599"/>
      <c r="C648" s="599"/>
      <c r="D648" s="599"/>
      <c r="E648" s="599"/>
      <c r="F648" s="599"/>
      <c r="G648" s="599"/>
      <c r="H648" s="599"/>
      <c r="I648" s="599"/>
      <c r="J648" s="599"/>
      <c r="K648" s="599"/>
      <c r="L648" s="599"/>
      <c r="M648" s="599"/>
      <c r="N648" s="599"/>
      <c r="O648" s="599"/>
      <c r="P648" s="599"/>
      <c r="Q648" s="599"/>
      <c r="R648" s="599"/>
      <c r="S648" s="599"/>
      <c r="T648" s="599"/>
      <c r="U648" s="599"/>
      <c r="V648" s="599"/>
      <c r="W648" s="599"/>
      <c r="X648" s="599"/>
      <c r="Y648" s="599"/>
      <c r="Z648" s="599"/>
    </row>
    <row r="649" spans="1:26" ht="15.75" customHeight="1">
      <c r="A649" s="599"/>
      <c r="B649" s="599"/>
      <c r="C649" s="599"/>
      <c r="D649" s="599"/>
      <c r="E649" s="599"/>
      <c r="F649" s="599"/>
      <c r="G649" s="599"/>
      <c r="H649" s="599"/>
      <c r="I649" s="599"/>
      <c r="J649" s="599"/>
      <c r="K649" s="599"/>
      <c r="L649" s="599"/>
      <c r="M649" s="599"/>
      <c r="N649" s="599"/>
      <c r="O649" s="599"/>
      <c r="P649" s="599"/>
      <c r="Q649" s="599"/>
      <c r="R649" s="599"/>
      <c r="S649" s="599"/>
      <c r="T649" s="599"/>
      <c r="U649" s="599"/>
      <c r="V649" s="599"/>
      <c r="W649" s="599"/>
      <c r="X649" s="599"/>
      <c r="Y649" s="599"/>
      <c r="Z649" s="599"/>
    </row>
    <row r="650" spans="1:26" ht="15.75" customHeight="1">
      <c r="A650" s="599"/>
      <c r="B650" s="599"/>
      <c r="C650" s="599"/>
      <c r="D650" s="599"/>
      <c r="E650" s="599"/>
      <c r="F650" s="599"/>
      <c r="G650" s="599"/>
      <c r="H650" s="599"/>
      <c r="I650" s="599"/>
      <c r="J650" s="599"/>
      <c r="K650" s="599"/>
      <c r="L650" s="599"/>
      <c r="M650" s="599"/>
      <c r="N650" s="599"/>
      <c r="O650" s="599"/>
      <c r="P650" s="599"/>
      <c r="Q650" s="599"/>
      <c r="R650" s="599"/>
      <c r="S650" s="599"/>
      <c r="T650" s="599"/>
      <c r="U650" s="599"/>
      <c r="V650" s="599"/>
      <c r="W650" s="599"/>
      <c r="X650" s="599"/>
      <c r="Y650" s="599"/>
      <c r="Z650" s="599"/>
    </row>
    <row r="651" spans="1:26" ht="15.75" customHeight="1">
      <c r="A651" s="599"/>
      <c r="B651" s="599"/>
      <c r="C651" s="599"/>
      <c r="D651" s="599"/>
      <c r="E651" s="599"/>
      <c r="F651" s="599"/>
      <c r="G651" s="599"/>
      <c r="H651" s="599"/>
      <c r="I651" s="599"/>
      <c r="J651" s="599"/>
      <c r="K651" s="599"/>
      <c r="L651" s="599"/>
      <c r="M651" s="599"/>
      <c r="N651" s="599"/>
      <c r="O651" s="599"/>
      <c r="P651" s="599"/>
      <c r="Q651" s="599"/>
      <c r="R651" s="599"/>
      <c r="S651" s="599"/>
      <c r="T651" s="599"/>
      <c r="U651" s="599"/>
      <c r="V651" s="599"/>
      <c r="W651" s="599"/>
      <c r="X651" s="599"/>
      <c r="Y651" s="599"/>
      <c r="Z651" s="599"/>
    </row>
    <row r="652" spans="1:26" ht="15.75" customHeight="1">
      <c r="A652" s="599"/>
      <c r="B652" s="599"/>
      <c r="C652" s="599"/>
      <c r="D652" s="599"/>
      <c r="E652" s="599"/>
      <c r="F652" s="599"/>
      <c r="G652" s="599"/>
      <c r="H652" s="599"/>
      <c r="I652" s="599"/>
      <c r="J652" s="599"/>
      <c r="K652" s="599"/>
      <c r="L652" s="599"/>
      <c r="M652" s="599"/>
      <c r="N652" s="599"/>
      <c r="O652" s="599"/>
      <c r="P652" s="599"/>
      <c r="Q652" s="599"/>
      <c r="R652" s="599"/>
      <c r="S652" s="599"/>
      <c r="T652" s="599"/>
      <c r="U652" s="599"/>
      <c r="V652" s="599"/>
      <c r="W652" s="599"/>
      <c r="X652" s="599"/>
      <c r="Y652" s="599"/>
      <c r="Z652" s="599"/>
    </row>
    <row r="653" spans="1:26" ht="15.75" customHeight="1">
      <c r="A653" s="599"/>
      <c r="B653" s="599"/>
      <c r="C653" s="599"/>
      <c r="D653" s="599"/>
      <c r="E653" s="599"/>
      <c r="F653" s="599"/>
      <c r="G653" s="599"/>
      <c r="H653" s="599"/>
      <c r="I653" s="599"/>
      <c r="J653" s="599"/>
      <c r="K653" s="599"/>
      <c r="L653" s="599"/>
      <c r="M653" s="599"/>
      <c r="N653" s="599"/>
      <c r="O653" s="599"/>
      <c r="P653" s="599"/>
      <c r="Q653" s="599"/>
      <c r="R653" s="599"/>
      <c r="S653" s="599"/>
      <c r="T653" s="599"/>
      <c r="U653" s="599"/>
      <c r="V653" s="599"/>
      <c r="W653" s="599"/>
      <c r="X653" s="599"/>
      <c r="Y653" s="599"/>
      <c r="Z653" s="599"/>
    </row>
    <row r="654" spans="1:26" ht="15.75" customHeight="1">
      <c r="A654" s="599"/>
      <c r="B654" s="599"/>
      <c r="C654" s="599"/>
      <c r="D654" s="599"/>
      <c r="E654" s="599"/>
      <c r="F654" s="599"/>
      <c r="G654" s="599"/>
      <c r="H654" s="599"/>
      <c r="I654" s="599"/>
      <c r="J654" s="599"/>
      <c r="K654" s="599"/>
      <c r="L654" s="599"/>
      <c r="M654" s="599"/>
      <c r="N654" s="599"/>
      <c r="O654" s="599"/>
      <c r="P654" s="599"/>
      <c r="Q654" s="599"/>
      <c r="R654" s="599"/>
      <c r="S654" s="599"/>
      <c r="T654" s="599"/>
      <c r="U654" s="599"/>
      <c r="V654" s="599"/>
      <c r="W654" s="599"/>
      <c r="X654" s="599"/>
      <c r="Y654" s="599"/>
      <c r="Z654" s="599"/>
    </row>
    <row r="655" spans="1:26" ht="15.75" customHeight="1">
      <c r="A655" s="599"/>
      <c r="B655" s="599"/>
      <c r="C655" s="599"/>
      <c r="D655" s="599"/>
      <c r="E655" s="599"/>
      <c r="F655" s="599"/>
      <c r="G655" s="599"/>
      <c r="H655" s="599"/>
      <c r="I655" s="599"/>
      <c r="J655" s="599"/>
      <c r="K655" s="599"/>
      <c r="L655" s="599"/>
      <c r="M655" s="599"/>
      <c r="N655" s="599"/>
      <c r="O655" s="599"/>
      <c r="P655" s="599"/>
      <c r="Q655" s="599"/>
      <c r="R655" s="599"/>
      <c r="S655" s="599"/>
      <c r="T655" s="599"/>
      <c r="U655" s="599"/>
      <c r="V655" s="599"/>
      <c r="W655" s="599"/>
      <c r="X655" s="599"/>
      <c r="Y655" s="599"/>
      <c r="Z655" s="599"/>
    </row>
    <row r="656" spans="1:26" ht="15.75" customHeight="1">
      <c r="A656" s="599"/>
      <c r="B656" s="599"/>
      <c r="C656" s="599"/>
      <c r="D656" s="599"/>
      <c r="E656" s="599"/>
      <c r="F656" s="599"/>
      <c r="G656" s="599"/>
      <c r="H656" s="599"/>
      <c r="I656" s="599"/>
      <c r="J656" s="599"/>
      <c r="K656" s="599"/>
      <c r="L656" s="599"/>
      <c r="M656" s="599"/>
      <c r="N656" s="599"/>
      <c r="O656" s="599"/>
      <c r="P656" s="599"/>
      <c r="Q656" s="599"/>
      <c r="R656" s="599"/>
      <c r="S656" s="599"/>
      <c r="T656" s="599"/>
      <c r="U656" s="599"/>
      <c r="V656" s="599"/>
      <c r="W656" s="599"/>
      <c r="X656" s="599"/>
      <c r="Y656" s="599"/>
      <c r="Z656" s="599"/>
    </row>
    <row r="657" spans="1:26" ht="15.75" customHeight="1">
      <c r="A657" s="599"/>
      <c r="B657" s="599"/>
      <c r="C657" s="599"/>
      <c r="D657" s="599"/>
      <c r="E657" s="599"/>
      <c r="F657" s="599"/>
      <c r="G657" s="599"/>
      <c r="H657" s="599"/>
      <c r="I657" s="599"/>
      <c r="J657" s="599"/>
      <c r="K657" s="599"/>
      <c r="L657" s="599"/>
      <c r="M657" s="599"/>
      <c r="N657" s="599"/>
      <c r="O657" s="599"/>
      <c r="P657" s="599"/>
      <c r="Q657" s="599"/>
      <c r="R657" s="599"/>
      <c r="S657" s="599"/>
      <c r="T657" s="599"/>
      <c r="U657" s="599"/>
      <c r="V657" s="599"/>
      <c r="W657" s="599"/>
      <c r="X657" s="599"/>
      <c r="Y657" s="599"/>
      <c r="Z657" s="599"/>
    </row>
    <row r="658" spans="1:26" ht="15.75" customHeight="1">
      <c r="A658" s="599"/>
      <c r="B658" s="599"/>
      <c r="C658" s="599"/>
      <c r="D658" s="599"/>
      <c r="E658" s="599"/>
      <c r="F658" s="599"/>
      <c r="G658" s="599"/>
      <c r="H658" s="599"/>
      <c r="I658" s="599"/>
      <c r="J658" s="599"/>
      <c r="K658" s="599"/>
      <c r="L658" s="599"/>
      <c r="M658" s="599"/>
      <c r="N658" s="599"/>
      <c r="O658" s="599"/>
      <c r="P658" s="599"/>
      <c r="Q658" s="599"/>
      <c r="R658" s="599"/>
      <c r="S658" s="599"/>
      <c r="T658" s="599"/>
      <c r="U658" s="599"/>
      <c r="V658" s="599"/>
      <c r="W658" s="599"/>
      <c r="X658" s="599"/>
      <c r="Y658" s="599"/>
      <c r="Z658" s="599"/>
    </row>
    <row r="659" spans="1:26" ht="15.75" customHeight="1">
      <c r="A659" s="599"/>
      <c r="B659" s="599"/>
      <c r="C659" s="599"/>
      <c r="D659" s="599"/>
      <c r="E659" s="599"/>
      <c r="F659" s="599"/>
      <c r="G659" s="599"/>
      <c r="H659" s="599"/>
      <c r="I659" s="599"/>
      <c r="J659" s="599"/>
      <c r="K659" s="599"/>
      <c r="L659" s="599"/>
      <c r="M659" s="599"/>
      <c r="N659" s="599"/>
      <c r="O659" s="599"/>
      <c r="P659" s="599"/>
      <c r="Q659" s="599"/>
      <c r="R659" s="599"/>
      <c r="S659" s="599"/>
      <c r="T659" s="599"/>
      <c r="U659" s="599"/>
      <c r="V659" s="599"/>
      <c r="W659" s="599"/>
      <c r="X659" s="599"/>
      <c r="Y659" s="599"/>
      <c r="Z659" s="599"/>
    </row>
    <row r="660" spans="1:26" ht="15.75" customHeight="1">
      <c r="A660" s="599"/>
      <c r="B660" s="599"/>
      <c r="C660" s="599"/>
      <c r="D660" s="599"/>
      <c r="E660" s="599"/>
      <c r="F660" s="599"/>
      <c r="G660" s="599"/>
      <c r="H660" s="599"/>
      <c r="I660" s="599"/>
      <c r="J660" s="599"/>
      <c r="K660" s="599"/>
      <c r="L660" s="599"/>
      <c r="M660" s="599"/>
      <c r="N660" s="599"/>
      <c r="O660" s="599"/>
      <c r="P660" s="599"/>
      <c r="Q660" s="599"/>
      <c r="R660" s="599"/>
      <c r="S660" s="599"/>
      <c r="T660" s="599"/>
      <c r="U660" s="599"/>
      <c r="V660" s="599"/>
      <c r="W660" s="599"/>
      <c r="X660" s="599"/>
      <c r="Y660" s="599"/>
      <c r="Z660" s="599"/>
    </row>
    <row r="661" spans="1:26" ht="15.75" customHeight="1">
      <c r="A661" s="599"/>
      <c r="B661" s="599"/>
      <c r="C661" s="599"/>
      <c r="D661" s="599"/>
      <c r="E661" s="599"/>
      <c r="F661" s="599"/>
      <c r="G661" s="599"/>
      <c r="H661" s="599"/>
      <c r="I661" s="599"/>
      <c r="J661" s="599"/>
      <c r="K661" s="599"/>
      <c r="L661" s="599"/>
      <c r="M661" s="599"/>
      <c r="N661" s="599"/>
      <c r="O661" s="599"/>
      <c r="P661" s="599"/>
      <c r="Q661" s="599"/>
      <c r="R661" s="599"/>
      <c r="S661" s="599"/>
      <c r="T661" s="599"/>
      <c r="U661" s="599"/>
      <c r="V661" s="599"/>
      <c r="W661" s="599"/>
      <c r="X661" s="599"/>
      <c r="Y661" s="599"/>
      <c r="Z661" s="599"/>
    </row>
    <row r="662" spans="1:26" ht="15.75" customHeight="1">
      <c r="A662" s="599"/>
      <c r="B662" s="599"/>
      <c r="C662" s="599"/>
      <c r="D662" s="599"/>
      <c r="E662" s="599"/>
      <c r="F662" s="599"/>
      <c r="G662" s="599"/>
      <c r="H662" s="599"/>
      <c r="I662" s="599"/>
      <c r="J662" s="599"/>
      <c r="K662" s="599"/>
      <c r="L662" s="599"/>
      <c r="M662" s="599"/>
      <c r="N662" s="599"/>
      <c r="O662" s="599"/>
      <c r="P662" s="599"/>
      <c r="Q662" s="599"/>
      <c r="R662" s="599"/>
      <c r="S662" s="599"/>
      <c r="T662" s="599"/>
      <c r="U662" s="599"/>
      <c r="V662" s="599"/>
      <c r="W662" s="599"/>
      <c r="X662" s="599"/>
      <c r="Y662" s="599"/>
      <c r="Z662" s="599"/>
    </row>
    <row r="663" spans="1:26" ht="15.75" customHeight="1">
      <c r="A663" s="599"/>
      <c r="B663" s="599"/>
      <c r="C663" s="599"/>
      <c r="D663" s="599"/>
      <c r="E663" s="599"/>
      <c r="F663" s="599"/>
      <c r="G663" s="599"/>
      <c r="H663" s="599"/>
      <c r="I663" s="599"/>
      <c r="J663" s="599"/>
      <c r="K663" s="599"/>
      <c r="L663" s="599"/>
      <c r="M663" s="599"/>
      <c r="N663" s="599"/>
      <c r="O663" s="599"/>
      <c r="P663" s="599"/>
      <c r="Q663" s="599"/>
      <c r="R663" s="599"/>
      <c r="S663" s="599"/>
      <c r="T663" s="599"/>
      <c r="U663" s="599"/>
      <c r="V663" s="599"/>
      <c r="W663" s="599"/>
      <c r="X663" s="599"/>
      <c r="Y663" s="599"/>
      <c r="Z663" s="599"/>
    </row>
    <row r="664" spans="1:26" ht="15.75" customHeight="1">
      <c r="A664" s="599"/>
      <c r="B664" s="599"/>
      <c r="C664" s="599"/>
      <c r="D664" s="599"/>
      <c r="E664" s="599"/>
      <c r="F664" s="599"/>
      <c r="G664" s="599"/>
      <c r="H664" s="599"/>
      <c r="I664" s="599"/>
      <c r="J664" s="599"/>
      <c r="K664" s="599"/>
      <c r="L664" s="599"/>
      <c r="M664" s="599"/>
      <c r="N664" s="599"/>
      <c r="O664" s="599"/>
      <c r="P664" s="599"/>
      <c r="Q664" s="599"/>
      <c r="R664" s="599"/>
      <c r="S664" s="599"/>
      <c r="T664" s="599"/>
      <c r="U664" s="599"/>
      <c r="V664" s="599"/>
      <c r="W664" s="599"/>
      <c r="X664" s="599"/>
      <c r="Y664" s="599"/>
      <c r="Z664" s="599"/>
    </row>
    <row r="665" spans="1:26" ht="15.75" customHeight="1">
      <c r="A665" s="599"/>
      <c r="B665" s="599"/>
      <c r="C665" s="599"/>
      <c r="D665" s="599"/>
      <c r="E665" s="599"/>
      <c r="F665" s="599"/>
      <c r="G665" s="599"/>
      <c r="H665" s="599"/>
      <c r="I665" s="599"/>
      <c r="J665" s="599"/>
      <c r="K665" s="599"/>
      <c r="L665" s="599"/>
      <c r="M665" s="599"/>
      <c r="N665" s="599"/>
      <c r="O665" s="599"/>
      <c r="P665" s="599"/>
      <c r="Q665" s="599"/>
      <c r="R665" s="599"/>
      <c r="S665" s="599"/>
      <c r="T665" s="599"/>
      <c r="U665" s="599"/>
      <c r="V665" s="599"/>
      <c r="W665" s="599"/>
      <c r="X665" s="599"/>
      <c r="Y665" s="599"/>
      <c r="Z665" s="599"/>
    </row>
    <row r="666" spans="1:26" ht="15.75" customHeight="1">
      <c r="A666" s="599"/>
      <c r="B666" s="599"/>
      <c r="C666" s="599"/>
      <c r="D666" s="599"/>
      <c r="E666" s="599"/>
      <c r="F666" s="599"/>
      <c r="G666" s="599"/>
      <c r="H666" s="599"/>
      <c r="I666" s="599"/>
      <c r="J666" s="599"/>
      <c r="K666" s="599"/>
      <c r="L666" s="599"/>
      <c r="M666" s="599"/>
      <c r="N666" s="599"/>
      <c r="O666" s="599"/>
      <c r="P666" s="599"/>
      <c r="Q666" s="599"/>
      <c r="R666" s="599"/>
      <c r="S666" s="599"/>
      <c r="T666" s="599"/>
      <c r="U666" s="599"/>
      <c r="V666" s="599"/>
      <c r="W666" s="599"/>
      <c r="X666" s="599"/>
      <c r="Y666" s="599"/>
      <c r="Z666" s="599"/>
    </row>
    <row r="667" spans="1:26" ht="15.75" customHeight="1">
      <c r="A667" s="599"/>
      <c r="B667" s="599"/>
      <c r="C667" s="599"/>
      <c r="D667" s="599"/>
      <c r="E667" s="599"/>
      <c r="F667" s="599"/>
      <c r="G667" s="599"/>
      <c r="H667" s="599"/>
      <c r="I667" s="599"/>
      <c r="J667" s="599"/>
      <c r="K667" s="599"/>
      <c r="L667" s="599"/>
      <c r="M667" s="599"/>
      <c r="N667" s="599"/>
      <c r="O667" s="599"/>
      <c r="P667" s="599"/>
      <c r="Q667" s="599"/>
      <c r="R667" s="599"/>
      <c r="S667" s="599"/>
      <c r="T667" s="599"/>
      <c r="U667" s="599"/>
      <c r="V667" s="599"/>
      <c r="W667" s="599"/>
      <c r="X667" s="599"/>
      <c r="Y667" s="599"/>
      <c r="Z667" s="599"/>
    </row>
    <row r="668" spans="1:26" ht="15.75" customHeight="1">
      <c r="A668" s="599"/>
      <c r="B668" s="599"/>
      <c r="C668" s="599"/>
      <c r="D668" s="599"/>
      <c r="E668" s="599"/>
      <c r="F668" s="599"/>
      <c r="G668" s="599"/>
      <c r="H668" s="599"/>
      <c r="I668" s="599"/>
      <c r="J668" s="599"/>
      <c r="K668" s="599"/>
      <c r="L668" s="599"/>
      <c r="M668" s="599"/>
      <c r="N668" s="599"/>
      <c r="O668" s="599"/>
      <c r="P668" s="599"/>
      <c r="Q668" s="599"/>
      <c r="R668" s="599"/>
      <c r="S668" s="599"/>
      <c r="T668" s="599"/>
      <c r="U668" s="599"/>
      <c r="V668" s="599"/>
      <c r="W668" s="599"/>
      <c r="X668" s="599"/>
      <c r="Y668" s="599"/>
      <c r="Z668" s="599"/>
    </row>
    <row r="669" spans="1:26" ht="15.75" customHeight="1">
      <c r="A669" s="599"/>
      <c r="B669" s="599"/>
      <c r="C669" s="599"/>
      <c r="D669" s="599"/>
      <c r="E669" s="599"/>
      <c r="F669" s="599"/>
      <c r="G669" s="599"/>
      <c r="H669" s="599"/>
      <c r="I669" s="599"/>
      <c r="J669" s="599"/>
      <c r="K669" s="599"/>
      <c r="L669" s="599"/>
      <c r="M669" s="599"/>
      <c r="N669" s="599"/>
      <c r="O669" s="599"/>
      <c r="P669" s="599"/>
      <c r="Q669" s="599"/>
      <c r="R669" s="599"/>
      <c r="S669" s="599"/>
      <c r="T669" s="599"/>
      <c r="U669" s="599"/>
      <c r="V669" s="599"/>
      <c r="W669" s="599"/>
      <c r="X669" s="599"/>
      <c r="Y669" s="599"/>
      <c r="Z669" s="599"/>
    </row>
    <row r="670" spans="1:26" ht="15.75" customHeight="1">
      <c r="A670" s="599"/>
      <c r="B670" s="599"/>
      <c r="C670" s="599"/>
      <c r="D670" s="599"/>
      <c r="E670" s="599"/>
      <c r="F670" s="599"/>
      <c r="G670" s="599"/>
      <c r="H670" s="599"/>
      <c r="I670" s="599"/>
      <c r="J670" s="599"/>
      <c r="K670" s="599"/>
      <c r="L670" s="599"/>
      <c r="M670" s="599"/>
      <c r="N670" s="599"/>
      <c r="O670" s="599"/>
      <c r="P670" s="599"/>
      <c r="Q670" s="599"/>
      <c r="R670" s="599"/>
      <c r="S670" s="599"/>
      <c r="T670" s="599"/>
      <c r="U670" s="599"/>
      <c r="V670" s="599"/>
      <c r="W670" s="599"/>
      <c r="X670" s="599"/>
      <c r="Y670" s="599"/>
      <c r="Z670" s="599"/>
    </row>
    <row r="671" spans="1:26" ht="15.75" customHeight="1">
      <c r="A671" s="599"/>
      <c r="B671" s="599"/>
      <c r="C671" s="599"/>
      <c r="D671" s="599"/>
      <c r="E671" s="599"/>
      <c r="F671" s="599"/>
      <c r="G671" s="599"/>
      <c r="H671" s="599"/>
      <c r="I671" s="599"/>
      <c r="J671" s="599"/>
      <c r="K671" s="599"/>
      <c r="L671" s="599"/>
      <c r="M671" s="599"/>
      <c r="N671" s="599"/>
      <c r="O671" s="599"/>
      <c r="P671" s="599"/>
      <c r="Q671" s="599"/>
      <c r="R671" s="599"/>
      <c r="S671" s="599"/>
      <c r="T671" s="599"/>
      <c r="U671" s="599"/>
      <c r="V671" s="599"/>
      <c r="W671" s="599"/>
      <c r="X671" s="599"/>
      <c r="Y671" s="599"/>
      <c r="Z671" s="599"/>
    </row>
    <row r="672" spans="1:26" ht="15.75" customHeight="1">
      <c r="A672" s="599"/>
      <c r="B672" s="599"/>
      <c r="C672" s="599"/>
      <c r="D672" s="599"/>
      <c r="E672" s="599"/>
      <c r="F672" s="599"/>
      <c r="G672" s="599"/>
      <c r="H672" s="599"/>
      <c r="I672" s="599"/>
      <c r="J672" s="599"/>
      <c r="K672" s="599"/>
      <c r="L672" s="599"/>
      <c r="M672" s="599"/>
      <c r="N672" s="599"/>
      <c r="O672" s="599"/>
      <c r="P672" s="599"/>
      <c r="Q672" s="599"/>
      <c r="R672" s="599"/>
      <c r="S672" s="599"/>
      <c r="T672" s="599"/>
      <c r="U672" s="599"/>
      <c r="V672" s="599"/>
      <c r="W672" s="599"/>
      <c r="X672" s="599"/>
      <c r="Y672" s="599"/>
      <c r="Z672" s="599"/>
    </row>
    <row r="673" spans="1:26" ht="15.75" customHeight="1">
      <c r="A673" s="599"/>
      <c r="B673" s="599"/>
      <c r="C673" s="599"/>
      <c r="D673" s="599"/>
      <c r="E673" s="599"/>
      <c r="F673" s="599"/>
      <c r="G673" s="599"/>
      <c r="H673" s="599"/>
      <c r="I673" s="599"/>
      <c r="J673" s="599"/>
      <c r="K673" s="599"/>
      <c r="L673" s="599"/>
      <c r="M673" s="599"/>
      <c r="N673" s="599"/>
      <c r="O673" s="599"/>
      <c r="P673" s="599"/>
      <c r="Q673" s="599"/>
      <c r="R673" s="599"/>
      <c r="S673" s="599"/>
      <c r="T673" s="599"/>
      <c r="U673" s="599"/>
      <c r="V673" s="599"/>
      <c r="W673" s="599"/>
      <c r="X673" s="599"/>
      <c r="Y673" s="599"/>
      <c r="Z673" s="599"/>
    </row>
    <row r="674" spans="1:26" ht="15.75" customHeight="1">
      <c r="A674" s="599"/>
      <c r="B674" s="599"/>
      <c r="C674" s="599"/>
      <c r="D674" s="599"/>
      <c r="E674" s="599"/>
      <c r="F674" s="599"/>
      <c r="G674" s="599"/>
      <c r="H674" s="599"/>
      <c r="I674" s="599"/>
      <c r="J674" s="599"/>
      <c r="K674" s="599"/>
      <c r="L674" s="599"/>
      <c r="M674" s="599"/>
      <c r="N674" s="599"/>
      <c r="O674" s="599"/>
      <c r="P674" s="599"/>
      <c r="Q674" s="599"/>
      <c r="R674" s="599"/>
      <c r="S674" s="599"/>
      <c r="T674" s="599"/>
      <c r="U674" s="599"/>
      <c r="V674" s="599"/>
      <c r="W674" s="599"/>
      <c r="X674" s="599"/>
      <c r="Y674" s="599"/>
      <c r="Z674" s="599"/>
    </row>
    <row r="675" spans="1:26" ht="15.75" customHeight="1">
      <c r="A675" s="599"/>
      <c r="B675" s="599"/>
      <c r="C675" s="599"/>
      <c r="D675" s="599"/>
      <c r="E675" s="599"/>
      <c r="F675" s="599"/>
      <c r="G675" s="599"/>
      <c r="H675" s="599"/>
      <c r="I675" s="599"/>
      <c r="J675" s="599"/>
      <c r="K675" s="599"/>
      <c r="L675" s="599"/>
      <c r="M675" s="599"/>
      <c r="N675" s="599"/>
      <c r="O675" s="599"/>
      <c r="P675" s="599"/>
      <c r="Q675" s="599"/>
      <c r="R675" s="599"/>
      <c r="S675" s="599"/>
      <c r="T675" s="599"/>
      <c r="U675" s="599"/>
      <c r="V675" s="599"/>
      <c r="W675" s="599"/>
      <c r="X675" s="599"/>
      <c r="Y675" s="599"/>
      <c r="Z675" s="599"/>
    </row>
    <row r="676" spans="1:26" ht="15.75" customHeight="1">
      <c r="A676" s="599"/>
      <c r="B676" s="599"/>
      <c r="C676" s="599"/>
      <c r="D676" s="599"/>
      <c r="E676" s="599"/>
      <c r="F676" s="599"/>
      <c r="G676" s="599"/>
      <c r="H676" s="599"/>
      <c r="I676" s="599"/>
      <c r="J676" s="599"/>
      <c r="K676" s="599"/>
      <c r="L676" s="599"/>
      <c r="M676" s="599"/>
      <c r="N676" s="599"/>
      <c r="O676" s="599"/>
      <c r="P676" s="599"/>
      <c r="Q676" s="599"/>
      <c r="R676" s="599"/>
      <c r="S676" s="599"/>
      <c r="T676" s="599"/>
      <c r="U676" s="599"/>
      <c r="V676" s="599"/>
      <c r="W676" s="599"/>
      <c r="X676" s="599"/>
      <c r="Y676" s="599"/>
      <c r="Z676" s="599"/>
    </row>
    <row r="677" spans="1:26" ht="15.75" customHeight="1">
      <c r="A677" s="599"/>
      <c r="B677" s="599"/>
      <c r="C677" s="599"/>
      <c r="D677" s="599"/>
      <c r="E677" s="599"/>
      <c r="F677" s="599"/>
      <c r="G677" s="599"/>
      <c r="H677" s="599"/>
      <c r="I677" s="599"/>
      <c r="J677" s="599"/>
      <c r="K677" s="599"/>
      <c r="L677" s="599"/>
      <c r="M677" s="599"/>
      <c r="N677" s="599"/>
      <c r="O677" s="599"/>
      <c r="P677" s="599"/>
      <c r="Q677" s="599"/>
      <c r="R677" s="599"/>
      <c r="S677" s="599"/>
      <c r="T677" s="599"/>
      <c r="U677" s="599"/>
      <c r="V677" s="599"/>
      <c r="W677" s="599"/>
      <c r="X677" s="599"/>
      <c r="Y677" s="599"/>
      <c r="Z677" s="599"/>
    </row>
    <row r="678" spans="1:26" ht="15.75" customHeight="1">
      <c r="A678" s="599"/>
      <c r="B678" s="599"/>
      <c r="C678" s="599"/>
      <c r="D678" s="599"/>
      <c r="E678" s="599"/>
      <c r="F678" s="599"/>
      <c r="G678" s="599"/>
      <c r="H678" s="599"/>
      <c r="I678" s="599"/>
      <c r="J678" s="599"/>
      <c r="K678" s="599"/>
      <c r="L678" s="599"/>
      <c r="M678" s="599"/>
      <c r="N678" s="599"/>
      <c r="O678" s="599"/>
      <c r="P678" s="599"/>
      <c r="Q678" s="599"/>
      <c r="R678" s="599"/>
      <c r="S678" s="599"/>
      <c r="T678" s="599"/>
      <c r="U678" s="599"/>
      <c r="V678" s="599"/>
      <c r="W678" s="599"/>
      <c r="X678" s="599"/>
      <c r="Y678" s="599"/>
      <c r="Z678" s="599"/>
    </row>
    <row r="679" spans="1:26" ht="15.75" customHeight="1">
      <c r="A679" s="599"/>
      <c r="B679" s="599"/>
      <c r="C679" s="599"/>
      <c r="D679" s="599"/>
      <c r="E679" s="599"/>
      <c r="F679" s="599"/>
      <c r="G679" s="599"/>
      <c r="H679" s="599"/>
      <c r="I679" s="599"/>
      <c r="J679" s="599"/>
      <c r="K679" s="599"/>
      <c r="L679" s="599"/>
      <c r="M679" s="599"/>
      <c r="N679" s="599"/>
      <c r="O679" s="599"/>
      <c r="P679" s="599"/>
      <c r="Q679" s="599"/>
      <c r="R679" s="599"/>
      <c r="S679" s="599"/>
      <c r="T679" s="599"/>
      <c r="U679" s="599"/>
      <c r="V679" s="599"/>
      <c r="W679" s="599"/>
      <c r="X679" s="599"/>
      <c r="Y679" s="599"/>
      <c r="Z679" s="599"/>
    </row>
    <row r="680" spans="1:26" ht="15.75" customHeight="1">
      <c r="A680" s="599"/>
      <c r="B680" s="599"/>
      <c r="C680" s="599"/>
      <c r="D680" s="599"/>
      <c r="E680" s="599"/>
      <c r="F680" s="599"/>
      <c r="G680" s="599"/>
      <c r="H680" s="599"/>
      <c r="I680" s="599"/>
      <c r="J680" s="599"/>
      <c r="K680" s="599"/>
      <c r="L680" s="599"/>
      <c r="M680" s="599"/>
      <c r="N680" s="599"/>
      <c r="O680" s="599"/>
      <c r="P680" s="599"/>
      <c r="Q680" s="599"/>
      <c r="R680" s="599"/>
      <c r="S680" s="599"/>
      <c r="T680" s="599"/>
      <c r="U680" s="599"/>
      <c r="V680" s="599"/>
      <c r="W680" s="599"/>
      <c r="X680" s="599"/>
      <c r="Y680" s="599"/>
      <c r="Z680" s="599"/>
    </row>
    <row r="681" spans="1:26" ht="15.75" customHeight="1">
      <c r="A681" s="599"/>
      <c r="B681" s="599"/>
      <c r="C681" s="599"/>
      <c r="D681" s="599"/>
      <c r="E681" s="599"/>
      <c r="F681" s="599"/>
      <c r="G681" s="599"/>
      <c r="H681" s="599"/>
      <c r="I681" s="599"/>
      <c r="J681" s="599"/>
      <c r="K681" s="599"/>
      <c r="L681" s="599"/>
      <c r="M681" s="599"/>
      <c r="N681" s="599"/>
      <c r="O681" s="599"/>
      <c r="P681" s="599"/>
      <c r="Q681" s="599"/>
      <c r="R681" s="599"/>
      <c r="S681" s="599"/>
      <c r="T681" s="599"/>
      <c r="U681" s="599"/>
      <c r="V681" s="599"/>
      <c r="W681" s="599"/>
      <c r="X681" s="599"/>
      <c r="Y681" s="599"/>
      <c r="Z681" s="599"/>
    </row>
    <row r="682" spans="1:26" ht="15.75" customHeight="1">
      <c r="A682" s="599"/>
      <c r="B682" s="599"/>
      <c r="C682" s="599"/>
      <c r="D682" s="599"/>
      <c r="E682" s="599"/>
      <c r="F682" s="599"/>
      <c r="G682" s="599"/>
      <c r="H682" s="599"/>
      <c r="I682" s="599"/>
      <c r="J682" s="599"/>
      <c r="K682" s="599"/>
      <c r="L682" s="599"/>
      <c r="M682" s="599"/>
      <c r="N682" s="599"/>
      <c r="O682" s="599"/>
      <c r="P682" s="599"/>
      <c r="Q682" s="599"/>
      <c r="R682" s="599"/>
      <c r="S682" s="599"/>
      <c r="T682" s="599"/>
      <c r="U682" s="599"/>
      <c r="V682" s="599"/>
      <c r="W682" s="599"/>
      <c r="X682" s="599"/>
      <c r="Y682" s="599"/>
      <c r="Z682" s="599"/>
    </row>
    <row r="683" spans="1:26" ht="15.75" customHeight="1">
      <c r="A683" s="599"/>
      <c r="B683" s="599"/>
      <c r="C683" s="599"/>
      <c r="D683" s="599"/>
      <c r="E683" s="599"/>
      <c r="F683" s="599"/>
      <c r="G683" s="599"/>
      <c r="H683" s="599"/>
      <c r="I683" s="599"/>
      <c r="J683" s="599"/>
      <c r="K683" s="599"/>
      <c r="L683" s="599"/>
      <c r="M683" s="599"/>
      <c r="N683" s="599"/>
      <c r="O683" s="599"/>
      <c r="P683" s="599"/>
      <c r="Q683" s="599"/>
      <c r="R683" s="599"/>
      <c r="S683" s="599"/>
      <c r="T683" s="599"/>
      <c r="U683" s="599"/>
      <c r="V683" s="599"/>
      <c r="W683" s="599"/>
      <c r="X683" s="599"/>
      <c r="Y683" s="599"/>
      <c r="Z683" s="599"/>
    </row>
    <row r="684" spans="1:26" ht="15.75" customHeight="1">
      <c r="A684" s="599"/>
      <c r="B684" s="599"/>
      <c r="C684" s="599"/>
      <c r="D684" s="599"/>
      <c r="E684" s="599"/>
      <c r="F684" s="599"/>
      <c r="G684" s="599"/>
      <c r="H684" s="599"/>
      <c r="I684" s="599"/>
      <c r="J684" s="599"/>
      <c r="K684" s="599"/>
      <c r="L684" s="599"/>
      <c r="M684" s="599"/>
      <c r="N684" s="599"/>
      <c r="O684" s="599"/>
      <c r="P684" s="599"/>
      <c r="Q684" s="599"/>
      <c r="R684" s="599"/>
      <c r="S684" s="599"/>
      <c r="T684" s="599"/>
      <c r="U684" s="599"/>
      <c r="V684" s="599"/>
      <c r="W684" s="599"/>
      <c r="X684" s="599"/>
      <c r="Y684" s="599"/>
      <c r="Z684" s="599"/>
    </row>
    <row r="685" spans="1:26" ht="15.75" customHeight="1">
      <c r="A685" s="599"/>
      <c r="B685" s="599"/>
      <c r="C685" s="599"/>
      <c r="D685" s="599"/>
      <c r="E685" s="599"/>
      <c r="F685" s="599"/>
      <c r="G685" s="599"/>
      <c r="H685" s="599"/>
      <c r="I685" s="599"/>
      <c r="J685" s="599"/>
      <c r="K685" s="599"/>
      <c r="L685" s="599"/>
      <c r="M685" s="599"/>
      <c r="N685" s="599"/>
      <c r="O685" s="599"/>
      <c r="P685" s="599"/>
      <c r="Q685" s="599"/>
      <c r="R685" s="599"/>
      <c r="S685" s="599"/>
      <c r="T685" s="599"/>
      <c r="U685" s="599"/>
      <c r="V685" s="599"/>
      <c r="W685" s="599"/>
      <c r="X685" s="599"/>
      <c r="Y685" s="599"/>
      <c r="Z685" s="599"/>
    </row>
    <row r="686" spans="1:26" ht="15.75" customHeight="1">
      <c r="A686" s="599"/>
      <c r="B686" s="599"/>
      <c r="C686" s="599"/>
      <c r="D686" s="599"/>
      <c r="E686" s="599"/>
      <c r="F686" s="599"/>
      <c r="G686" s="599"/>
      <c r="H686" s="599"/>
      <c r="I686" s="599"/>
      <c r="J686" s="599"/>
      <c r="K686" s="599"/>
      <c r="L686" s="599"/>
      <c r="M686" s="599"/>
      <c r="N686" s="599"/>
      <c r="O686" s="599"/>
      <c r="P686" s="599"/>
      <c r="Q686" s="599"/>
      <c r="R686" s="599"/>
      <c r="S686" s="599"/>
      <c r="T686" s="599"/>
      <c r="U686" s="599"/>
      <c r="V686" s="599"/>
      <c r="W686" s="599"/>
      <c r="X686" s="599"/>
      <c r="Y686" s="599"/>
      <c r="Z686" s="599"/>
    </row>
    <row r="687" spans="1:26" ht="15.75" customHeight="1">
      <c r="A687" s="599"/>
      <c r="B687" s="599"/>
      <c r="C687" s="599"/>
      <c r="D687" s="599"/>
      <c r="E687" s="599"/>
      <c r="F687" s="599"/>
      <c r="G687" s="599"/>
      <c r="H687" s="599"/>
      <c r="I687" s="599"/>
      <c r="J687" s="599"/>
      <c r="K687" s="599"/>
      <c r="L687" s="599"/>
      <c r="M687" s="599"/>
      <c r="N687" s="599"/>
      <c r="O687" s="599"/>
      <c r="P687" s="599"/>
      <c r="Q687" s="599"/>
      <c r="R687" s="599"/>
      <c r="S687" s="599"/>
      <c r="T687" s="599"/>
      <c r="U687" s="599"/>
      <c r="V687" s="599"/>
      <c r="W687" s="599"/>
      <c r="X687" s="599"/>
      <c r="Y687" s="599"/>
      <c r="Z687" s="599"/>
    </row>
    <row r="688" spans="1:26" ht="15.75" customHeight="1">
      <c r="A688" s="599"/>
      <c r="B688" s="599"/>
      <c r="C688" s="599"/>
      <c r="D688" s="599"/>
      <c r="E688" s="599"/>
      <c r="F688" s="599"/>
      <c r="G688" s="599"/>
      <c r="H688" s="599"/>
      <c r="I688" s="599"/>
      <c r="J688" s="599"/>
      <c r="K688" s="599"/>
      <c r="L688" s="599"/>
      <c r="M688" s="599"/>
      <c r="N688" s="599"/>
      <c r="O688" s="599"/>
      <c r="P688" s="599"/>
      <c r="Q688" s="599"/>
      <c r="R688" s="599"/>
      <c r="S688" s="599"/>
      <c r="T688" s="599"/>
      <c r="U688" s="599"/>
      <c r="V688" s="599"/>
      <c r="W688" s="599"/>
      <c r="X688" s="599"/>
      <c r="Y688" s="599"/>
      <c r="Z688" s="599"/>
    </row>
    <row r="689" spans="1:26" ht="15.75" customHeight="1">
      <c r="A689" s="599"/>
      <c r="B689" s="599"/>
      <c r="C689" s="599"/>
      <c r="D689" s="599"/>
      <c r="E689" s="599"/>
      <c r="F689" s="599"/>
      <c r="G689" s="599"/>
      <c r="H689" s="599"/>
      <c r="I689" s="599"/>
      <c r="J689" s="599"/>
      <c r="K689" s="599"/>
      <c r="L689" s="599"/>
      <c r="M689" s="599"/>
      <c r="N689" s="599"/>
      <c r="O689" s="599"/>
      <c r="P689" s="599"/>
      <c r="Q689" s="599"/>
      <c r="R689" s="599"/>
      <c r="S689" s="599"/>
      <c r="T689" s="599"/>
      <c r="U689" s="599"/>
      <c r="V689" s="599"/>
      <c r="W689" s="599"/>
      <c r="X689" s="599"/>
      <c r="Y689" s="599"/>
      <c r="Z689" s="599"/>
    </row>
    <row r="690" spans="1:26" ht="15.75" customHeight="1">
      <c r="A690" s="599"/>
      <c r="B690" s="599"/>
      <c r="C690" s="599"/>
      <c r="D690" s="599"/>
      <c r="E690" s="599"/>
      <c r="F690" s="599"/>
      <c r="G690" s="599"/>
      <c r="H690" s="599"/>
      <c r="I690" s="599"/>
      <c r="J690" s="599"/>
      <c r="K690" s="599"/>
      <c r="L690" s="599"/>
      <c r="M690" s="599"/>
      <c r="N690" s="599"/>
      <c r="O690" s="599"/>
      <c r="P690" s="599"/>
      <c r="Q690" s="599"/>
      <c r="R690" s="599"/>
      <c r="S690" s="599"/>
      <c r="T690" s="599"/>
      <c r="U690" s="599"/>
      <c r="V690" s="599"/>
      <c r="W690" s="599"/>
      <c r="X690" s="599"/>
      <c r="Y690" s="599"/>
      <c r="Z690" s="599"/>
    </row>
    <row r="691" spans="1:26" ht="15.75" customHeight="1">
      <c r="A691" s="599"/>
      <c r="B691" s="599"/>
      <c r="C691" s="599"/>
      <c r="D691" s="599"/>
      <c r="E691" s="599"/>
      <c r="F691" s="599"/>
      <c r="G691" s="599"/>
      <c r="H691" s="599"/>
      <c r="I691" s="599"/>
      <c r="J691" s="599"/>
      <c r="K691" s="599"/>
      <c r="L691" s="599"/>
      <c r="M691" s="599"/>
      <c r="N691" s="599"/>
      <c r="O691" s="599"/>
      <c r="P691" s="599"/>
      <c r="Q691" s="599"/>
      <c r="R691" s="599"/>
      <c r="S691" s="599"/>
      <c r="T691" s="599"/>
      <c r="U691" s="599"/>
      <c r="V691" s="599"/>
      <c r="W691" s="599"/>
      <c r="X691" s="599"/>
      <c r="Y691" s="599"/>
      <c r="Z691" s="599"/>
    </row>
    <row r="692" spans="1:26" ht="15.75" customHeight="1">
      <c r="A692" s="599"/>
      <c r="B692" s="599"/>
      <c r="C692" s="599"/>
      <c r="D692" s="599"/>
      <c r="E692" s="599"/>
      <c r="F692" s="599"/>
      <c r="G692" s="599"/>
      <c r="H692" s="599"/>
      <c r="I692" s="599"/>
      <c r="J692" s="599"/>
      <c r="K692" s="599"/>
      <c r="L692" s="599"/>
      <c r="M692" s="599"/>
      <c r="N692" s="599"/>
      <c r="O692" s="599"/>
      <c r="P692" s="599"/>
      <c r="Q692" s="599"/>
      <c r="R692" s="599"/>
      <c r="S692" s="599"/>
      <c r="T692" s="599"/>
      <c r="U692" s="599"/>
      <c r="V692" s="599"/>
      <c r="W692" s="599"/>
      <c r="X692" s="599"/>
      <c r="Y692" s="599"/>
      <c r="Z692" s="599"/>
    </row>
    <row r="693" spans="1:26" ht="15.75" customHeight="1">
      <c r="A693" s="599"/>
      <c r="B693" s="599"/>
      <c r="C693" s="599"/>
      <c r="D693" s="599"/>
      <c r="E693" s="599"/>
      <c r="F693" s="599"/>
      <c r="G693" s="599"/>
      <c r="H693" s="599"/>
      <c r="I693" s="599"/>
      <c r="J693" s="599"/>
      <c r="K693" s="599"/>
      <c r="L693" s="599"/>
      <c r="M693" s="599"/>
      <c r="N693" s="599"/>
      <c r="O693" s="599"/>
      <c r="P693" s="599"/>
      <c r="Q693" s="599"/>
      <c r="R693" s="599"/>
      <c r="S693" s="599"/>
      <c r="T693" s="599"/>
      <c r="U693" s="599"/>
      <c r="V693" s="599"/>
      <c r="W693" s="599"/>
      <c r="X693" s="599"/>
      <c r="Y693" s="599"/>
      <c r="Z693" s="599"/>
    </row>
    <row r="694" spans="1:26" ht="15.75" customHeight="1">
      <c r="A694" s="599"/>
      <c r="B694" s="599"/>
      <c r="C694" s="599"/>
      <c r="D694" s="599"/>
      <c r="E694" s="599"/>
      <c r="F694" s="599"/>
      <c r="G694" s="599"/>
      <c r="H694" s="599"/>
      <c r="I694" s="599"/>
      <c r="J694" s="599"/>
      <c r="K694" s="599"/>
      <c r="L694" s="599"/>
      <c r="M694" s="599"/>
      <c r="N694" s="599"/>
      <c r="O694" s="599"/>
      <c r="P694" s="599"/>
      <c r="Q694" s="599"/>
      <c r="R694" s="599"/>
      <c r="S694" s="599"/>
      <c r="T694" s="599"/>
      <c r="U694" s="599"/>
      <c r="V694" s="599"/>
      <c r="W694" s="599"/>
      <c r="X694" s="599"/>
      <c r="Y694" s="599"/>
      <c r="Z694" s="599"/>
    </row>
    <row r="695" spans="1:26" ht="15.75" customHeight="1">
      <c r="A695" s="599"/>
      <c r="B695" s="599"/>
      <c r="C695" s="599"/>
      <c r="D695" s="599"/>
      <c r="E695" s="599"/>
      <c r="F695" s="599"/>
      <c r="G695" s="599"/>
      <c r="H695" s="599"/>
      <c r="I695" s="599"/>
      <c r="J695" s="599"/>
      <c r="K695" s="599"/>
      <c r="L695" s="599"/>
      <c r="M695" s="599"/>
      <c r="N695" s="599"/>
      <c r="O695" s="599"/>
      <c r="P695" s="599"/>
      <c r="Q695" s="599"/>
      <c r="R695" s="599"/>
      <c r="S695" s="599"/>
      <c r="T695" s="599"/>
      <c r="U695" s="599"/>
      <c r="V695" s="599"/>
      <c r="W695" s="599"/>
      <c r="X695" s="599"/>
      <c r="Y695" s="599"/>
      <c r="Z695" s="599"/>
    </row>
    <row r="696" spans="1:26" ht="15.75" customHeight="1">
      <c r="A696" s="599"/>
      <c r="B696" s="599"/>
      <c r="C696" s="599"/>
      <c r="D696" s="599"/>
      <c r="E696" s="599"/>
      <c r="F696" s="599"/>
      <c r="G696" s="599"/>
      <c r="H696" s="599"/>
      <c r="I696" s="599"/>
      <c r="J696" s="599"/>
      <c r="K696" s="599"/>
      <c r="L696" s="599"/>
      <c r="M696" s="599"/>
      <c r="N696" s="599"/>
      <c r="O696" s="599"/>
      <c r="P696" s="599"/>
      <c r="Q696" s="599"/>
      <c r="R696" s="599"/>
      <c r="S696" s="599"/>
      <c r="T696" s="599"/>
      <c r="U696" s="599"/>
      <c r="V696" s="599"/>
      <c r="W696" s="599"/>
      <c r="X696" s="599"/>
      <c r="Y696" s="599"/>
      <c r="Z696" s="599"/>
    </row>
    <row r="697" spans="1:26" ht="15.75" customHeight="1">
      <c r="A697" s="599"/>
      <c r="B697" s="599"/>
      <c r="C697" s="599"/>
      <c r="D697" s="599"/>
      <c r="E697" s="599"/>
      <c r="F697" s="599"/>
      <c r="G697" s="599"/>
      <c r="H697" s="599"/>
      <c r="I697" s="599"/>
      <c r="J697" s="599"/>
      <c r="K697" s="599"/>
      <c r="L697" s="599"/>
      <c r="M697" s="599"/>
      <c r="N697" s="599"/>
      <c r="O697" s="599"/>
      <c r="P697" s="599"/>
      <c r="Q697" s="599"/>
      <c r="R697" s="599"/>
      <c r="S697" s="599"/>
      <c r="T697" s="599"/>
      <c r="U697" s="599"/>
      <c r="V697" s="599"/>
      <c r="W697" s="599"/>
      <c r="X697" s="599"/>
      <c r="Y697" s="599"/>
      <c r="Z697" s="599"/>
    </row>
    <row r="698" spans="1:26" ht="15.75" customHeight="1">
      <c r="A698" s="599"/>
      <c r="B698" s="599"/>
      <c r="C698" s="599"/>
      <c r="D698" s="599"/>
      <c r="E698" s="599"/>
      <c r="F698" s="599"/>
      <c r="G698" s="599"/>
      <c r="H698" s="599"/>
      <c r="I698" s="599"/>
      <c r="J698" s="599"/>
      <c r="K698" s="599"/>
      <c r="L698" s="599"/>
      <c r="M698" s="599"/>
      <c r="N698" s="599"/>
      <c r="O698" s="599"/>
      <c r="P698" s="599"/>
      <c r="Q698" s="599"/>
      <c r="R698" s="599"/>
      <c r="S698" s="599"/>
      <c r="T698" s="599"/>
      <c r="U698" s="599"/>
      <c r="V698" s="599"/>
      <c r="W698" s="599"/>
      <c r="X698" s="599"/>
      <c r="Y698" s="599"/>
      <c r="Z698" s="599"/>
    </row>
    <row r="699" spans="1:26" ht="15.75" customHeight="1">
      <c r="A699" s="599"/>
      <c r="B699" s="599"/>
      <c r="C699" s="599"/>
      <c r="D699" s="599"/>
      <c r="E699" s="599"/>
      <c r="F699" s="599"/>
      <c r="G699" s="599"/>
      <c r="H699" s="599"/>
      <c r="I699" s="599"/>
      <c r="J699" s="599"/>
      <c r="K699" s="599"/>
      <c r="L699" s="599"/>
      <c r="M699" s="599"/>
      <c r="N699" s="599"/>
      <c r="O699" s="599"/>
      <c r="P699" s="599"/>
      <c r="Q699" s="599"/>
      <c r="R699" s="599"/>
      <c r="S699" s="599"/>
      <c r="T699" s="599"/>
      <c r="U699" s="599"/>
      <c r="V699" s="599"/>
      <c r="W699" s="599"/>
      <c r="X699" s="599"/>
      <c r="Y699" s="599"/>
      <c r="Z699" s="599"/>
    </row>
    <row r="700" spans="1:26" ht="15.75" customHeight="1">
      <c r="A700" s="599"/>
      <c r="B700" s="599"/>
      <c r="C700" s="599"/>
      <c r="D700" s="599"/>
      <c r="E700" s="599"/>
      <c r="F700" s="599"/>
      <c r="G700" s="599"/>
      <c r="H700" s="599"/>
      <c r="I700" s="599"/>
      <c r="J700" s="599"/>
      <c r="K700" s="599"/>
      <c r="L700" s="599"/>
      <c r="M700" s="599"/>
      <c r="N700" s="599"/>
      <c r="O700" s="599"/>
      <c r="P700" s="599"/>
      <c r="Q700" s="599"/>
      <c r="R700" s="599"/>
      <c r="S700" s="599"/>
      <c r="T700" s="599"/>
      <c r="U700" s="599"/>
      <c r="V700" s="599"/>
      <c r="W700" s="599"/>
      <c r="X700" s="599"/>
      <c r="Y700" s="599"/>
      <c r="Z700" s="599"/>
    </row>
    <row r="701" spans="1:26" ht="15.75" customHeight="1">
      <c r="A701" s="599"/>
      <c r="B701" s="599"/>
      <c r="C701" s="599"/>
      <c r="D701" s="599"/>
      <c r="E701" s="599"/>
      <c r="F701" s="599"/>
      <c r="G701" s="599"/>
      <c r="H701" s="599"/>
      <c r="I701" s="599"/>
      <c r="J701" s="599"/>
      <c r="K701" s="599"/>
      <c r="L701" s="599"/>
      <c r="M701" s="599"/>
      <c r="N701" s="599"/>
      <c r="O701" s="599"/>
      <c r="P701" s="599"/>
      <c r="Q701" s="599"/>
      <c r="R701" s="599"/>
      <c r="S701" s="599"/>
      <c r="T701" s="599"/>
      <c r="U701" s="599"/>
      <c r="V701" s="599"/>
      <c r="W701" s="599"/>
      <c r="X701" s="599"/>
      <c r="Y701" s="599"/>
      <c r="Z701" s="599"/>
    </row>
    <row r="702" spans="1:26" ht="15.75" customHeight="1">
      <c r="A702" s="599"/>
      <c r="B702" s="599"/>
      <c r="C702" s="599"/>
      <c r="D702" s="599"/>
      <c r="E702" s="599"/>
      <c r="F702" s="599"/>
      <c r="G702" s="599"/>
      <c r="H702" s="599"/>
      <c r="I702" s="599"/>
      <c r="J702" s="599"/>
      <c r="K702" s="599"/>
      <c r="L702" s="599"/>
      <c r="M702" s="599"/>
      <c r="N702" s="599"/>
      <c r="O702" s="599"/>
      <c r="P702" s="599"/>
      <c r="Q702" s="599"/>
      <c r="R702" s="599"/>
      <c r="S702" s="599"/>
      <c r="T702" s="599"/>
      <c r="U702" s="599"/>
      <c r="V702" s="599"/>
      <c r="W702" s="599"/>
      <c r="X702" s="599"/>
      <c r="Y702" s="599"/>
      <c r="Z702" s="599"/>
    </row>
    <row r="703" spans="1:26" ht="15.75" customHeight="1">
      <c r="A703" s="599"/>
      <c r="B703" s="599"/>
      <c r="C703" s="599"/>
      <c r="D703" s="599"/>
      <c r="E703" s="599"/>
      <c r="F703" s="599"/>
      <c r="G703" s="599"/>
      <c r="H703" s="599"/>
      <c r="I703" s="599"/>
      <c r="J703" s="599"/>
      <c r="K703" s="599"/>
      <c r="L703" s="599"/>
      <c r="M703" s="599"/>
      <c r="N703" s="599"/>
      <c r="O703" s="599"/>
      <c r="P703" s="599"/>
      <c r="Q703" s="599"/>
      <c r="R703" s="599"/>
      <c r="S703" s="599"/>
      <c r="T703" s="599"/>
      <c r="U703" s="599"/>
      <c r="V703" s="599"/>
      <c r="W703" s="599"/>
      <c r="X703" s="599"/>
      <c r="Y703" s="599"/>
      <c r="Z703" s="599"/>
    </row>
    <row r="704" spans="1:26" ht="15.75" customHeight="1">
      <c r="A704" s="599"/>
      <c r="B704" s="599"/>
      <c r="C704" s="599"/>
      <c r="D704" s="599"/>
      <c r="E704" s="599"/>
      <c r="F704" s="599"/>
      <c r="G704" s="599"/>
      <c r="H704" s="599"/>
      <c r="I704" s="599"/>
      <c r="J704" s="599"/>
      <c r="K704" s="599"/>
      <c r="L704" s="599"/>
      <c r="M704" s="599"/>
      <c r="N704" s="599"/>
      <c r="O704" s="599"/>
      <c r="P704" s="599"/>
      <c r="Q704" s="599"/>
      <c r="R704" s="599"/>
      <c r="S704" s="599"/>
      <c r="T704" s="599"/>
      <c r="U704" s="599"/>
      <c r="V704" s="599"/>
      <c r="W704" s="599"/>
      <c r="X704" s="599"/>
      <c r="Y704" s="599"/>
      <c r="Z704" s="599"/>
    </row>
    <row r="705" spans="1:26" ht="15.75" customHeight="1">
      <c r="A705" s="599"/>
      <c r="B705" s="599"/>
      <c r="C705" s="599"/>
      <c r="D705" s="599"/>
      <c r="E705" s="599"/>
      <c r="F705" s="599"/>
      <c r="G705" s="599"/>
      <c r="H705" s="599"/>
      <c r="I705" s="599"/>
      <c r="J705" s="599"/>
      <c r="K705" s="599"/>
      <c r="L705" s="599"/>
      <c r="M705" s="599"/>
      <c r="N705" s="599"/>
      <c r="O705" s="599"/>
      <c r="P705" s="599"/>
      <c r="Q705" s="599"/>
      <c r="R705" s="599"/>
      <c r="S705" s="599"/>
      <c r="T705" s="599"/>
      <c r="U705" s="599"/>
      <c r="V705" s="599"/>
      <c r="W705" s="599"/>
      <c r="X705" s="599"/>
      <c r="Y705" s="599"/>
      <c r="Z705" s="599"/>
    </row>
    <row r="706" spans="1:26" ht="15.75" customHeight="1">
      <c r="A706" s="599"/>
      <c r="B706" s="599"/>
      <c r="C706" s="599"/>
      <c r="D706" s="599"/>
      <c r="E706" s="599"/>
      <c r="F706" s="599"/>
      <c r="G706" s="599"/>
      <c r="H706" s="599"/>
      <c r="I706" s="599"/>
      <c r="J706" s="599"/>
      <c r="K706" s="599"/>
      <c r="L706" s="599"/>
      <c r="M706" s="599"/>
      <c r="N706" s="599"/>
      <c r="O706" s="599"/>
      <c r="P706" s="599"/>
      <c r="Q706" s="599"/>
      <c r="R706" s="599"/>
      <c r="S706" s="599"/>
      <c r="T706" s="599"/>
      <c r="U706" s="599"/>
      <c r="V706" s="599"/>
      <c r="W706" s="599"/>
      <c r="X706" s="599"/>
      <c r="Y706" s="599"/>
      <c r="Z706" s="599"/>
    </row>
    <row r="707" spans="1:26" ht="15.75" customHeight="1">
      <c r="A707" s="599"/>
      <c r="B707" s="599"/>
      <c r="C707" s="599"/>
      <c r="D707" s="599"/>
      <c r="E707" s="599"/>
      <c r="F707" s="599"/>
      <c r="G707" s="599"/>
      <c r="H707" s="599"/>
      <c r="I707" s="599"/>
      <c r="J707" s="599"/>
      <c r="K707" s="599"/>
      <c r="L707" s="599"/>
      <c r="M707" s="599"/>
      <c r="N707" s="599"/>
      <c r="O707" s="599"/>
      <c r="P707" s="599"/>
      <c r="Q707" s="599"/>
      <c r="R707" s="599"/>
      <c r="S707" s="599"/>
      <c r="T707" s="599"/>
      <c r="U707" s="599"/>
      <c r="V707" s="599"/>
      <c r="W707" s="599"/>
      <c r="X707" s="599"/>
      <c r="Y707" s="599"/>
      <c r="Z707" s="599"/>
    </row>
    <row r="708" spans="1:26" ht="15.75" customHeight="1">
      <c r="A708" s="599"/>
      <c r="B708" s="599"/>
      <c r="C708" s="599"/>
      <c r="D708" s="599"/>
      <c r="E708" s="599"/>
      <c r="F708" s="599"/>
      <c r="G708" s="599"/>
      <c r="H708" s="599"/>
      <c r="I708" s="599"/>
      <c r="J708" s="599"/>
      <c r="K708" s="599"/>
      <c r="L708" s="599"/>
      <c r="M708" s="599"/>
      <c r="N708" s="599"/>
      <c r="O708" s="599"/>
      <c r="P708" s="599"/>
      <c r="Q708" s="599"/>
      <c r="R708" s="599"/>
      <c r="S708" s="599"/>
      <c r="T708" s="599"/>
      <c r="U708" s="599"/>
      <c r="V708" s="599"/>
      <c r="W708" s="599"/>
      <c r="X708" s="599"/>
      <c r="Y708" s="599"/>
      <c r="Z708" s="599"/>
    </row>
    <row r="709" spans="1:26" ht="15.75" customHeight="1">
      <c r="A709" s="599"/>
      <c r="B709" s="599"/>
      <c r="C709" s="599"/>
      <c r="D709" s="599"/>
      <c r="E709" s="599"/>
      <c r="F709" s="599"/>
      <c r="G709" s="599"/>
      <c r="H709" s="599"/>
      <c r="I709" s="599"/>
      <c r="J709" s="599"/>
      <c r="K709" s="599"/>
      <c r="L709" s="599"/>
      <c r="M709" s="599"/>
      <c r="N709" s="599"/>
      <c r="O709" s="599"/>
      <c r="P709" s="599"/>
      <c r="Q709" s="599"/>
      <c r="R709" s="599"/>
      <c r="S709" s="599"/>
      <c r="T709" s="599"/>
      <c r="U709" s="599"/>
      <c r="V709" s="599"/>
      <c r="W709" s="599"/>
      <c r="X709" s="599"/>
      <c r="Y709" s="599"/>
      <c r="Z709" s="599"/>
    </row>
    <row r="710" spans="1:26" ht="15.75" customHeight="1">
      <c r="A710" s="599"/>
      <c r="B710" s="599"/>
      <c r="C710" s="599"/>
      <c r="D710" s="599"/>
      <c r="E710" s="599"/>
      <c r="F710" s="599"/>
      <c r="G710" s="599"/>
      <c r="H710" s="599"/>
      <c r="I710" s="599"/>
      <c r="J710" s="599"/>
      <c r="K710" s="599"/>
      <c r="L710" s="599"/>
      <c r="M710" s="599"/>
      <c r="N710" s="599"/>
      <c r="O710" s="599"/>
      <c r="P710" s="599"/>
      <c r="Q710" s="599"/>
      <c r="R710" s="599"/>
      <c r="S710" s="599"/>
      <c r="T710" s="599"/>
      <c r="U710" s="599"/>
      <c r="V710" s="599"/>
      <c r="W710" s="599"/>
      <c r="X710" s="599"/>
      <c r="Y710" s="599"/>
      <c r="Z710" s="599"/>
    </row>
    <row r="711" spans="1:26" ht="15.75" customHeight="1">
      <c r="A711" s="599"/>
      <c r="B711" s="599"/>
      <c r="C711" s="599"/>
      <c r="D711" s="599"/>
      <c r="E711" s="599"/>
      <c r="F711" s="599"/>
      <c r="G711" s="599"/>
      <c r="H711" s="599"/>
      <c r="I711" s="599"/>
      <c r="J711" s="599"/>
      <c r="K711" s="599"/>
      <c r="L711" s="599"/>
      <c r="M711" s="599"/>
      <c r="N711" s="599"/>
      <c r="O711" s="599"/>
      <c r="P711" s="599"/>
      <c r="Q711" s="599"/>
      <c r="R711" s="599"/>
      <c r="S711" s="599"/>
      <c r="T711" s="599"/>
      <c r="U711" s="599"/>
      <c r="V711" s="599"/>
      <c r="W711" s="599"/>
      <c r="X711" s="599"/>
      <c r="Y711" s="599"/>
      <c r="Z711" s="599"/>
    </row>
    <row r="712" spans="1:26" ht="15.75" customHeight="1">
      <c r="A712" s="599"/>
      <c r="B712" s="599"/>
      <c r="C712" s="599"/>
      <c r="D712" s="599"/>
      <c r="E712" s="599"/>
      <c r="F712" s="599"/>
      <c r="G712" s="599"/>
      <c r="H712" s="599"/>
      <c r="I712" s="599"/>
      <c r="J712" s="599"/>
      <c r="K712" s="599"/>
      <c r="L712" s="599"/>
      <c r="M712" s="599"/>
      <c r="N712" s="599"/>
      <c r="O712" s="599"/>
      <c r="P712" s="599"/>
      <c r="Q712" s="599"/>
      <c r="R712" s="599"/>
      <c r="S712" s="599"/>
      <c r="T712" s="599"/>
      <c r="U712" s="599"/>
      <c r="V712" s="599"/>
      <c r="W712" s="599"/>
      <c r="X712" s="599"/>
      <c r="Y712" s="599"/>
      <c r="Z712" s="599"/>
    </row>
    <row r="713" spans="1:26" ht="15.75" customHeight="1">
      <c r="A713" s="599"/>
      <c r="B713" s="599"/>
      <c r="C713" s="599"/>
      <c r="D713" s="599"/>
      <c r="E713" s="599"/>
      <c r="F713" s="599"/>
      <c r="G713" s="599"/>
      <c r="H713" s="599"/>
      <c r="I713" s="599"/>
      <c r="J713" s="599"/>
      <c r="K713" s="599"/>
      <c r="L713" s="599"/>
      <c r="M713" s="599"/>
      <c r="N713" s="599"/>
      <c r="O713" s="599"/>
      <c r="P713" s="599"/>
      <c r="Q713" s="599"/>
      <c r="R713" s="599"/>
      <c r="S713" s="599"/>
      <c r="T713" s="599"/>
      <c r="U713" s="599"/>
      <c r="V713" s="599"/>
      <c r="W713" s="599"/>
      <c r="X713" s="599"/>
      <c r="Y713" s="599"/>
      <c r="Z713" s="599"/>
    </row>
    <row r="714" spans="1:26" ht="15.75" customHeight="1">
      <c r="A714" s="599"/>
      <c r="B714" s="599"/>
      <c r="C714" s="599"/>
      <c r="D714" s="599"/>
      <c r="E714" s="599"/>
      <c r="F714" s="599"/>
      <c r="G714" s="599"/>
      <c r="H714" s="599"/>
      <c r="I714" s="599"/>
      <c r="J714" s="599"/>
      <c r="K714" s="599"/>
      <c r="L714" s="599"/>
      <c r="M714" s="599"/>
      <c r="N714" s="599"/>
      <c r="O714" s="599"/>
      <c r="P714" s="599"/>
      <c r="Q714" s="599"/>
      <c r="R714" s="599"/>
      <c r="S714" s="599"/>
      <c r="T714" s="599"/>
      <c r="U714" s="599"/>
      <c r="V714" s="599"/>
      <c r="W714" s="599"/>
      <c r="X714" s="599"/>
      <c r="Y714" s="599"/>
      <c r="Z714" s="599"/>
    </row>
    <row r="715" spans="1:26" ht="15.75" customHeight="1">
      <c r="A715" s="599"/>
      <c r="B715" s="599"/>
      <c r="C715" s="599"/>
      <c r="D715" s="599"/>
      <c r="E715" s="599"/>
      <c r="F715" s="599"/>
      <c r="G715" s="599"/>
      <c r="H715" s="599"/>
      <c r="I715" s="599"/>
      <c r="J715" s="599"/>
      <c r="K715" s="599"/>
      <c r="L715" s="599"/>
      <c r="M715" s="599"/>
      <c r="N715" s="599"/>
      <c r="O715" s="599"/>
      <c r="P715" s="599"/>
      <c r="Q715" s="599"/>
      <c r="R715" s="599"/>
      <c r="S715" s="599"/>
      <c r="T715" s="599"/>
      <c r="U715" s="599"/>
      <c r="V715" s="599"/>
      <c r="W715" s="599"/>
      <c r="X715" s="599"/>
      <c r="Y715" s="599"/>
      <c r="Z715" s="599"/>
    </row>
    <row r="716" spans="1:26" ht="15.75" customHeight="1">
      <c r="A716" s="599"/>
      <c r="B716" s="599"/>
      <c r="C716" s="599"/>
      <c r="D716" s="599"/>
      <c r="E716" s="599"/>
      <c r="F716" s="599"/>
      <c r="G716" s="599"/>
      <c r="H716" s="599"/>
      <c r="I716" s="599"/>
      <c r="J716" s="599"/>
      <c r="K716" s="599"/>
      <c r="L716" s="599"/>
      <c r="M716" s="599"/>
      <c r="N716" s="599"/>
      <c r="O716" s="599"/>
      <c r="P716" s="599"/>
      <c r="Q716" s="599"/>
      <c r="R716" s="599"/>
      <c r="S716" s="599"/>
      <c r="T716" s="599"/>
      <c r="U716" s="599"/>
      <c r="V716" s="599"/>
      <c r="W716" s="599"/>
      <c r="X716" s="599"/>
      <c r="Y716" s="599"/>
      <c r="Z716" s="599"/>
    </row>
    <row r="717" spans="1:26" ht="15.75" customHeight="1">
      <c r="A717" s="599"/>
      <c r="B717" s="599"/>
      <c r="C717" s="599"/>
      <c r="D717" s="599"/>
      <c r="E717" s="599"/>
      <c r="F717" s="599"/>
      <c r="G717" s="599"/>
      <c r="H717" s="599"/>
      <c r="I717" s="599"/>
      <c r="J717" s="599"/>
      <c r="K717" s="599"/>
      <c r="L717" s="599"/>
      <c r="M717" s="599"/>
      <c r="N717" s="599"/>
      <c r="O717" s="599"/>
      <c r="P717" s="599"/>
      <c r="Q717" s="599"/>
      <c r="R717" s="599"/>
      <c r="S717" s="599"/>
      <c r="T717" s="599"/>
      <c r="U717" s="599"/>
      <c r="V717" s="599"/>
      <c r="W717" s="599"/>
      <c r="X717" s="599"/>
      <c r="Y717" s="599"/>
      <c r="Z717" s="599"/>
    </row>
    <row r="718" spans="1:26" ht="15.75" customHeight="1">
      <c r="A718" s="599"/>
      <c r="B718" s="599"/>
      <c r="C718" s="599"/>
      <c r="D718" s="599"/>
      <c r="E718" s="599"/>
      <c r="F718" s="599"/>
      <c r="G718" s="599"/>
      <c r="H718" s="599"/>
      <c r="I718" s="599"/>
      <c r="J718" s="599"/>
      <c r="K718" s="599"/>
      <c r="L718" s="599"/>
      <c r="M718" s="599"/>
      <c r="N718" s="599"/>
      <c r="O718" s="599"/>
      <c r="P718" s="599"/>
      <c r="Q718" s="599"/>
      <c r="R718" s="599"/>
      <c r="S718" s="599"/>
      <c r="T718" s="599"/>
      <c r="U718" s="599"/>
      <c r="V718" s="599"/>
      <c r="W718" s="599"/>
      <c r="X718" s="599"/>
      <c r="Y718" s="599"/>
      <c r="Z718" s="599"/>
    </row>
    <row r="719" spans="1:26" ht="15.75" customHeight="1">
      <c r="A719" s="599"/>
      <c r="B719" s="599"/>
      <c r="C719" s="599"/>
      <c r="D719" s="599"/>
      <c r="E719" s="599"/>
      <c r="F719" s="599"/>
      <c r="G719" s="599"/>
      <c r="H719" s="599"/>
      <c r="I719" s="599"/>
      <c r="J719" s="599"/>
      <c r="K719" s="599"/>
      <c r="L719" s="599"/>
      <c r="M719" s="599"/>
      <c r="N719" s="599"/>
      <c r="O719" s="599"/>
      <c r="P719" s="599"/>
      <c r="Q719" s="599"/>
      <c r="R719" s="599"/>
      <c r="S719" s="599"/>
      <c r="T719" s="599"/>
      <c r="U719" s="599"/>
      <c r="V719" s="599"/>
      <c r="W719" s="599"/>
      <c r="X719" s="599"/>
      <c r="Y719" s="599"/>
      <c r="Z719" s="599"/>
    </row>
    <row r="720" spans="1:26" ht="15.75" customHeight="1">
      <c r="A720" s="599"/>
      <c r="B720" s="599"/>
      <c r="C720" s="599"/>
      <c r="D720" s="599"/>
      <c r="E720" s="599"/>
      <c r="F720" s="599"/>
      <c r="G720" s="599"/>
      <c r="H720" s="599"/>
      <c r="I720" s="599"/>
      <c r="J720" s="599"/>
      <c r="K720" s="599"/>
      <c r="L720" s="599"/>
      <c r="M720" s="599"/>
      <c r="N720" s="599"/>
      <c r="O720" s="599"/>
      <c r="P720" s="599"/>
      <c r="Q720" s="599"/>
      <c r="R720" s="599"/>
      <c r="S720" s="599"/>
      <c r="T720" s="599"/>
      <c r="U720" s="599"/>
      <c r="V720" s="599"/>
      <c r="W720" s="599"/>
      <c r="X720" s="599"/>
      <c r="Y720" s="599"/>
      <c r="Z720" s="599"/>
    </row>
    <row r="721" spans="1:26" ht="15.75" customHeight="1">
      <c r="A721" s="599"/>
      <c r="B721" s="599"/>
      <c r="C721" s="599"/>
      <c r="D721" s="599"/>
      <c r="E721" s="599"/>
      <c r="F721" s="599"/>
      <c r="G721" s="599"/>
      <c r="H721" s="599"/>
      <c r="I721" s="599"/>
      <c r="J721" s="599"/>
      <c r="K721" s="599"/>
      <c r="L721" s="599"/>
      <c r="M721" s="599"/>
      <c r="N721" s="599"/>
      <c r="O721" s="599"/>
      <c r="P721" s="599"/>
      <c r="Q721" s="599"/>
      <c r="R721" s="599"/>
      <c r="S721" s="599"/>
      <c r="T721" s="599"/>
      <c r="U721" s="599"/>
      <c r="V721" s="599"/>
      <c r="W721" s="599"/>
      <c r="X721" s="599"/>
      <c r="Y721" s="599"/>
      <c r="Z721" s="599"/>
    </row>
    <row r="722" spans="1:26" ht="15.75" customHeight="1">
      <c r="A722" s="599"/>
      <c r="B722" s="599"/>
      <c r="C722" s="599"/>
      <c r="D722" s="599"/>
      <c r="E722" s="599"/>
      <c r="F722" s="599"/>
      <c r="G722" s="599"/>
      <c r="H722" s="599"/>
      <c r="I722" s="599"/>
      <c r="J722" s="599"/>
      <c r="K722" s="599"/>
      <c r="L722" s="599"/>
      <c r="M722" s="599"/>
      <c r="N722" s="599"/>
      <c r="O722" s="599"/>
      <c r="P722" s="599"/>
      <c r="Q722" s="599"/>
      <c r="R722" s="599"/>
      <c r="S722" s="599"/>
      <c r="T722" s="599"/>
      <c r="U722" s="599"/>
      <c r="V722" s="599"/>
      <c r="W722" s="599"/>
      <c r="X722" s="599"/>
      <c r="Y722" s="599"/>
      <c r="Z722" s="599"/>
    </row>
    <row r="723" spans="1:26" ht="15.75" customHeight="1">
      <c r="A723" s="599"/>
      <c r="B723" s="599"/>
      <c r="C723" s="599"/>
      <c r="D723" s="599"/>
      <c r="E723" s="599"/>
      <c r="F723" s="599"/>
      <c r="G723" s="599"/>
      <c r="H723" s="599"/>
      <c r="I723" s="599"/>
      <c r="J723" s="599"/>
      <c r="K723" s="599"/>
      <c r="L723" s="599"/>
      <c r="M723" s="599"/>
      <c r="N723" s="599"/>
      <c r="O723" s="599"/>
      <c r="P723" s="599"/>
      <c r="Q723" s="599"/>
      <c r="R723" s="599"/>
      <c r="S723" s="599"/>
      <c r="T723" s="599"/>
      <c r="U723" s="599"/>
      <c r="V723" s="599"/>
      <c r="W723" s="599"/>
      <c r="X723" s="599"/>
      <c r="Y723" s="599"/>
      <c r="Z723" s="599"/>
    </row>
    <row r="724" spans="1:26" ht="15.75" customHeight="1">
      <c r="A724" s="599"/>
      <c r="B724" s="599"/>
      <c r="C724" s="599"/>
      <c r="D724" s="599"/>
      <c r="E724" s="599"/>
      <c r="F724" s="599"/>
      <c r="G724" s="599"/>
      <c r="H724" s="599"/>
      <c r="I724" s="599"/>
      <c r="J724" s="599"/>
      <c r="K724" s="599"/>
      <c r="L724" s="599"/>
      <c r="M724" s="599"/>
      <c r="N724" s="599"/>
      <c r="O724" s="599"/>
      <c r="P724" s="599"/>
      <c r="Q724" s="599"/>
      <c r="R724" s="599"/>
      <c r="S724" s="599"/>
      <c r="T724" s="599"/>
      <c r="U724" s="599"/>
      <c r="V724" s="599"/>
      <c r="W724" s="599"/>
      <c r="X724" s="599"/>
      <c r="Y724" s="599"/>
      <c r="Z724" s="599"/>
    </row>
    <row r="725" spans="1:26" ht="15.75" customHeight="1">
      <c r="A725" s="599"/>
      <c r="B725" s="599"/>
      <c r="C725" s="599"/>
      <c r="D725" s="599"/>
      <c r="E725" s="599"/>
      <c r="F725" s="599"/>
      <c r="G725" s="599"/>
      <c r="H725" s="599"/>
      <c r="I725" s="599"/>
      <c r="J725" s="599"/>
      <c r="K725" s="599"/>
      <c r="L725" s="599"/>
      <c r="M725" s="599"/>
      <c r="N725" s="599"/>
      <c r="O725" s="599"/>
      <c r="P725" s="599"/>
      <c r="Q725" s="599"/>
      <c r="R725" s="599"/>
      <c r="S725" s="599"/>
      <c r="T725" s="599"/>
      <c r="U725" s="599"/>
      <c r="V725" s="599"/>
      <c r="W725" s="599"/>
      <c r="X725" s="599"/>
      <c r="Y725" s="599"/>
      <c r="Z725" s="599"/>
    </row>
    <row r="726" spans="1:26" ht="15.75" customHeight="1">
      <c r="A726" s="599"/>
      <c r="B726" s="599"/>
      <c r="C726" s="599"/>
      <c r="D726" s="599"/>
      <c r="E726" s="599"/>
      <c r="F726" s="599"/>
      <c r="G726" s="599"/>
      <c r="H726" s="599"/>
      <c r="I726" s="599"/>
      <c r="J726" s="599"/>
      <c r="K726" s="599"/>
      <c r="L726" s="599"/>
      <c r="M726" s="599"/>
      <c r="N726" s="599"/>
      <c r="O726" s="599"/>
      <c r="P726" s="599"/>
      <c r="Q726" s="599"/>
      <c r="R726" s="599"/>
      <c r="S726" s="599"/>
      <c r="T726" s="599"/>
      <c r="U726" s="599"/>
      <c r="V726" s="599"/>
      <c r="W726" s="599"/>
      <c r="X726" s="599"/>
      <c r="Y726" s="599"/>
      <c r="Z726" s="599"/>
    </row>
    <row r="727" spans="1:26" ht="15.75" customHeight="1">
      <c r="A727" s="599"/>
      <c r="B727" s="599"/>
      <c r="C727" s="599"/>
      <c r="D727" s="599"/>
      <c r="E727" s="599"/>
      <c r="F727" s="599"/>
      <c r="G727" s="599"/>
      <c r="H727" s="599"/>
      <c r="I727" s="599"/>
      <c r="J727" s="599"/>
      <c r="K727" s="599"/>
      <c r="L727" s="599"/>
      <c r="M727" s="599"/>
      <c r="N727" s="599"/>
      <c r="O727" s="599"/>
      <c r="P727" s="599"/>
      <c r="Q727" s="599"/>
      <c r="R727" s="599"/>
      <c r="S727" s="599"/>
      <c r="T727" s="599"/>
      <c r="U727" s="599"/>
      <c r="V727" s="599"/>
      <c r="W727" s="599"/>
      <c r="X727" s="599"/>
      <c r="Y727" s="599"/>
      <c r="Z727" s="599"/>
    </row>
    <row r="728" spans="1:26" ht="15.75" customHeight="1">
      <c r="A728" s="599"/>
      <c r="B728" s="599"/>
      <c r="C728" s="599"/>
      <c r="D728" s="599"/>
      <c r="E728" s="599"/>
      <c r="F728" s="599"/>
      <c r="G728" s="599"/>
      <c r="H728" s="599"/>
      <c r="I728" s="599"/>
      <c r="J728" s="599"/>
      <c r="K728" s="599"/>
      <c r="L728" s="599"/>
      <c r="M728" s="599"/>
      <c r="N728" s="599"/>
      <c r="O728" s="599"/>
      <c r="P728" s="599"/>
      <c r="Q728" s="599"/>
      <c r="R728" s="599"/>
      <c r="S728" s="599"/>
      <c r="T728" s="599"/>
      <c r="U728" s="599"/>
      <c r="V728" s="599"/>
      <c r="W728" s="599"/>
      <c r="X728" s="599"/>
      <c r="Y728" s="599"/>
      <c r="Z728" s="599"/>
    </row>
    <row r="729" spans="1:26" ht="15.75" customHeight="1">
      <c r="A729" s="599"/>
      <c r="B729" s="599"/>
      <c r="C729" s="599"/>
      <c r="D729" s="599"/>
      <c r="E729" s="599"/>
      <c r="F729" s="599"/>
      <c r="G729" s="599"/>
      <c r="H729" s="599"/>
      <c r="I729" s="599"/>
      <c r="J729" s="599"/>
      <c r="K729" s="599"/>
      <c r="L729" s="599"/>
      <c r="M729" s="599"/>
      <c r="N729" s="599"/>
      <c r="O729" s="599"/>
      <c r="P729" s="599"/>
      <c r="Q729" s="599"/>
      <c r="R729" s="599"/>
      <c r="S729" s="599"/>
      <c r="T729" s="599"/>
      <c r="U729" s="599"/>
      <c r="V729" s="599"/>
      <c r="W729" s="599"/>
      <c r="X729" s="599"/>
      <c r="Y729" s="599"/>
      <c r="Z729" s="599"/>
    </row>
    <row r="730" spans="1:26" ht="15.75" customHeight="1">
      <c r="A730" s="599"/>
      <c r="B730" s="599"/>
      <c r="C730" s="599"/>
      <c r="D730" s="599"/>
      <c r="E730" s="599"/>
      <c r="F730" s="599"/>
      <c r="G730" s="599"/>
      <c r="H730" s="599"/>
      <c r="I730" s="599"/>
      <c r="J730" s="599"/>
      <c r="K730" s="599"/>
      <c r="L730" s="599"/>
      <c r="M730" s="599"/>
      <c r="N730" s="599"/>
      <c r="O730" s="599"/>
      <c r="P730" s="599"/>
      <c r="Q730" s="599"/>
      <c r="R730" s="599"/>
      <c r="S730" s="599"/>
      <c r="T730" s="599"/>
      <c r="U730" s="599"/>
      <c r="V730" s="599"/>
      <c r="W730" s="599"/>
      <c r="X730" s="599"/>
      <c r="Y730" s="599"/>
      <c r="Z730" s="599"/>
    </row>
    <row r="731" spans="1:26" ht="15.75" customHeight="1">
      <c r="A731" s="599"/>
      <c r="B731" s="599"/>
      <c r="C731" s="599"/>
      <c r="D731" s="599"/>
      <c r="E731" s="599"/>
      <c r="F731" s="599"/>
      <c r="G731" s="599"/>
      <c r="H731" s="599"/>
      <c r="I731" s="599"/>
      <c r="J731" s="599"/>
      <c r="K731" s="599"/>
      <c r="L731" s="599"/>
      <c r="M731" s="599"/>
      <c r="N731" s="599"/>
      <c r="O731" s="599"/>
      <c r="P731" s="599"/>
      <c r="Q731" s="599"/>
      <c r="R731" s="599"/>
      <c r="S731" s="599"/>
      <c r="T731" s="599"/>
      <c r="U731" s="599"/>
      <c r="V731" s="599"/>
      <c r="W731" s="599"/>
      <c r="X731" s="599"/>
      <c r="Y731" s="599"/>
      <c r="Z731" s="599"/>
    </row>
    <row r="732" spans="1:26" ht="15.75" customHeight="1">
      <c r="A732" s="599"/>
      <c r="B732" s="599"/>
      <c r="C732" s="599"/>
      <c r="D732" s="599"/>
      <c r="E732" s="599"/>
      <c r="F732" s="599"/>
      <c r="G732" s="599"/>
      <c r="H732" s="599"/>
      <c r="I732" s="599"/>
      <c r="J732" s="599"/>
      <c r="K732" s="599"/>
      <c r="L732" s="599"/>
      <c r="M732" s="599"/>
      <c r="N732" s="599"/>
      <c r="O732" s="599"/>
      <c r="P732" s="599"/>
      <c r="Q732" s="599"/>
      <c r="R732" s="599"/>
      <c r="S732" s="599"/>
      <c r="T732" s="599"/>
      <c r="U732" s="599"/>
      <c r="V732" s="599"/>
      <c r="W732" s="599"/>
      <c r="X732" s="599"/>
      <c r="Y732" s="599"/>
      <c r="Z732" s="599"/>
    </row>
    <row r="733" spans="1:26" ht="15.75" customHeight="1">
      <c r="A733" s="599"/>
      <c r="B733" s="599"/>
      <c r="C733" s="599"/>
      <c r="D733" s="599"/>
      <c r="E733" s="599"/>
      <c r="F733" s="599"/>
      <c r="G733" s="599"/>
      <c r="H733" s="599"/>
      <c r="I733" s="599"/>
      <c r="J733" s="599"/>
      <c r="K733" s="599"/>
      <c r="L733" s="599"/>
      <c r="M733" s="599"/>
      <c r="N733" s="599"/>
      <c r="O733" s="599"/>
      <c r="P733" s="599"/>
      <c r="Q733" s="599"/>
      <c r="R733" s="599"/>
      <c r="S733" s="599"/>
      <c r="T733" s="599"/>
      <c r="U733" s="599"/>
      <c r="V733" s="599"/>
      <c r="W733" s="599"/>
      <c r="X733" s="599"/>
      <c r="Y733" s="599"/>
      <c r="Z733" s="599"/>
    </row>
    <row r="734" spans="1:26" ht="15.75" customHeight="1">
      <c r="A734" s="599"/>
      <c r="B734" s="599"/>
      <c r="C734" s="599"/>
      <c r="D734" s="599"/>
      <c r="E734" s="599"/>
      <c r="F734" s="599"/>
      <c r="G734" s="599"/>
      <c r="H734" s="599"/>
      <c r="I734" s="599"/>
      <c r="J734" s="599"/>
      <c r="K734" s="599"/>
      <c r="L734" s="599"/>
      <c r="M734" s="599"/>
      <c r="N734" s="599"/>
      <c r="O734" s="599"/>
      <c r="P734" s="599"/>
      <c r="Q734" s="599"/>
      <c r="R734" s="599"/>
      <c r="S734" s="599"/>
      <c r="T734" s="599"/>
      <c r="U734" s="599"/>
      <c r="V734" s="599"/>
      <c r="W734" s="599"/>
      <c r="X734" s="599"/>
      <c r="Y734" s="599"/>
      <c r="Z734" s="599"/>
    </row>
    <row r="735" spans="1:26" ht="15.75" customHeight="1">
      <c r="A735" s="599"/>
      <c r="B735" s="599"/>
      <c r="C735" s="599"/>
      <c r="D735" s="599"/>
      <c r="E735" s="599"/>
      <c r="F735" s="599"/>
      <c r="G735" s="599"/>
      <c r="H735" s="599"/>
      <c r="I735" s="599"/>
      <c r="J735" s="599"/>
      <c r="K735" s="599"/>
      <c r="L735" s="599"/>
      <c r="M735" s="599"/>
      <c r="N735" s="599"/>
      <c r="O735" s="599"/>
      <c r="P735" s="599"/>
      <c r="Q735" s="599"/>
      <c r="R735" s="599"/>
      <c r="S735" s="599"/>
      <c r="T735" s="599"/>
      <c r="U735" s="599"/>
      <c r="V735" s="599"/>
      <c r="W735" s="599"/>
      <c r="X735" s="599"/>
      <c r="Y735" s="599"/>
      <c r="Z735" s="599"/>
    </row>
    <row r="736" spans="1:26" ht="15.75" customHeight="1">
      <c r="A736" s="599"/>
      <c r="B736" s="599"/>
      <c r="C736" s="599"/>
      <c r="D736" s="599"/>
      <c r="E736" s="599"/>
      <c r="F736" s="599"/>
      <c r="G736" s="599"/>
      <c r="H736" s="599"/>
      <c r="I736" s="599"/>
      <c r="J736" s="599"/>
      <c r="K736" s="599"/>
      <c r="L736" s="599"/>
      <c r="M736" s="599"/>
      <c r="N736" s="599"/>
      <c r="O736" s="599"/>
      <c r="P736" s="599"/>
      <c r="Q736" s="599"/>
      <c r="R736" s="599"/>
      <c r="S736" s="599"/>
      <c r="T736" s="599"/>
      <c r="U736" s="599"/>
      <c r="V736" s="599"/>
      <c r="W736" s="599"/>
      <c r="X736" s="599"/>
      <c r="Y736" s="599"/>
      <c r="Z736" s="599"/>
    </row>
    <row r="737" spans="1:26" ht="15.75" customHeight="1">
      <c r="A737" s="599"/>
      <c r="B737" s="599"/>
      <c r="C737" s="599"/>
      <c r="D737" s="599"/>
      <c r="E737" s="599"/>
      <c r="F737" s="599"/>
      <c r="G737" s="599"/>
      <c r="H737" s="599"/>
      <c r="I737" s="599"/>
      <c r="J737" s="599"/>
      <c r="K737" s="599"/>
      <c r="L737" s="599"/>
      <c r="M737" s="599"/>
      <c r="N737" s="599"/>
      <c r="O737" s="599"/>
      <c r="P737" s="599"/>
      <c r="Q737" s="599"/>
      <c r="R737" s="599"/>
      <c r="S737" s="599"/>
      <c r="T737" s="599"/>
      <c r="U737" s="599"/>
      <c r="V737" s="599"/>
      <c r="W737" s="599"/>
      <c r="X737" s="599"/>
      <c r="Y737" s="599"/>
      <c r="Z737" s="599"/>
    </row>
    <row r="738" spans="1:26" ht="15.75" customHeight="1">
      <c r="A738" s="599"/>
      <c r="B738" s="599"/>
      <c r="C738" s="599"/>
      <c r="D738" s="599"/>
      <c r="E738" s="599"/>
      <c r="F738" s="599"/>
      <c r="G738" s="599"/>
      <c r="H738" s="599"/>
      <c r="I738" s="599"/>
      <c r="J738" s="599"/>
      <c r="K738" s="599"/>
      <c r="L738" s="599"/>
      <c r="M738" s="599"/>
      <c r="N738" s="599"/>
      <c r="O738" s="599"/>
      <c r="P738" s="599"/>
      <c r="Q738" s="599"/>
      <c r="R738" s="599"/>
      <c r="S738" s="599"/>
      <c r="T738" s="599"/>
      <c r="U738" s="599"/>
      <c r="V738" s="599"/>
      <c r="W738" s="599"/>
      <c r="X738" s="599"/>
      <c r="Y738" s="599"/>
      <c r="Z738" s="599"/>
    </row>
    <row r="739" spans="1:26" ht="15.75" customHeight="1">
      <c r="A739" s="599"/>
      <c r="B739" s="599"/>
      <c r="C739" s="599"/>
      <c r="D739" s="599"/>
      <c r="E739" s="599"/>
      <c r="F739" s="599"/>
      <c r="G739" s="599"/>
      <c r="H739" s="599"/>
      <c r="I739" s="599"/>
      <c r="J739" s="599"/>
      <c r="K739" s="599"/>
      <c r="L739" s="599"/>
      <c r="M739" s="599"/>
      <c r="N739" s="599"/>
      <c r="O739" s="599"/>
      <c r="P739" s="599"/>
      <c r="Q739" s="599"/>
      <c r="R739" s="599"/>
      <c r="S739" s="599"/>
      <c r="T739" s="599"/>
      <c r="U739" s="599"/>
      <c r="V739" s="599"/>
      <c r="W739" s="599"/>
      <c r="X739" s="599"/>
      <c r="Y739" s="599"/>
      <c r="Z739" s="599"/>
    </row>
    <row r="740" spans="1:26" ht="15.75" customHeight="1">
      <c r="A740" s="599"/>
      <c r="B740" s="599"/>
      <c r="C740" s="599"/>
      <c r="D740" s="599"/>
      <c r="E740" s="599"/>
      <c r="F740" s="599"/>
      <c r="G740" s="599"/>
      <c r="H740" s="599"/>
      <c r="I740" s="599"/>
      <c r="J740" s="599"/>
      <c r="K740" s="599"/>
      <c r="L740" s="599"/>
      <c r="M740" s="599"/>
      <c r="N740" s="599"/>
      <c r="O740" s="599"/>
      <c r="P740" s="599"/>
      <c r="Q740" s="599"/>
      <c r="R740" s="599"/>
      <c r="S740" s="599"/>
      <c r="T740" s="599"/>
      <c r="U740" s="599"/>
      <c r="V740" s="599"/>
      <c r="W740" s="599"/>
      <c r="X740" s="599"/>
      <c r="Y740" s="599"/>
      <c r="Z740" s="599"/>
    </row>
    <row r="741" spans="1:26" ht="15.75" customHeight="1">
      <c r="A741" s="599"/>
      <c r="B741" s="599"/>
      <c r="C741" s="599"/>
      <c r="D741" s="599"/>
      <c r="E741" s="599"/>
      <c r="F741" s="599"/>
      <c r="G741" s="599"/>
      <c r="H741" s="599"/>
      <c r="I741" s="599"/>
      <c r="J741" s="599"/>
      <c r="K741" s="599"/>
      <c r="L741" s="599"/>
      <c r="M741" s="599"/>
      <c r="N741" s="599"/>
      <c r="O741" s="599"/>
      <c r="P741" s="599"/>
      <c r="Q741" s="599"/>
      <c r="R741" s="599"/>
      <c r="S741" s="599"/>
      <c r="T741" s="599"/>
      <c r="U741" s="599"/>
      <c r="V741" s="599"/>
      <c r="W741" s="599"/>
      <c r="X741" s="599"/>
      <c r="Y741" s="599"/>
      <c r="Z741" s="599"/>
    </row>
    <row r="742" spans="1:26" ht="15.75" customHeight="1">
      <c r="A742" s="599"/>
      <c r="B742" s="599"/>
      <c r="C742" s="599"/>
      <c r="D742" s="599"/>
      <c r="E742" s="599"/>
      <c r="F742" s="599"/>
      <c r="G742" s="599"/>
      <c r="H742" s="599"/>
      <c r="I742" s="599"/>
      <c r="J742" s="599"/>
      <c r="K742" s="599"/>
      <c r="L742" s="599"/>
      <c r="M742" s="599"/>
      <c r="N742" s="599"/>
      <c r="O742" s="599"/>
      <c r="P742" s="599"/>
      <c r="Q742" s="599"/>
      <c r="R742" s="599"/>
      <c r="S742" s="599"/>
      <c r="T742" s="599"/>
      <c r="U742" s="599"/>
      <c r="V742" s="599"/>
      <c r="W742" s="599"/>
      <c r="X742" s="599"/>
      <c r="Y742" s="599"/>
      <c r="Z742" s="599"/>
    </row>
    <row r="743" spans="1:26" ht="15.75" customHeight="1">
      <c r="A743" s="599"/>
      <c r="B743" s="599"/>
      <c r="C743" s="599"/>
      <c r="D743" s="599"/>
      <c r="E743" s="599"/>
      <c r="F743" s="599"/>
      <c r="G743" s="599"/>
      <c r="H743" s="599"/>
      <c r="I743" s="599"/>
      <c r="J743" s="599"/>
      <c r="K743" s="599"/>
      <c r="L743" s="599"/>
      <c r="M743" s="599"/>
      <c r="N743" s="599"/>
      <c r="O743" s="599"/>
      <c r="P743" s="599"/>
      <c r="Q743" s="599"/>
      <c r="R743" s="599"/>
      <c r="S743" s="599"/>
      <c r="T743" s="599"/>
      <c r="U743" s="599"/>
      <c r="V743" s="599"/>
      <c r="W743" s="599"/>
      <c r="X743" s="599"/>
      <c r="Y743" s="599"/>
      <c r="Z743" s="599"/>
    </row>
    <row r="744" spans="1:26" ht="15.75" customHeight="1">
      <c r="A744" s="599"/>
      <c r="B744" s="599"/>
      <c r="C744" s="599"/>
      <c r="D744" s="599"/>
      <c r="E744" s="599"/>
      <c r="F744" s="599"/>
      <c r="G744" s="599"/>
      <c r="H744" s="599"/>
      <c r="I744" s="599"/>
      <c r="J744" s="599"/>
      <c r="K744" s="599"/>
      <c r="L744" s="599"/>
      <c r="M744" s="599"/>
      <c r="N744" s="599"/>
      <c r="O744" s="599"/>
      <c r="P744" s="599"/>
      <c r="Q744" s="599"/>
      <c r="R744" s="599"/>
      <c r="S744" s="599"/>
      <c r="T744" s="599"/>
      <c r="U744" s="599"/>
      <c r="V744" s="599"/>
      <c r="W744" s="599"/>
      <c r="X744" s="599"/>
      <c r="Y744" s="599"/>
      <c r="Z744" s="599"/>
    </row>
    <row r="745" spans="1:26" ht="15.75" customHeight="1">
      <c r="A745" s="599"/>
      <c r="B745" s="599"/>
      <c r="C745" s="599"/>
      <c r="D745" s="599"/>
      <c r="E745" s="599"/>
      <c r="F745" s="599"/>
      <c r="G745" s="599"/>
      <c r="H745" s="599"/>
      <c r="I745" s="599"/>
      <c r="J745" s="599"/>
      <c r="K745" s="599"/>
      <c r="L745" s="599"/>
      <c r="M745" s="599"/>
      <c r="N745" s="599"/>
      <c r="O745" s="599"/>
      <c r="P745" s="599"/>
      <c r="Q745" s="599"/>
      <c r="R745" s="599"/>
      <c r="S745" s="599"/>
      <c r="T745" s="599"/>
      <c r="U745" s="599"/>
      <c r="V745" s="599"/>
      <c r="W745" s="599"/>
      <c r="X745" s="599"/>
      <c r="Y745" s="599"/>
      <c r="Z745" s="599"/>
    </row>
    <row r="746" spans="1:26" ht="15.75" customHeight="1">
      <c r="A746" s="599"/>
      <c r="B746" s="599"/>
      <c r="C746" s="599"/>
      <c r="D746" s="599"/>
      <c r="E746" s="599"/>
      <c r="F746" s="599"/>
      <c r="G746" s="599"/>
      <c r="H746" s="599"/>
      <c r="I746" s="599"/>
      <c r="J746" s="599"/>
      <c r="K746" s="599"/>
      <c r="L746" s="599"/>
      <c r="M746" s="599"/>
      <c r="N746" s="599"/>
      <c r="O746" s="599"/>
      <c r="P746" s="599"/>
      <c r="Q746" s="599"/>
      <c r="R746" s="599"/>
      <c r="S746" s="599"/>
      <c r="T746" s="599"/>
      <c r="U746" s="599"/>
      <c r="V746" s="599"/>
      <c r="W746" s="599"/>
      <c r="X746" s="599"/>
      <c r="Y746" s="599"/>
      <c r="Z746" s="599"/>
    </row>
    <row r="747" spans="1:26" ht="15.75" customHeight="1">
      <c r="A747" s="599"/>
      <c r="B747" s="599"/>
      <c r="C747" s="599"/>
      <c r="D747" s="599"/>
      <c r="E747" s="599"/>
      <c r="F747" s="599"/>
      <c r="G747" s="599"/>
      <c r="H747" s="599"/>
      <c r="I747" s="599"/>
      <c r="J747" s="599"/>
      <c r="K747" s="599"/>
      <c r="L747" s="599"/>
      <c r="M747" s="599"/>
      <c r="N747" s="599"/>
      <c r="O747" s="599"/>
      <c r="P747" s="599"/>
      <c r="Q747" s="599"/>
      <c r="R747" s="599"/>
      <c r="S747" s="599"/>
      <c r="T747" s="599"/>
      <c r="U747" s="599"/>
      <c r="V747" s="599"/>
      <c r="W747" s="599"/>
      <c r="X747" s="599"/>
      <c r="Y747" s="599"/>
      <c r="Z747" s="599"/>
    </row>
    <row r="748" spans="1:26" ht="15.75" customHeight="1">
      <c r="A748" s="599"/>
      <c r="B748" s="599"/>
      <c r="C748" s="599"/>
      <c r="D748" s="599"/>
      <c r="E748" s="599"/>
      <c r="F748" s="599"/>
      <c r="G748" s="599"/>
      <c r="H748" s="599"/>
      <c r="I748" s="599"/>
      <c r="J748" s="599"/>
      <c r="K748" s="599"/>
      <c r="L748" s="599"/>
      <c r="M748" s="599"/>
      <c r="N748" s="599"/>
      <c r="O748" s="599"/>
      <c r="P748" s="599"/>
      <c r="Q748" s="599"/>
      <c r="R748" s="599"/>
      <c r="S748" s="599"/>
      <c r="T748" s="599"/>
      <c r="U748" s="599"/>
      <c r="V748" s="599"/>
      <c r="W748" s="599"/>
      <c r="X748" s="599"/>
      <c r="Y748" s="599"/>
      <c r="Z748" s="599"/>
    </row>
    <row r="749" spans="1:26" ht="15.75" customHeight="1">
      <c r="A749" s="599"/>
      <c r="B749" s="599"/>
      <c r="C749" s="599"/>
      <c r="D749" s="599"/>
      <c r="E749" s="599"/>
      <c r="F749" s="599"/>
      <c r="G749" s="599"/>
      <c r="H749" s="599"/>
      <c r="I749" s="599"/>
      <c r="J749" s="599"/>
      <c r="K749" s="599"/>
      <c r="L749" s="599"/>
      <c r="M749" s="599"/>
      <c r="N749" s="599"/>
      <c r="O749" s="599"/>
      <c r="P749" s="599"/>
      <c r="Q749" s="599"/>
      <c r="R749" s="599"/>
      <c r="S749" s="599"/>
      <c r="T749" s="599"/>
      <c r="U749" s="599"/>
      <c r="V749" s="599"/>
      <c r="W749" s="599"/>
      <c r="X749" s="599"/>
      <c r="Y749" s="599"/>
      <c r="Z749" s="599"/>
    </row>
    <row r="750" spans="1:26" ht="15.75" customHeight="1">
      <c r="A750" s="599"/>
      <c r="B750" s="599"/>
      <c r="C750" s="599"/>
      <c r="D750" s="599"/>
      <c r="E750" s="599"/>
      <c r="F750" s="599"/>
      <c r="G750" s="599"/>
      <c r="H750" s="599"/>
      <c r="I750" s="599"/>
      <c r="J750" s="599"/>
      <c r="K750" s="599"/>
      <c r="L750" s="599"/>
      <c r="M750" s="599"/>
      <c r="N750" s="599"/>
      <c r="O750" s="599"/>
      <c r="P750" s="599"/>
      <c r="Q750" s="599"/>
      <c r="R750" s="599"/>
      <c r="S750" s="599"/>
      <c r="T750" s="599"/>
      <c r="U750" s="599"/>
      <c r="V750" s="599"/>
      <c r="W750" s="599"/>
      <c r="X750" s="599"/>
      <c r="Y750" s="599"/>
      <c r="Z750" s="599"/>
    </row>
    <row r="751" spans="1:26" ht="15.75" customHeight="1">
      <c r="A751" s="599"/>
      <c r="B751" s="599"/>
      <c r="C751" s="599"/>
      <c r="D751" s="599"/>
      <c r="E751" s="599"/>
      <c r="F751" s="599"/>
      <c r="G751" s="599"/>
      <c r="H751" s="599"/>
      <c r="I751" s="599"/>
      <c r="J751" s="599"/>
      <c r="K751" s="599"/>
      <c r="L751" s="599"/>
      <c r="M751" s="599"/>
      <c r="N751" s="599"/>
      <c r="O751" s="599"/>
      <c r="P751" s="599"/>
      <c r="Q751" s="599"/>
      <c r="R751" s="599"/>
      <c r="S751" s="599"/>
      <c r="T751" s="599"/>
      <c r="U751" s="599"/>
      <c r="V751" s="599"/>
      <c r="W751" s="599"/>
      <c r="X751" s="599"/>
      <c r="Y751" s="599"/>
      <c r="Z751" s="599"/>
    </row>
    <row r="752" spans="1:26" ht="15.75" customHeight="1">
      <c r="A752" s="599"/>
      <c r="B752" s="599"/>
      <c r="C752" s="599"/>
      <c r="D752" s="599"/>
      <c r="E752" s="599"/>
      <c r="F752" s="599"/>
      <c r="G752" s="599"/>
      <c r="H752" s="599"/>
      <c r="I752" s="599"/>
      <c r="J752" s="599"/>
      <c r="K752" s="599"/>
      <c r="L752" s="599"/>
      <c r="M752" s="599"/>
      <c r="N752" s="599"/>
      <c r="O752" s="599"/>
      <c r="P752" s="599"/>
      <c r="Q752" s="599"/>
      <c r="R752" s="599"/>
      <c r="S752" s="599"/>
      <c r="T752" s="599"/>
      <c r="U752" s="599"/>
      <c r="V752" s="599"/>
      <c r="W752" s="599"/>
      <c r="X752" s="599"/>
      <c r="Y752" s="599"/>
      <c r="Z752" s="599"/>
    </row>
    <row r="753" spans="1:26" ht="15.75" customHeight="1">
      <c r="A753" s="599"/>
      <c r="B753" s="599"/>
      <c r="C753" s="599"/>
      <c r="D753" s="599"/>
      <c r="E753" s="599"/>
      <c r="F753" s="599"/>
      <c r="G753" s="599"/>
      <c r="H753" s="599"/>
      <c r="I753" s="599"/>
      <c r="J753" s="599"/>
      <c r="K753" s="599"/>
      <c r="L753" s="599"/>
      <c r="M753" s="599"/>
      <c r="N753" s="599"/>
      <c r="O753" s="599"/>
      <c r="P753" s="599"/>
      <c r="Q753" s="599"/>
      <c r="R753" s="599"/>
      <c r="S753" s="599"/>
      <c r="T753" s="599"/>
      <c r="U753" s="599"/>
      <c r="V753" s="599"/>
      <c r="W753" s="599"/>
      <c r="X753" s="599"/>
      <c r="Y753" s="599"/>
      <c r="Z753" s="599"/>
    </row>
    <row r="754" spans="1:26" ht="15.75" customHeight="1">
      <c r="A754" s="599"/>
      <c r="B754" s="599"/>
      <c r="C754" s="599"/>
      <c r="D754" s="599"/>
      <c r="E754" s="599"/>
      <c r="F754" s="599"/>
      <c r="G754" s="599"/>
      <c r="H754" s="599"/>
      <c r="I754" s="599"/>
      <c r="J754" s="599"/>
      <c r="K754" s="599"/>
      <c r="L754" s="599"/>
      <c r="M754" s="599"/>
      <c r="N754" s="599"/>
      <c r="O754" s="599"/>
      <c r="P754" s="599"/>
      <c r="Q754" s="599"/>
      <c r="R754" s="599"/>
      <c r="S754" s="599"/>
      <c r="T754" s="599"/>
      <c r="U754" s="599"/>
      <c r="V754" s="599"/>
      <c r="W754" s="599"/>
      <c r="X754" s="599"/>
      <c r="Y754" s="599"/>
      <c r="Z754" s="599"/>
    </row>
    <row r="755" spans="1:26" ht="15.75" customHeight="1">
      <c r="A755" s="599"/>
      <c r="B755" s="599"/>
      <c r="C755" s="599"/>
      <c r="D755" s="599"/>
      <c r="E755" s="599"/>
      <c r="F755" s="599"/>
      <c r="G755" s="599"/>
      <c r="H755" s="599"/>
      <c r="I755" s="599"/>
      <c r="J755" s="599"/>
      <c r="K755" s="599"/>
      <c r="L755" s="599"/>
      <c r="M755" s="599"/>
      <c r="N755" s="599"/>
      <c r="O755" s="599"/>
      <c r="P755" s="599"/>
      <c r="Q755" s="599"/>
      <c r="R755" s="599"/>
      <c r="S755" s="599"/>
      <c r="T755" s="599"/>
      <c r="U755" s="599"/>
      <c r="V755" s="599"/>
      <c r="W755" s="599"/>
      <c r="X755" s="599"/>
      <c r="Y755" s="599"/>
      <c r="Z755" s="599"/>
    </row>
    <row r="756" spans="1:26" ht="15.75" customHeight="1">
      <c r="A756" s="599"/>
      <c r="B756" s="599"/>
      <c r="C756" s="599"/>
      <c r="D756" s="599"/>
      <c r="E756" s="599"/>
      <c r="F756" s="599"/>
      <c r="G756" s="599"/>
      <c r="H756" s="599"/>
      <c r="I756" s="599"/>
      <c r="J756" s="599"/>
      <c r="K756" s="599"/>
      <c r="L756" s="599"/>
      <c r="M756" s="599"/>
      <c r="N756" s="599"/>
      <c r="O756" s="599"/>
      <c r="P756" s="599"/>
      <c r="Q756" s="599"/>
      <c r="R756" s="599"/>
      <c r="S756" s="599"/>
      <c r="T756" s="599"/>
      <c r="U756" s="599"/>
      <c r="V756" s="599"/>
      <c r="W756" s="599"/>
      <c r="X756" s="599"/>
      <c r="Y756" s="599"/>
      <c r="Z756" s="599"/>
    </row>
    <row r="757" spans="1:26" ht="15.75" customHeight="1">
      <c r="A757" s="599"/>
      <c r="B757" s="599"/>
      <c r="C757" s="599"/>
      <c r="D757" s="599"/>
      <c r="E757" s="599"/>
      <c r="F757" s="599"/>
      <c r="G757" s="599"/>
      <c r="H757" s="599"/>
      <c r="I757" s="599"/>
      <c r="J757" s="599"/>
      <c r="K757" s="599"/>
      <c r="L757" s="599"/>
      <c r="M757" s="599"/>
      <c r="N757" s="599"/>
      <c r="O757" s="599"/>
      <c r="P757" s="599"/>
      <c r="Q757" s="599"/>
      <c r="R757" s="599"/>
      <c r="S757" s="599"/>
      <c r="T757" s="599"/>
      <c r="U757" s="599"/>
      <c r="V757" s="599"/>
      <c r="W757" s="599"/>
      <c r="X757" s="599"/>
      <c r="Y757" s="599"/>
      <c r="Z757" s="599"/>
    </row>
    <row r="758" spans="1:26" ht="15.75" customHeight="1">
      <c r="A758" s="599"/>
      <c r="B758" s="599"/>
      <c r="C758" s="599"/>
      <c r="D758" s="599"/>
      <c r="E758" s="599"/>
      <c r="F758" s="599"/>
      <c r="G758" s="599"/>
      <c r="H758" s="599"/>
      <c r="I758" s="599"/>
      <c r="J758" s="599"/>
      <c r="K758" s="599"/>
      <c r="L758" s="599"/>
      <c r="M758" s="599"/>
      <c r="N758" s="599"/>
      <c r="O758" s="599"/>
      <c r="P758" s="599"/>
      <c r="Q758" s="599"/>
      <c r="R758" s="599"/>
      <c r="S758" s="599"/>
      <c r="T758" s="599"/>
      <c r="U758" s="599"/>
      <c r="V758" s="599"/>
      <c r="W758" s="599"/>
      <c r="X758" s="599"/>
      <c r="Y758" s="599"/>
      <c r="Z758" s="599"/>
    </row>
    <row r="759" spans="1:26" ht="15.75" customHeight="1">
      <c r="A759" s="599"/>
      <c r="B759" s="599"/>
      <c r="C759" s="599"/>
      <c r="D759" s="599"/>
      <c r="E759" s="599"/>
      <c r="F759" s="599"/>
      <c r="G759" s="599"/>
      <c r="H759" s="599"/>
      <c r="I759" s="599"/>
      <c r="J759" s="599"/>
      <c r="K759" s="599"/>
      <c r="L759" s="599"/>
      <c r="M759" s="599"/>
      <c r="N759" s="599"/>
      <c r="O759" s="599"/>
      <c r="P759" s="599"/>
      <c r="Q759" s="599"/>
      <c r="R759" s="599"/>
      <c r="S759" s="599"/>
      <c r="T759" s="599"/>
      <c r="U759" s="599"/>
      <c r="V759" s="599"/>
      <c r="W759" s="599"/>
      <c r="X759" s="599"/>
      <c r="Y759" s="599"/>
      <c r="Z759" s="599"/>
    </row>
    <row r="760" spans="1:26" ht="15.75" customHeight="1">
      <c r="A760" s="599"/>
      <c r="B760" s="599"/>
      <c r="C760" s="599"/>
      <c r="D760" s="599"/>
      <c r="E760" s="599"/>
      <c r="F760" s="599"/>
      <c r="G760" s="599"/>
      <c r="H760" s="599"/>
      <c r="I760" s="599"/>
      <c r="J760" s="599"/>
      <c r="K760" s="599"/>
      <c r="L760" s="599"/>
      <c r="M760" s="599"/>
      <c r="N760" s="599"/>
      <c r="O760" s="599"/>
      <c r="P760" s="599"/>
      <c r="Q760" s="599"/>
      <c r="R760" s="599"/>
      <c r="S760" s="599"/>
      <c r="T760" s="599"/>
      <c r="U760" s="599"/>
      <c r="V760" s="599"/>
      <c r="W760" s="599"/>
      <c r="X760" s="599"/>
      <c r="Y760" s="599"/>
      <c r="Z760" s="599"/>
    </row>
    <row r="761" spans="1:26" ht="15.75" customHeight="1">
      <c r="A761" s="599"/>
      <c r="B761" s="599"/>
      <c r="C761" s="599"/>
      <c r="D761" s="599"/>
      <c r="E761" s="599"/>
      <c r="F761" s="599"/>
      <c r="G761" s="599"/>
      <c r="H761" s="599"/>
      <c r="I761" s="599"/>
      <c r="J761" s="599"/>
      <c r="K761" s="599"/>
      <c r="L761" s="599"/>
      <c r="M761" s="599"/>
      <c r="N761" s="599"/>
      <c r="O761" s="599"/>
      <c r="P761" s="599"/>
      <c r="Q761" s="599"/>
      <c r="R761" s="599"/>
      <c r="S761" s="599"/>
      <c r="T761" s="599"/>
      <c r="U761" s="599"/>
      <c r="V761" s="599"/>
      <c r="W761" s="599"/>
      <c r="X761" s="599"/>
      <c r="Y761" s="599"/>
      <c r="Z761" s="599"/>
    </row>
    <row r="762" spans="1:26" ht="15.75" customHeight="1">
      <c r="A762" s="599"/>
      <c r="B762" s="599"/>
      <c r="C762" s="599"/>
      <c r="D762" s="599"/>
      <c r="E762" s="599"/>
      <c r="F762" s="599"/>
      <c r="G762" s="599"/>
      <c r="H762" s="599"/>
      <c r="I762" s="599"/>
      <c r="J762" s="599"/>
      <c r="K762" s="599"/>
      <c r="L762" s="599"/>
      <c r="M762" s="599"/>
      <c r="N762" s="599"/>
      <c r="O762" s="599"/>
      <c r="P762" s="599"/>
      <c r="Q762" s="599"/>
      <c r="R762" s="599"/>
      <c r="S762" s="599"/>
      <c r="T762" s="599"/>
      <c r="U762" s="599"/>
      <c r="V762" s="599"/>
      <c r="W762" s="599"/>
      <c r="X762" s="599"/>
      <c r="Y762" s="599"/>
      <c r="Z762" s="599"/>
    </row>
    <row r="763" spans="1:26" ht="15.75" customHeight="1">
      <c r="A763" s="599"/>
      <c r="B763" s="599"/>
      <c r="C763" s="599"/>
      <c r="D763" s="599"/>
      <c r="E763" s="599"/>
      <c r="F763" s="599"/>
      <c r="G763" s="599"/>
      <c r="H763" s="599"/>
      <c r="I763" s="599"/>
      <c r="J763" s="599"/>
      <c r="K763" s="599"/>
      <c r="L763" s="599"/>
      <c r="M763" s="599"/>
      <c r="N763" s="599"/>
      <c r="O763" s="599"/>
      <c r="P763" s="599"/>
      <c r="Q763" s="599"/>
      <c r="R763" s="599"/>
      <c r="S763" s="599"/>
      <c r="T763" s="599"/>
      <c r="U763" s="599"/>
      <c r="V763" s="599"/>
      <c r="W763" s="599"/>
      <c r="X763" s="599"/>
      <c r="Y763" s="599"/>
      <c r="Z763" s="599"/>
    </row>
    <row r="764" spans="1:26" ht="15.75" customHeight="1">
      <c r="A764" s="599"/>
      <c r="B764" s="599"/>
      <c r="C764" s="599"/>
      <c r="D764" s="599"/>
      <c r="E764" s="599"/>
      <c r="F764" s="599"/>
      <c r="G764" s="599"/>
      <c r="H764" s="599"/>
      <c r="I764" s="599"/>
      <c r="J764" s="599"/>
      <c r="K764" s="599"/>
      <c r="L764" s="599"/>
      <c r="M764" s="599"/>
      <c r="N764" s="599"/>
      <c r="O764" s="599"/>
      <c r="P764" s="599"/>
      <c r="Q764" s="599"/>
      <c r="R764" s="599"/>
      <c r="S764" s="599"/>
      <c r="T764" s="599"/>
      <c r="U764" s="599"/>
      <c r="V764" s="599"/>
      <c r="W764" s="599"/>
      <c r="X764" s="599"/>
      <c r="Y764" s="599"/>
      <c r="Z764" s="599"/>
    </row>
    <row r="765" spans="1:26" ht="15.75" customHeight="1">
      <c r="A765" s="599"/>
      <c r="B765" s="599"/>
      <c r="C765" s="599"/>
      <c r="D765" s="599"/>
      <c r="E765" s="599"/>
      <c r="F765" s="599"/>
      <c r="G765" s="599"/>
      <c r="H765" s="599"/>
      <c r="I765" s="599"/>
      <c r="J765" s="599"/>
      <c r="K765" s="599"/>
      <c r="L765" s="599"/>
      <c r="M765" s="599"/>
      <c r="N765" s="599"/>
      <c r="O765" s="599"/>
      <c r="P765" s="599"/>
      <c r="Q765" s="599"/>
      <c r="R765" s="599"/>
      <c r="S765" s="599"/>
      <c r="T765" s="599"/>
      <c r="U765" s="599"/>
      <c r="V765" s="599"/>
      <c r="W765" s="599"/>
      <c r="X765" s="599"/>
      <c r="Y765" s="599"/>
      <c r="Z765" s="599"/>
    </row>
    <row r="766" spans="1:26" ht="15.75" customHeight="1">
      <c r="A766" s="599"/>
      <c r="B766" s="599"/>
      <c r="C766" s="599"/>
      <c r="D766" s="599"/>
      <c r="E766" s="599"/>
      <c r="F766" s="599"/>
      <c r="G766" s="599"/>
      <c r="H766" s="599"/>
      <c r="I766" s="599"/>
      <c r="J766" s="599"/>
      <c r="K766" s="599"/>
      <c r="L766" s="599"/>
      <c r="M766" s="599"/>
      <c r="N766" s="599"/>
      <c r="O766" s="599"/>
      <c r="P766" s="599"/>
      <c r="Q766" s="599"/>
      <c r="R766" s="599"/>
      <c r="S766" s="599"/>
      <c r="T766" s="599"/>
      <c r="U766" s="599"/>
      <c r="V766" s="599"/>
      <c r="W766" s="599"/>
      <c r="X766" s="599"/>
      <c r="Y766" s="599"/>
      <c r="Z766" s="599"/>
    </row>
    <row r="767" spans="1:26" ht="15.75" customHeight="1">
      <c r="A767" s="599"/>
      <c r="B767" s="599"/>
      <c r="C767" s="599"/>
      <c r="D767" s="599"/>
      <c r="E767" s="599"/>
      <c r="F767" s="599"/>
      <c r="G767" s="599"/>
      <c r="H767" s="599"/>
      <c r="I767" s="599"/>
      <c r="J767" s="599"/>
      <c r="K767" s="599"/>
      <c r="L767" s="599"/>
      <c r="M767" s="599"/>
      <c r="N767" s="599"/>
      <c r="O767" s="599"/>
      <c r="P767" s="599"/>
      <c r="Q767" s="599"/>
      <c r="R767" s="599"/>
      <c r="S767" s="599"/>
      <c r="T767" s="599"/>
      <c r="U767" s="599"/>
      <c r="V767" s="599"/>
      <c r="W767" s="599"/>
      <c r="X767" s="599"/>
      <c r="Y767" s="599"/>
      <c r="Z767" s="599"/>
    </row>
    <row r="768" spans="1:26" ht="15.75" customHeight="1">
      <c r="A768" s="599"/>
      <c r="B768" s="599"/>
      <c r="C768" s="599"/>
      <c r="D768" s="599"/>
      <c r="E768" s="599"/>
      <c r="F768" s="599"/>
      <c r="G768" s="599"/>
      <c r="H768" s="599"/>
      <c r="I768" s="599"/>
      <c r="J768" s="599"/>
      <c r="K768" s="599"/>
      <c r="L768" s="599"/>
      <c r="M768" s="599"/>
      <c r="N768" s="599"/>
      <c r="O768" s="599"/>
      <c r="P768" s="599"/>
      <c r="Q768" s="599"/>
      <c r="R768" s="599"/>
      <c r="S768" s="599"/>
      <c r="T768" s="599"/>
      <c r="U768" s="599"/>
      <c r="V768" s="599"/>
      <c r="W768" s="599"/>
      <c r="X768" s="599"/>
      <c r="Y768" s="599"/>
      <c r="Z768" s="599"/>
    </row>
    <row r="769" spans="1:26" ht="15.75" customHeight="1">
      <c r="A769" s="599"/>
      <c r="B769" s="599"/>
      <c r="C769" s="599"/>
      <c r="D769" s="599"/>
      <c r="E769" s="599"/>
      <c r="F769" s="599"/>
      <c r="G769" s="599"/>
      <c r="H769" s="599"/>
      <c r="I769" s="599"/>
      <c r="J769" s="599"/>
      <c r="K769" s="599"/>
      <c r="L769" s="599"/>
      <c r="M769" s="599"/>
      <c r="N769" s="599"/>
      <c r="O769" s="599"/>
      <c r="P769" s="599"/>
      <c r="Q769" s="599"/>
      <c r="R769" s="599"/>
      <c r="S769" s="599"/>
      <c r="T769" s="599"/>
      <c r="U769" s="599"/>
      <c r="V769" s="599"/>
      <c r="W769" s="599"/>
      <c r="X769" s="599"/>
      <c r="Y769" s="599"/>
      <c r="Z769" s="599"/>
    </row>
    <row r="770" spans="1:26" ht="15.75" customHeight="1">
      <c r="A770" s="599"/>
      <c r="B770" s="599"/>
      <c r="C770" s="599"/>
      <c r="D770" s="599"/>
      <c r="E770" s="599"/>
      <c r="F770" s="599"/>
      <c r="G770" s="599"/>
      <c r="H770" s="599"/>
      <c r="I770" s="599"/>
      <c r="J770" s="599"/>
      <c r="K770" s="599"/>
      <c r="L770" s="599"/>
      <c r="M770" s="599"/>
      <c r="N770" s="599"/>
      <c r="O770" s="599"/>
      <c r="P770" s="599"/>
      <c r="Q770" s="599"/>
      <c r="R770" s="599"/>
      <c r="S770" s="599"/>
      <c r="T770" s="599"/>
      <c r="U770" s="599"/>
      <c r="V770" s="599"/>
      <c r="W770" s="599"/>
      <c r="X770" s="599"/>
      <c r="Y770" s="599"/>
      <c r="Z770" s="599"/>
    </row>
    <row r="771" spans="1:26" ht="15.75" customHeight="1">
      <c r="A771" s="599"/>
      <c r="B771" s="599"/>
      <c r="C771" s="599"/>
      <c r="D771" s="599"/>
      <c r="E771" s="599"/>
      <c r="F771" s="599"/>
      <c r="G771" s="599"/>
      <c r="H771" s="599"/>
      <c r="I771" s="599"/>
      <c r="J771" s="599"/>
      <c r="K771" s="599"/>
      <c r="L771" s="599"/>
      <c r="M771" s="599"/>
      <c r="N771" s="599"/>
      <c r="O771" s="599"/>
      <c r="P771" s="599"/>
      <c r="Q771" s="599"/>
      <c r="R771" s="599"/>
      <c r="S771" s="599"/>
      <c r="T771" s="599"/>
      <c r="U771" s="599"/>
      <c r="V771" s="599"/>
      <c r="W771" s="599"/>
      <c r="X771" s="599"/>
      <c r="Y771" s="599"/>
      <c r="Z771" s="599"/>
    </row>
    <row r="772" spans="1:26" ht="15.75" customHeight="1">
      <c r="A772" s="599"/>
      <c r="B772" s="599"/>
      <c r="C772" s="599"/>
      <c r="D772" s="599"/>
      <c r="E772" s="599"/>
      <c r="F772" s="599"/>
      <c r="G772" s="599"/>
      <c r="H772" s="599"/>
      <c r="I772" s="599"/>
      <c r="J772" s="599"/>
      <c r="K772" s="599"/>
      <c r="L772" s="599"/>
      <c r="M772" s="599"/>
      <c r="N772" s="599"/>
      <c r="O772" s="599"/>
      <c r="P772" s="599"/>
      <c r="Q772" s="599"/>
      <c r="R772" s="599"/>
      <c r="S772" s="599"/>
      <c r="T772" s="599"/>
      <c r="U772" s="599"/>
      <c r="V772" s="599"/>
      <c r="W772" s="599"/>
      <c r="X772" s="599"/>
      <c r="Y772" s="599"/>
      <c r="Z772" s="599"/>
    </row>
    <row r="773" spans="1:26" ht="15.75" customHeight="1">
      <c r="A773" s="599"/>
      <c r="B773" s="599"/>
      <c r="C773" s="599"/>
      <c r="D773" s="599"/>
      <c r="E773" s="599"/>
      <c r="F773" s="599"/>
      <c r="G773" s="599"/>
      <c r="H773" s="599"/>
      <c r="I773" s="599"/>
      <c r="J773" s="599"/>
      <c r="K773" s="599"/>
      <c r="L773" s="599"/>
      <c r="M773" s="599"/>
      <c r="N773" s="599"/>
      <c r="O773" s="599"/>
      <c r="P773" s="599"/>
      <c r="Q773" s="599"/>
      <c r="R773" s="599"/>
      <c r="S773" s="599"/>
      <c r="T773" s="599"/>
      <c r="U773" s="599"/>
      <c r="V773" s="599"/>
      <c r="W773" s="599"/>
      <c r="X773" s="599"/>
      <c r="Y773" s="599"/>
      <c r="Z773" s="599"/>
    </row>
    <row r="774" spans="1:26" ht="15.75" customHeight="1">
      <c r="A774" s="599"/>
      <c r="B774" s="599"/>
      <c r="C774" s="599"/>
      <c r="D774" s="599"/>
      <c r="E774" s="599"/>
      <c r="F774" s="599"/>
      <c r="G774" s="599"/>
      <c r="H774" s="599"/>
      <c r="I774" s="599"/>
      <c r="J774" s="599"/>
      <c r="K774" s="599"/>
      <c r="L774" s="599"/>
      <c r="M774" s="599"/>
      <c r="N774" s="599"/>
      <c r="O774" s="599"/>
      <c r="P774" s="599"/>
      <c r="Q774" s="599"/>
      <c r="R774" s="599"/>
      <c r="S774" s="599"/>
      <c r="T774" s="599"/>
      <c r="U774" s="599"/>
      <c r="V774" s="599"/>
      <c r="W774" s="599"/>
      <c r="X774" s="599"/>
      <c r="Y774" s="599"/>
      <c r="Z774" s="599"/>
    </row>
    <row r="775" spans="1:26" ht="15.75" customHeight="1">
      <c r="A775" s="599"/>
      <c r="B775" s="599"/>
      <c r="C775" s="599"/>
      <c r="D775" s="599"/>
      <c r="E775" s="599"/>
      <c r="F775" s="599"/>
      <c r="G775" s="599"/>
      <c r="H775" s="599"/>
      <c r="I775" s="599"/>
      <c r="J775" s="599"/>
      <c r="K775" s="599"/>
      <c r="L775" s="599"/>
      <c r="M775" s="599"/>
      <c r="N775" s="599"/>
      <c r="O775" s="599"/>
      <c r="P775" s="599"/>
      <c r="Q775" s="599"/>
      <c r="R775" s="599"/>
      <c r="S775" s="599"/>
      <c r="T775" s="599"/>
      <c r="U775" s="599"/>
      <c r="V775" s="599"/>
      <c r="W775" s="599"/>
      <c r="X775" s="599"/>
      <c r="Y775" s="599"/>
      <c r="Z775" s="599"/>
    </row>
    <row r="776" spans="1:26" ht="15.75" customHeight="1">
      <c r="A776" s="599"/>
      <c r="B776" s="599"/>
      <c r="C776" s="599"/>
      <c r="D776" s="599"/>
      <c r="E776" s="599"/>
      <c r="F776" s="599"/>
      <c r="G776" s="599"/>
      <c r="H776" s="599"/>
      <c r="I776" s="599"/>
      <c r="J776" s="599"/>
      <c r="K776" s="599"/>
      <c r="L776" s="599"/>
      <c r="M776" s="599"/>
      <c r="N776" s="599"/>
      <c r="O776" s="599"/>
      <c r="P776" s="599"/>
      <c r="Q776" s="599"/>
      <c r="R776" s="599"/>
      <c r="S776" s="599"/>
      <c r="T776" s="599"/>
      <c r="U776" s="599"/>
      <c r="V776" s="599"/>
      <c r="W776" s="599"/>
      <c r="X776" s="599"/>
      <c r="Y776" s="599"/>
      <c r="Z776" s="599"/>
    </row>
    <row r="777" spans="1:26" ht="15.75" customHeight="1">
      <c r="A777" s="599"/>
      <c r="B777" s="599"/>
      <c r="C777" s="599"/>
      <c r="D777" s="599"/>
      <c r="E777" s="599"/>
      <c r="F777" s="599"/>
      <c r="G777" s="599"/>
      <c r="H777" s="599"/>
      <c r="I777" s="599"/>
      <c r="J777" s="599"/>
      <c r="K777" s="599"/>
      <c r="L777" s="599"/>
      <c r="M777" s="599"/>
      <c r="N777" s="599"/>
      <c r="O777" s="599"/>
      <c r="P777" s="599"/>
      <c r="Q777" s="599"/>
      <c r="R777" s="599"/>
      <c r="S777" s="599"/>
      <c r="T777" s="599"/>
      <c r="U777" s="599"/>
      <c r="V777" s="599"/>
      <c r="W777" s="599"/>
      <c r="X777" s="599"/>
      <c r="Y777" s="599"/>
      <c r="Z777" s="599"/>
    </row>
    <row r="778" spans="1:26" ht="15.75" customHeight="1">
      <c r="A778" s="599"/>
      <c r="B778" s="599"/>
      <c r="C778" s="599"/>
      <c r="D778" s="599"/>
      <c r="E778" s="599"/>
      <c r="F778" s="599"/>
      <c r="G778" s="599"/>
      <c r="H778" s="599"/>
      <c r="I778" s="599"/>
      <c r="J778" s="599"/>
      <c r="K778" s="599"/>
      <c r="L778" s="599"/>
      <c r="M778" s="599"/>
      <c r="N778" s="599"/>
      <c r="O778" s="599"/>
      <c r="P778" s="599"/>
      <c r="Q778" s="599"/>
      <c r="R778" s="599"/>
      <c r="S778" s="599"/>
      <c r="T778" s="599"/>
      <c r="U778" s="599"/>
      <c r="V778" s="599"/>
      <c r="W778" s="599"/>
      <c r="X778" s="599"/>
      <c r="Y778" s="599"/>
      <c r="Z778" s="599"/>
    </row>
    <row r="779" spans="1:26" ht="15.75" customHeight="1">
      <c r="A779" s="599"/>
      <c r="B779" s="599"/>
      <c r="C779" s="599"/>
      <c r="D779" s="599"/>
      <c r="E779" s="599"/>
      <c r="F779" s="599"/>
      <c r="G779" s="599"/>
      <c r="H779" s="599"/>
      <c r="I779" s="599"/>
      <c r="J779" s="599"/>
      <c r="K779" s="599"/>
      <c r="L779" s="599"/>
      <c r="M779" s="599"/>
      <c r="N779" s="599"/>
      <c r="O779" s="599"/>
      <c r="P779" s="599"/>
      <c r="Q779" s="599"/>
      <c r="R779" s="599"/>
      <c r="S779" s="599"/>
      <c r="T779" s="599"/>
      <c r="U779" s="599"/>
      <c r="V779" s="599"/>
      <c r="W779" s="599"/>
      <c r="X779" s="599"/>
      <c r="Y779" s="599"/>
      <c r="Z779" s="599"/>
    </row>
    <row r="780" spans="1:26" ht="15.75" customHeight="1">
      <c r="A780" s="599"/>
      <c r="B780" s="599"/>
      <c r="C780" s="599"/>
      <c r="D780" s="599"/>
      <c r="E780" s="599"/>
      <c r="F780" s="599"/>
      <c r="G780" s="599"/>
      <c r="H780" s="599"/>
      <c r="I780" s="599"/>
      <c r="J780" s="599"/>
      <c r="K780" s="599"/>
      <c r="L780" s="599"/>
      <c r="M780" s="599"/>
      <c r="N780" s="599"/>
      <c r="O780" s="599"/>
      <c r="P780" s="599"/>
      <c r="Q780" s="599"/>
      <c r="R780" s="599"/>
      <c r="S780" s="599"/>
      <c r="T780" s="599"/>
      <c r="U780" s="599"/>
      <c r="V780" s="599"/>
      <c r="W780" s="599"/>
      <c r="X780" s="599"/>
      <c r="Y780" s="599"/>
      <c r="Z780" s="599"/>
    </row>
    <row r="781" spans="1:26" ht="15.75" customHeight="1">
      <c r="A781" s="599"/>
      <c r="B781" s="599"/>
      <c r="C781" s="599"/>
      <c r="D781" s="599"/>
      <c r="E781" s="599"/>
      <c r="F781" s="599"/>
      <c r="G781" s="599"/>
      <c r="H781" s="599"/>
      <c r="I781" s="599"/>
      <c r="J781" s="599"/>
      <c r="K781" s="599"/>
      <c r="L781" s="599"/>
      <c r="M781" s="599"/>
      <c r="N781" s="599"/>
      <c r="O781" s="599"/>
      <c r="P781" s="599"/>
      <c r="Q781" s="599"/>
      <c r="R781" s="599"/>
      <c r="S781" s="599"/>
      <c r="T781" s="599"/>
      <c r="U781" s="599"/>
      <c r="V781" s="599"/>
      <c r="W781" s="599"/>
      <c r="X781" s="599"/>
      <c r="Y781" s="599"/>
      <c r="Z781" s="599"/>
    </row>
    <row r="782" spans="1:26" ht="15.75" customHeight="1">
      <c r="A782" s="599"/>
      <c r="B782" s="599"/>
      <c r="C782" s="599"/>
      <c r="D782" s="599"/>
      <c r="E782" s="599"/>
      <c r="F782" s="599"/>
      <c r="G782" s="599"/>
      <c r="H782" s="599"/>
      <c r="I782" s="599"/>
      <c r="J782" s="599"/>
      <c r="K782" s="599"/>
      <c r="L782" s="599"/>
      <c r="M782" s="599"/>
      <c r="N782" s="599"/>
      <c r="O782" s="599"/>
      <c r="P782" s="599"/>
      <c r="Q782" s="599"/>
      <c r="R782" s="599"/>
      <c r="S782" s="599"/>
      <c r="T782" s="599"/>
      <c r="U782" s="599"/>
      <c r="V782" s="599"/>
      <c r="W782" s="599"/>
      <c r="X782" s="599"/>
      <c r="Y782" s="599"/>
      <c r="Z782" s="599"/>
    </row>
    <row r="783" spans="1:26" ht="15.75" customHeight="1">
      <c r="A783" s="599"/>
      <c r="B783" s="599"/>
      <c r="C783" s="599"/>
      <c r="D783" s="599"/>
      <c r="E783" s="599"/>
      <c r="F783" s="599"/>
      <c r="G783" s="599"/>
      <c r="H783" s="599"/>
      <c r="I783" s="599"/>
      <c r="J783" s="599"/>
      <c r="K783" s="599"/>
      <c r="L783" s="599"/>
      <c r="M783" s="599"/>
      <c r="N783" s="599"/>
      <c r="O783" s="599"/>
      <c r="P783" s="599"/>
      <c r="Q783" s="599"/>
      <c r="R783" s="599"/>
      <c r="S783" s="599"/>
      <c r="T783" s="599"/>
      <c r="U783" s="599"/>
      <c r="V783" s="599"/>
      <c r="W783" s="599"/>
      <c r="X783" s="599"/>
      <c r="Y783" s="599"/>
      <c r="Z783" s="599"/>
    </row>
    <row r="784" spans="1:26" ht="15.75" customHeight="1">
      <c r="A784" s="599"/>
      <c r="B784" s="599"/>
      <c r="C784" s="599"/>
      <c r="D784" s="599"/>
      <c r="E784" s="599"/>
      <c r="F784" s="599"/>
      <c r="G784" s="599"/>
      <c r="H784" s="599"/>
      <c r="I784" s="599"/>
      <c r="J784" s="599"/>
      <c r="K784" s="599"/>
      <c r="L784" s="599"/>
      <c r="M784" s="599"/>
      <c r="N784" s="599"/>
      <c r="O784" s="599"/>
      <c r="P784" s="599"/>
      <c r="Q784" s="599"/>
      <c r="R784" s="599"/>
      <c r="S784" s="599"/>
      <c r="T784" s="599"/>
      <c r="U784" s="599"/>
      <c r="V784" s="599"/>
      <c r="W784" s="599"/>
      <c r="X784" s="599"/>
      <c r="Y784" s="599"/>
      <c r="Z784" s="599"/>
    </row>
    <row r="785" spans="1:26" ht="15.75" customHeight="1">
      <c r="A785" s="599"/>
      <c r="B785" s="599"/>
      <c r="C785" s="599"/>
      <c r="D785" s="599"/>
      <c r="E785" s="599"/>
      <c r="F785" s="599"/>
      <c r="G785" s="599"/>
      <c r="H785" s="599"/>
      <c r="I785" s="599"/>
      <c r="J785" s="599"/>
      <c r="K785" s="599"/>
      <c r="L785" s="599"/>
      <c r="M785" s="599"/>
      <c r="N785" s="599"/>
      <c r="O785" s="599"/>
      <c r="P785" s="599"/>
      <c r="Q785" s="599"/>
      <c r="R785" s="599"/>
      <c r="S785" s="599"/>
      <c r="T785" s="599"/>
      <c r="U785" s="599"/>
      <c r="V785" s="599"/>
      <c r="W785" s="599"/>
      <c r="X785" s="599"/>
      <c r="Y785" s="599"/>
      <c r="Z785" s="599"/>
    </row>
    <row r="786" spans="1:26" ht="15.75" customHeight="1">
      <c r="A786" s="599"/>
      <c r="B786" s="599"/>
      <c r="C786" s="599"/>
      <c r="D786" s="599"/>
      <c r="E786" s="599"/>
      <c r="F786" s="599"/>
      <c r="G786" s="599"/>
      <c r="H786" s="599"/>
      <c r="I786" s="599"/>
      <c r="J786" s="599"/>
      <c r="K786" s="599"/>
      <c r="L786" s="599"/>
      <c r="M786" s="599"/>
      <c r="N786" s="599"/>
      <c r="O786" s="599"/>
      <c r="P786" s="599"/>
      <c r="Q786" s="599"/>
      <c r="R786" s="599"/>
      <c r="S786" s="599"/>
      <c r="T786" s="599"/>
      <c r="U786" s="599"/>
      <c r="V786" s="599"/>
      <c r="W786" s="599"/>
      <c r="X786" s="599"/>
      <c r="Y786" s="599"/>
      <c r="Z786" s="599"/>
    </row>
    <row r="787" spans="1:26" ht="15.75" customHeight="1">
      <c r="A787" s="599"/>
      <c r="B787" s="599"/>
      <c r="C787" s="599"/>
      <c r="D787" s="599"/>
      <c r="E787" s="599"/>
      <c r="F787" s="599"/>
      <c r="G787" s="599"/>
      <c r="H787" s="599"/>
      <c r="I787" s="599"/>
      <c r="J787" s="599"/>
      <c r="K787" s="599"/>
      <c r="L787" s="599"/>
      <c r="M787" s="599"/>
      <c r="N787" s="599"/>
      <c r="O787" s="599"/>
      <c r="P787" s="599"/>
      <c r="Q787" s="599"/>
      <c r="R787" s="599"/>
      <c r="S787" s="599"/>
      <c r="T787" s="599"/>
      <c r="U787" s="599"/>
      <c r="V787" s="599"/>
      <c r="W787" s="599"/>
      <c r="X787" s="599"/>
      <c r="Y787" s="599"/>
      <c r="Z787" s="599"/>
    </row>
    <row r="788" spans="1:26" ht="15.75" customHeight="1">
      <c r="A788" s="599"/>
      <c r="B788" s="599"/>
      <c r="C788" s="599"/>
      <c r="D788" s="599"/>
      <c r="E788" s="599"/>
      <c r="F788" s="599"/>
      <c r="G788" s="599"/>
      <c r="H788" s="599"/>
      <c r="I788" s="599"/>
      <c r="J788" s="599"/>
      <c r="K788" s="599"/>
      <c r="L788" s="599"/>
      <c r="M788" s="599"/>
      <c r="N788" s="599"/>
      <c r="O788" s="599"/>
      <c r="P788" s="599"/>
      <c r="Q788" s="599"/>
      <c r="R788" s="599"/>
      <c r="S788" s="599"/>
      <c r="T788" s="599"/>
      <c r="U788" s="599"/>
      <c r="V788" s="599"/>
      <c r="W788" s="599"/>
      <c r="X788" s="599"/>
      <c r="Y788" s="599"/>
      <c r="Z788" s="599"/>
    </row>
    <row r="789" spans="1:26" ht="15.75" customHeight="1">
      <c r="A789" s="599"/>
      <c r="B789" s="599"/>
      <c r="C789" s="599"/>
      <c r="D789" s="599"/>
      <c r="E789" s="599"/>
      <c r="F789" s="599"/>
      <c r="G789" s="599"/>
      <c r="H789" s="599"/>
      <c r="I789" s="599"/>
      <c r="J789" s="599"/>
      <c r="K789" s="599"/>
      <c r="L789" s="599"/>
      <c r="M789" s="599"/>
      <c r="N789" s="599"/>
      <c r="O789" s="599"/>
      <c r="P789" s="599"/>
      <c r="Q789" s="599"/>
      <c r="R789" s="599"/>
      <c r="S789" s="599"/>
      <c r="T789" s="599"/>
      <c r="U789" s="599"/>
      <c r="V789" s="599"/>
      <c r="W789" s="599"/>
      <c r="X789" s="599"/>
      <c r="Y789" s="599"/>
      <c r="Z789" s="599"/>
    </row>
    <row r="790" spans="1:26" ht="15.75" customHeight="1">
      <c r="A790" s="599"/>
      <c r="B790" s="599"/>
      <c r="C790" s="599"/>
      <c r="D790" s="599"/>
      <c r="E790" s="599"/>
      <c r="F790" s="599"/>
      <c r="G790" s="599"/>
      <c r="H790" s="599"/>
      <c r="I790" s="599"/>
      <c r="J790" s="599"/>
      <c r="K790" s="599"/>
      <c r="L790" s="599"/>
      <c r="M790" s="599"/>
      <c r="N790" s="599"/>
      <c r="O790" s="599"/>
      <c r="P790" s="599"/>
      <c r="Q790" s="599"/>
      <c r="R790" s="599"/>
      <c r="S790" s="599"/>
      <c r="T790" s="599"/>
      <c r="U790" s="599"/>
      <c r="V790" s="599"/>
      <c r="W790" s="599"/>
      <c r="X790" s="599"/>
      <c r="Y790" s="599"/>
      <c r="Z790" s="599"/>
    </row>
    <row r="791" spans="1:26" ht="15.75" customHeight="1">
      <c r="A791" s="599"/>
      <c r="B791" s="599"/>
      <c r="C791" s="599"/>
      <c r="D791" s="599"/>
      <c r="E791" s="599"/>
      <c r="F791" s="599"/>
      <c r="G791" s="599"/>
      <c r="H791" s="599"/>
      <c r="I791" s="599"/>
      <c r="J791" s="599"/>
      <c r="K791" s="599"/>
      <c r="L791" s="599"/>
      <c r="M791" s="599"/>
      <c r="N791" s="599"/>
      <c r="O791" s="599"/>
      <c r="P791" s="599"/>
      <c r="Q791" s="599"/>
      <c r="R791" s="599"/>
      <c r="S791" s="599"/>
      <c r="T791" s="599"/>
      <c r="U791" s="599"/>
      <c r="V791" s="599"/>
      <c r="W791" s="599"/>
      <c r="X791" s="599"/>
      <c r="Y791" s="599"/>
      <c r="Z791" s="599"/>
    </row>
    <row r="792" spans="1:26" ht="15.75" customHeight="1">
      <c r="A792" s="599"/>
      <c r="B792" s="599"/>
      <c r="C792" s="599"/>
      <c r="D792" s="599"/>
      <c r="E792" s="599"/>
      <c r="F792" s="599"/>
      <c r="G792" s="599"/>
      <c r="H792" s="599"/>
      <c r="I792" s="599"/>
      <c r="J792" s="599"/>
      <c r="K792" s="599"/>
      <c r="L792" s="599"/>
      <c r="M792" s="599"/>
      <c r="N792" s="599"/>
      <c r="O792" s="599"/>
      <c r="P792" s="599"/>
      <c r="Q792" s="599"/>
      <c r="R792" s="599"/>
      <c r="S792" s="599"/>
      <c r="T792" s="599"/>
      <c r="U792" s="599"/>
      <c r="V792" s="599"/>
      <c r="W792" s="599"/>
      <c r="X792" s="599"/>
      <c r="Y792" s="599"/>
      <c r="Z792" s="599"/>
    </row>
    <row r="793" spans="1:26" ht="15.75" customHeight="1">
      <c r="A793" s="599"/>
      <c r="B793" s="599"/>
      <c r="C793" s="599"/>
      <c r="D793" s="599"/>
      <c r="E793" s="599"/>
      <c r="F793" s="599"/>
      <c r="G793" s="599"/>
      <c r="H793" s="599"/>
      <c r="I793" s="599"/>
      <c r="J793" s="599"/>
      <c r="K793" s="599"/>
      <c r="L793" s="599"/>
      <c r="M793" s="599"/>
      <c r="N793" s="599"/>
      <c r="O793" s="599"/>
      <c r="P793" s="599"/>
      <c r="Q793" s="599"/>
      <c r="R793" s="599"/>
      <c r="S793" s="599"/>
      <c r="T793" s="599"/>
      <c r="U793" s="599"/>
      <c r="V793" s="599"/>
      <c r="W793" s="599"/>
      <c r="X793" s="599"/>
      <c r="Y793" s="599"/>
      <c r="Z793" s="599"/>
    </row>
    <row r="794" spans="1:26" ht="15.75" customHeight="1">
      <c r="A794" s="599"/>
      <c r="B794" s="599"/>
      <c r="C794" s="599"/>
      <c r="D794" s="599"/>
      <c r="E794" s="599"/>
      <c r="F794" s="599"/>
      <c r="G794" s="599"/>
      <c r="H794" s="599"/>
      <c r="I794" s="599"/>
      <c r="J794" s="599"/>
      <c r="K794" s="599"/>
      <c r="L794" s="599"/>
      <c r="M794" s="599"/>
      <c r="N794" s="599"/>
      <c r="O794" s="599"/>
      <c r="P794" s="599"/>
      <c r="Q794" s="599"/>
      <c r="R794" s="599"/>
      <c r="S794" s="599"/>
      <c r="T794" s="599"/>
      <c r="U794" s="599"/>
      <c r="V794" s="599"/>
      <c r="W794" s="599"/>
      <c r="X794" s="599"/>
      <c r="Y794" s="599"/>
      <c r="Z794" s="599"/>
    </row>
    <row r="795" spans="1:26" ht="15.75" customHeight="1">
      <c r="A795" s="599"/>
      <c r="B795" s="599"/>
      <c r="C795" s="599"/>
      <c r="D795" s="599"/>
      <c r="E795" s="599"/>
      <c r="F795" s="599"/>
      <c r="G795" s="599"/>
      <c r="H795" s="599"/>
      <c r="I795" s="599"/>
      <c r="J795" s="599"/>
      <c r="K795" s="599"/>
      <c r="L795" s="599"/>
      <c r="M795" s="599"/>
      <c r="N795" s="599"/>
      <c r="O795" s="599"/>
      <c r="P795" s="599"/>
      <c r="Q795" s="599"/>
      <c r="R795" s="599"/>
      <c r="S795" s="599"/>
      <c r="T795" s="599"/>
      <c r="U795" s="599"/>
      <c r="V795" s="599"/>
      <c r="W795" s="599"/>
      <c r="X795" s="599"/>
      <c r="Y795" s="599"/>
      <c r="Z795" s="599"/>
    </row>
    <row r="796" spans="1:26" ht="15.75" customHeight="1">
      <c r="A796" s="599"/>
      <c r="B796" s="599"/>
      <c r="C796" s="599"/>
      <c r="D796" s="599"/>
      <c r="E796" s="599"/>
      <c r="F796" s="599"/>
      <c r="G796" s="599"/>
      <c r="H796" s="599"/>
      <c r="I796" s="599"/>
      <c r="J796" s="599"/>
      <c r="K796" s="599"/>
      <c r="L796" s="599"/>
      <c r="M796" s="599"/>
      <c r="N796" s="599"/>
      <c r="O796" s="599"/>
      <c r="P796" s="599"/>
      <c r="Q796" s="599"/>
      <c r="R796" s="599"/>
      <c r="S796" s="599"/>
      <c r="T796" s="599"/>
      <c r="U796" s="599"/>
      <c r="V796" s="599"/>
      <c r="W796" s="599"/>
      <c r="X796" s="599"/>
      <c r="Y796" s="599"/>
      <c r="Z796" s="599"/>
    </row>
    <row r="797" spans="1:26" ht="15.75" customHeight="1">
      <c r="A797" s="599"/>
      <c r="B797" s="599"/>
      <c r="C797" s="599"/>
      <c r="D797" s="599"/>
      <c r="E797" s="599"/>
      <c r="F797" s="599"/>
      <c r="G797" s="599"/>
      <c r="H797" s="599"/>
      <c r="I797" s="599"/>
      <c r="J797" s="599"/>
      <c r="K797" s="599"/>
      <c r="L797" s="599"/>
      <c r="M797" s="599"/>
      <c r="N797" s="599"/>
      <c r="O797" s="599"/>
      <c r="P797" s="599"/>
      <c r="Q797" s="599"/>
      <c r="R797" s="599"/>
      <c r="S797" s="599"/>
      <c r="T797" s="599"/>
      <c r="U797" s="599"/>
      <c r="V797" s="599"/>
      <c r="W797" s="599"/>
      <c r="X797" s="599"/>
      <c r="Y797" s="599"/>
      <c r="Z797" s="599"/>
    </row>
    <row r="798" spans="1:26" ht="15.75" customHeight="1">
      <c r="A798" s="599"/>
      <c r="B798" s="599"/>
      <c r="C798" s="599"/>
      <c r="D798" s="599"/>
      <c r="E798" s="599"/>
      <c r="F798" s="599"/>
      <c r="G798" s="599"/>
      <c r="H798" s="599"/>
      <c r="I798" s="599"/>
      <c r="J798" s="599"/>
      <c r="K798" s="599"/>
      <c r="L798" s="599"/>
      <c r="M798" s="599"/>
      <c r="N798" s="599"/>
      <c r="O798" s="599"/>
      <c r="P798" s="599"/>
      <c r="Q798" s="599"/>
      <c r="R798" s="599"/>
      <c r="S798" s="599"/>
      <c r="T798" s="599"/>
      <c r="U798" s="599"/>
      <c r="V798" s="599"/>
      <c r="W798" s="599"/>
      <c r="X798" s="599"/>
      <c r="Y798" s="599"/>
      <c r="Z798" s="599"/>
    </row>
    <row r="799" spans="1:26" ht="15.75" customHeight="1">
      <c r="A799" s="599"/>
      <c r="B799" s="599"/>
      <c r="C799" s="599"/>
      <c r="D799" s="599"/>
      <c r="E799" s="599"/>
      <c r="F799" s="599"/>
      <c r="G799" s="599"/>
      <c r="H799" s="599"/>
      <c r="I799" s="599"/>
      <c r="J799" s="599"/>
      <c r="K799" s="599"/>
      <c r="L799" s="599"/>
      <c r="M799" s="599"/>
      <c r="N799" s="599"/>
      <c r="O799" s="599"/>
      <c r="P799" s="599"/>
      <c r="Q799" s="599"/>
      <c r="R799" s="599"/>
      <c r="S799" s="599"/>
      <c r="T799" s="599"/>
      <c r="U799" s="599"/>
      <c r="V799" s="599"/>
      <c r="W799" s="599"/>
      <c r="X799" s="599"/>
      <c r="Y799" s="599"/>
      <c r="Z799" s="599"/>
    </row>
    <row r="800" spans="1:26" ht="15.75" customHeight="1">
      <c r="A800" s="599"/>
      <c r="B800" s="599"/>
      <c r="C800" s="599"/>
      <c r="D800" s="599"/>
      <c r="E800" s="599"/>
      <c r="F800" s="599"/>
      <c r="G800" s="599"/>
      <c r="H800" s="599"/>
      <c r="I800" s="599"/>
      <c r="J800" s="599"/>
      <c r="K800" s="599"/>
      <c r="L800" s="599"/>
      <c r="M800" s="599"/>
      <c r="N800" s="599"/>
      <c r="O800" s="599"/>
      <c r="P800" s="599"/>
      <c r="Q800" s="599"/>
      <c r="R800" s="599"/>
      <c r="S800" s="599"/>
      <c r="T800" s="599"/>
      <c r="U800" s="599"/>
      <c r="V800" s="599"/>
      <c r="W800" s="599"/>
      <c r="X800" s="599"/>
      <c r="Y800" s="599"/>
      <c r="Z800" s="599"/>
    </row>
    <row r="801" spans="1:26" ht="15.75" customHeight="1">
      <c r="A801" s="599"/>
      <c r="B801" s="599"/>
      <c r="C801" s="599"/>
      <c r="D801" s="599"/>
      <c r="E801" s="599"/>
      <c r="F801" s="599"/>
      <c r="G801" s="599"/>
      <c r="H801" s="599"/>
      <c r="I801" s="599"/>
      <c r="J801" s="599"/>
      <c r="K801" s="599"/>
      <c r="L801" s="599"/>
      <c r="M801" s="599"/>
      <c r="N801" s="599"/>
      <c r="O801" s="599"/>
      <c r="P801" s="599"/>
      <c r="Q801" s="599"/>
      <c r="R801" s="599"/>
      <c r="S801" s="599"/>
      <c r="T801" s="599"/>
      <c r="U801" s="599"/>
      <c r="V801" s="599"/>
      <c r="W801" s="599"/>
      <c r="X801" s="599"/>
      <c r="Y801" s="599"/>
      <c r="Z801" s="599"/>
    </row>
    <row r="802" spans="1:26" ht="15.75" customHeight="1">
      <c r="A802" s="599"/>
      <c r="B802" s="599"/>
      <c r="C802" s="599"/>
      <c r="D802" s="599"/>
      <c r="E802" s="599"/>
      <c r="F802" s="599"/>
      <c r="G802" s="599"/>
      <c r="H802" s="599"/>
      <c r="I802" s="599"/>
      <c r="J802" s="599"/>
      <c r="K802" s="599"/>
      <c r="L802" s="599"/>
      <c r="M802" s="599"/>
      <c r="N802" s="599"/>
      <c r="O802" s="599"/>
      <c r="P802" s="599"/>
      <c r="Q802" s="599"/>
      <c r="R802" s="599"/>
      <c r="S802" s="599"/>
      <c r="T802" s="599"/>
      <c r="U802" s="599"/>
      <c r="V802" s="599"/>
      <c r="W802" s="599"/>
      <c r="X802" s="599"/>
      <c r="Y802" s="599"/>
      <c r="Z802" s="599"/>
    </row>
    <row r="803" spans="1:26" ht="15.75" customHeight="1">
      <c r="A803" s="599"/>
      <c r="B803" s="599"/>
      <c r="C803" s="599"/>
      <c r="D803" s="599"/>
      <c r="E803" s="599"/>
      <c r="F803" s="599"/>
      <c r="G803" s="599"/>
      <c r="H803" s="599"/>
      <c r="I803" s="599"/>
      <c r="J803" s="599"/>
      <c r="K803" s="599"/>
      <c r="L803" s="599"/>
      <c r="M803" s="599"/>
      <c r="N803" s="599"/>
      <c r="O803" s="599"/>
      <c r="P803" s="599"/>
      <c r="Q803" s="599"/>
      <c r="R803" s="599"/>
      <c r="S803" s="599"/>
      <c r="T803" s="599"/>
      <c r="U803" s="599"/>
      <c r="V803" s="599"/>
      <c r="W803" s="599"/>
      <c r="X803" s="599"/>
      <c r="Y803" s="599"/>
      <c r="Z803" s="599"/>
    </row>
    <row r="804" spans="1:26" ht="15.75" customHeight="1">
      <c r="A804" s="599"/>
      <c r="B804" s="599"/>
      <c r="C804" s="599"/>
      <c r="D804" s="599"/>
      <c r="E804" s="599"/>
      <c r="F804" s="599"/>
      <c r="G804" s="599"/>
      <c r="H804" s="599"/>
      <c r="I804" s="599"/>
      <c r="J804" s="599"/>
      <c r="K804" s="599"/>
      <c r="L804" s="599"/>
      <c r="M804" s="599"/>
      <c r="N804" s="599"/>
      <c r="O804" s="599"/>
      <c r="P804" s="599"/>
      <c r="Q804" s="599"/>
      <c r="R804" s="599"/>
      <c r="S804" s="599"/>
      <c r="T804" s="599"/>
      <c r="U804" s="599"/>
      <c r="V804" s="599"/>
      <c r="W804" s="599"/>
      <c r="X804" s="599"/>
      <c r="Y804" s="599"/>
      <c r="Z804" s="599"/>
    </row>
    <row r="805" spans="1:26" ht="15.75" customHeight="1">
      <c r="A805" s="599"/>
      <c r="B805" s="599"/>
      <c r="C805" s="599"/>
      <c r="D805" s="599"/>
      <c r="E805" s="599"/>
      <c r="F805" s="599"/>
      <c r="G805" s="599"/>
      <c r="H805" s="599"/>
      <c r="I805" s="599"/>
      <c r="J805" s="599"/>
      <c r="K805" s="599"/>
      <c r="L805" s="599"/>
      <c r="M805" s="599"/>
      <c r="N805" s="599"/>
      <c r="O805" s="599"/>
      <c r="P805" s="599"/>
      <c r="Q805" s="599"/>
      <c r="R805" s="599"/>
      <c r="S805" s="599"/>
      <c r="T805" s="599"/>
      <c r="U805" s="599"/>
      <c r="V805" s="599"/>
      <c r="W805" s="599"/>
      <c r="X805" s="599"/>
      <c r="Y805" s="599"/>
      <c r="Z805" s="599"/>
    </row>
    <row r="806" spans="1:26" ht="15.75" customHeight="1">
      <c r="A806" s="599"/>
      <c r="B806" s="599"/>
      <c r="C806" s="599"/>
      <c r="D806" s="599"/>
      <c r="E806" s="599"/>
      <c r="F806" s="599"/>
      <c r="G806" s="599"/>
      <c r="H806" s="599"/>
      <c r="I806" s="599"/>
      <c r="J806" s="599"/>
      <c r="K806" s="599"/>
      <c r="L806" s="599"/>
      <c r="M806" s="599"/>
      <c r="N806" s="599"/>
      <c r="O806" s="599"/>
      <c r="P806" s="599"/>
      <c r="Q806" s="599"/>
      <c r="R806" s="599"/>
      <c r="S806" s="599"/>
      <c r="T806" s="599"/>
      <c r="U806" s="599"/>
      <c r="V806" s="599"/>
      <c r="W806" s="599"/>
      <c r="X806" s="599"/>
      <c r="Y806" s="599"/>
      <c r="Z806" s="599"/>
    </row>
    <row r="807" spans="1:26" ht="15.75" customHeight="1">
      <c r="A807" s="599"/>
      <c r="B807" s="599"/>
      <c r="C807" s="599"/>
      <c r="D807" s="599"/>
      <c r="E807" s="599"/>
      <c r="F807" s="599"/>
      <c r="G807" s="599"/>
      <c r="H807" s="599"/>
      <c r="I807" s="599"/>
      <c r="J807" s="599"/>
      <c r="K807" s="599"/>
      <c r="L807" s="599"/>
      <c r="M807" s="599"/>
      <c r="N807" s="599"/>
      <c r="O807" s="599"/>
      <c r="P807" s="599"/>
      <c r="Q807" s="599"/>
      <c r="R807" s="599"/>
      <c r="S807" s="599"/>
      <c r="T807" s="599"/>
      <c r="U807" s="599"/>
      <c r="V807" s="599"/>
      <c r="W807" s="599"/>
      <c r="X807" s="599"/>
      <c r="Y807" s="599"/>
      <c r="Z807" s="599"/>
    </row>
    <row r="808" spans="1:26" ht="15.75" customHeight="1">
      <c r="A808" s="599"/>
      <c r="B808" s="599"/>
      <c r="C808" s="599"/>
      <c r="D808" s="599"/>
      <c r="E808" s="599"/>
      <c r="F808" s="599"/>
      <c r="G808" s="599"/>
      <c r="H808" s="599"/>
      <c r="I808" s="599"/>
      <c r="J808" s="599"/>
      <c r="K808" s="599"/>
      <c r="L808" s="599"/>
      <c r="M808" s="599"/>
      <c r="N808" s="599"/>
      <c r="O808" s="599"/>
      <c r="P808" s="599"/>
      <c r="Q808" s="599"/>
      <c r="R808" s="599"/>
      <c r="S808" s="599"/>
      <c r="T808" s="599"/>
      <c r="U808" s="599"/>
      <c r="V808" s="599"/>
      <c r="W808" s="599"/>
      <c r="X808" s="599"/>
      <c r="Y808" s="599"/>
      <c r="Z808" s="599"/>
    </row>
    <row r="809" spans="1:26" ht="15.75" customHeight="1">
      <c r="A809" s="599"/>
      <c r="B809" s="599"/>
      <c r="C809" s="599"/>
      <c r="D809" s="599"/>
      <c r="E809" s="599"/>
      <c r="F809" s="599"/>
      <c r="G809" s="599"/>
      <c r="H809" s="599"/>
      <c r="I809" s="599"/>
      <c r="J809" s="599"/>
      <c r="K809" s="599"/>
      <c r="L809" s="599"/>
      <c r="M809" s="599"/>
      <c r="N809" s="599"/>
      <c r="O809" s="599"/>
      <c r="P809" s="599"/>
      <c r="Q809" s="599"/>
      <c r="R809" s="599"/>
      <c r="S809" s="599"/>
      <c r="T809" s="599"/>
      <c r="U809" s="599"/>
      <c r="V809" s="599"/>
      <c r="W809" s="599"/>
      <c r="X809" s="599"/>
      <c r="Y809" s="599"/>
      <c r="Z809" s="599"/>
    </row>
    <row r="810" spans="1:26" ht="15.75" customHeight="1">
      <c r="A810" s="599"/>
      <c r="B810" s="599"/>
      <c r="C810" s="599"/>
      <c r="D810" s="599"/>
      <c r="E810" s="599"/>
      <c r="F810" s="599"/>
      <c r="G810" s="599"/>
      <c r="H810" s="599"/>
      <c r="I810" s="599"/>
      <c r="J810" s="599"/>
      <c r="K810" s="599"/>
      <c r="L810" s="599"/>
      <c r="M810" s="599"/>
      <c r="N810" s="599"/>
      <c r="O810" s="599"/>
      <c r="P810" s="599"/>
      <c r="Q810" s="599"/>
      <c r="R810" s="599"/>
      <c r="S810" s="599"/>
      <c r="T810" s="599"/>
      <c r="U810" s="599"/>
      <c r="V810" s="599"/>
      <c r="W810" s="599"/>
      <c r="X810" s="599"/>
      <c r="Y810" s="599"/>
      <c r="Z810" s="599"/>
    </row>
    <row r="811" spans="1:26" ht="15.75" customHeight="1">
      <c r="A811" s="599"/>
      <c r="B811" s="599"/>
      <c r="C811" s="599"/>
      <c r="D811" s="599"/>
      <c r="E811" s="599"/>
      <c r="F811" s="599"/>
      <c r="G811" s="599"/>
      <c r="H811" s="599"/>
      <c r="I811" s="599"/>
      <c r="J811" s="599"/>
      <c r="K811" s="599"/>
      <c r="L811" s="599"/>
      <c r="M811" s="599"/>
      <c r="N811" s="599"/>
      <c r="O811" s="599"/>
      <c r="P811" s="599"/>
      <c r="Q811" s="599"/>
      <c r="R811" s="599"/>
      <c r="S811" s="599"/>
      <c r="T811" s="599"/>
      <c r="U811" s="599"/>
      <c r="V811" s="599"/>
      <c r="W811" s="599"/>
      <c r="X811" s="599"/>
      <c r="Y811" s="599"/>
      <c r="Z811" s="599"/>
    </row>
    <row r="812" spans="1:26" ht="15.75" customHeight="1">
      <c r="A812" s="599"/>
      <c r="B812" s="599"/>
      <c r="C812" s="599"/>
      <c r="D812" s="599"/>
      <c r="E812" s="599"/>
      <c r="F812" s="599"/>
      <c r="G812" s="599"/>
      <c r="H812" s="599"/>
      <c r="I812" s="599"/>
      <c r="J812" s="599"/>
      <c r="K812" s="599"/>
      <c r="L812" s="599"/>
      <c r="M812" s="599"/>
      <c r="N812" s="599"/>
      <c r="O812" s="599"/>
      <c r="P812" s="599"/>
      <c r="Q812" s="599"/>
      <c r="R812" s="599"/>
      <c r="S812" s="599"/>
      <c r="T812" s="599"/>
      <c r="U812" s="599"/>
      <c r="V812" s="599"/>
      <c r="W812" s="599"/>
      <c r="X812" s="599"/>
      <c r="Y812" s="599"/>
      <c r="Z812" s="599"/>
    </row>
    <row r="813" spans="1:26" ht="15.75" customHeight="1">
      <c r="A813" s="599"/>
      <c r="B813" s="599"/>
      <c r="C813" s="599"/>
      <c r="D813" s="599"/>
      <c r="E813" s="599"/>
      <c r="F813" s="599"/>
      <c r="G813" s="599"/>
      <c r="H813" s="599"/>
      <c r="I813" s="599"/>
      <c r="J813" s="599"/>
      <c r="K813" s="599"/>
      <c r="L813" s="599"/>
      <c r="M813" s="599"/>
      <c r="N813" s="599"/>
      <c r="O813" s="599"/>
      <c r="P813" s="599"/>
      <c r="Q813" s="599"/>
      <c r="R813" s="599"/>
      <c r="S813" s="599"/>
      <c r="T813" s="599"/>
      <c r="U813" s="599"/>
      <c r="V813" s="599"/>
      <c r="W813" s="599"/>
      <c r="X813" s="599"/>
      <c r="Y813" s="599"/>
      <c r="Z813" s="599"/>
    </row>
    <row r="814" spans="1:26" ht="15.75" customHeight="1">
      <c r="A814" s="599"/>
      <c r="B814" s="599"/>
      <c r="C814" s="599"/>
      <c r="D814" s="599"/>
      <c r="E814" s="599"/>
      <c r="F814" s="599"/>
      <c r="G814" s="599"/>
      <c r="H814" s="599"/>
      <c r="I814" s="599"/>
      <c r="J814" s="599"/>
      <c r="K814" s="599"/>
      <c r="L814" s="599"/>
      <c r="M814" s="599"/>
      <c r="N814" s="599"/>
      <c r="O814" s="599"/>
      <c r="P814" s="599"/>
      <c r="Q814" s="599"/>
      <c r="R814" s="599"/>
      <c r="S814" s="599"/>
      <c r="T814" s="599"/>
      <c r="U814" s="599"/>
      <c r="V814" s="599"/>
      <c r="W814" s="599"/>
      <c r="X814" s="599"/>
      <c r="Y814" s="599"/>
      <c r="Z814" s="599"/>
    </row>
    <row r="815" spans="1:26" ht="15.75" customHeight="1">
      <c r="A815" s="599"/>
      <c r="B815" s="599"/>
      <c r="C815" s="599"/>
      <c r="D815" s="599"/>
      <c r="E815" s="599"/>
      <c r="F815" s="599"/>
      <c r="G815" s="599"/>
      <c r="H815" s="599"/>
      <c r="I815" s="599"/>
      <c r="J815" s="599"/>
      <c r="K815" s="599"/>
      <c r="L815" s="599"/>
      <c r="M815" s="599"/>
      <c r="N815" s="599"/>
      <c r="O815" s="599"/>
      <c r="P815" s="599"/>
      <c r="Q815" s="599"/>
      <c r="R815" s="599"/>
      <c r="S815" s="599"/>
      <c r="T815" s="599"/>
      <c r="U815" s="599"/>
      <c r="V815" s="599"/>
      <c r="W815" s="599"/>
      <c r="X815" s="599"/>
      <c r="Y815" s="599"/>
      <c r="Z815" s="599"/>
    </row>
    <row r="816" spans="1:26" ht="15.75" customHeight="1">
      <c r="A816" s="599"/>
      <c r="B816" s="599"/>
      <c r="C816" s="599"/>
      <c r="D816" s="599"/>
      <c r="E816" s="599"/>
      <c r="F816" s="599"/>
      <c r="G816" s="599"/>
      <c r="H816" s="599"/>
      <c r="I816" s="599"/>
      <c r="J816" s="599"/>
      <c r="K816" s="599"/>
      <c r="L816" s="599"/>
      <c r="M816" s="599"/>
      <c r="N816" s="599"/>
      <c r="O816" s="599"/>
      <c r="P816" s="599"/>
      <c r="Q816" s="599"/>
      <c r="R816" s="599"/>
      <c r="S816" s="599"/>
      <c r="T816" s="599"/>
      <c r="U816" s="599"/>
      <c r="V816" s="599"/>
      <c r="W816" s="599"/>
      <c r="X816" s="599"/>
      <c r="Y816" s="599"/>
      <c r="Z816" s="599"/>
    </row>
    <row r="817" spans="1:26" ht="15.75" customHeight="1">
      <c r="A817" s="599"/>
      <c r="B817" s="599"/>
      <c r="C817" s="599"/>
      <c r="D817" s="599"/>
      <c r="E817" s="599"/>
      <c r="F817" s="599"/>
      <c r="G817" s="599"/>
      <c r="H817" s="599"/>
      <c r="I817" s="599"/>
      <c r="J817" s="599"/>
      <c r="K817" s="599"/>
      <c r="L817" s="599"/>
      <c r="M817" s="599"/>
      <c r="N817" s="599"/>
      <c r="O817" s="599"/>
      <c r="P817" s="599"/>
      <c r="Q817" s="599"/>
      <c r="R817" s="599"/>
      <c r="S817" s="599"/>
      <c r="T817" s="599"/>
      <c r="U817" s="599"/>
      <c r="V817" s="599"/>
      <c r="W817" s="599"/>
      <c r="X817" s="599"/>
      <c r="Y817" s="599"/>
      <c r="Z817" s="599"/>
    </row>
    <row r="818" spans="1:26" ht="15.75" customHeight="1">
      <c r="A818" s="599"/>
      <c r="B818" s="599"/>
      <c r="C818" s="599"/>
      <c r="D818" s="599"/>
      <c r="E818" s="599"/>
      <c r="F818" s="599"/>
      <c r="G818" s="599"/>
      <c r="H818" s="599"/>
      <c r="I818" s="599"/>
      <c r="J818" s="599"/>
      <c r="K818" s="599"/>
      <c r="L818" s="599"/>
      <c r="M818" s="599"/>
      <c r="N818" s="599"/>
      <c r="O818" s="599"/>
      <c r="P818" s="599"/>
      <c r="Q818" s="599"/>
      <c r="R818" s="599"/>
      <c r="S818" s="599"/>
      <c r="T818" s="599"/>
      <c r="U818" s="599"/>
      <c r="V818" s="599"/>
      <c r="W818" s="599"/>
      <c r="X818" s="599"/>
      <c r="Y818" s="599"/>
      <c r="Z818" s="599"/>
    </row>
    <row r="819" spans="1:26" ht="15.75" customHeight="1">
      <c r="A819" s="599"/>
      <c r="B819" s="599"/>
      <c r="C819" s="599"/>
      <c r="D819" s="599"/>
      <c r="E819" s="599"/>
      <c r="F819" s="599"/>
      <c r="G819" s="599"/>
      <c r="H819" s="599"/>
      <c r="I819" s="599"/>
      <c r="J819" s="599"/>
      <c r="K819" s="599"/>
      <c r="L819" s="599"/>
      <c r="M819" s="599"/>
      <c r="N819" s="599"/>
      <c r="O819" s="599"/>
      <c r="P819" s="599"/>
      <c r="Q819" s="599"/>
      <c r="R819" s="599"/>
      <c r="S819" s="599"/>
      <c r="T819" s="599"/>
      <c r="U819" s="599"/>
      <c r="V819" s="599"/>
      <c r="W819" s="599"/>
      <c r="X819" s="599"/>
      <c r="Y819" s="599"/>
      <c r="Z819" s="599"/>
    </row>
    <row r="820" spans="1:26" ht="15.75" customHeight="1">
      <c r="A820" s="599"/>
      <c r="B820" s="599"/>
      <c r="C820" s="599"/>
      <c r="D820" s="599"/>
      <c r="E820" s="599"/>
      <c r="F820" s="599"/>
      <c r="G820" s="599"/>
      <c r="H820" s="599"/>
      <c r="I820" s="599"/>
      <c r="J820" s="599"/>
      <c r="K820" s="599"/>
      <c r="L820" s="599"/>
      <c r="M820" s="599"/>
      <c r="N820" s="599"/>
      <c r="O820" s="599"/>
      <c r="P820" s="599"/>
      <c r="Q820" s="599"/>
      <c r="R820" s="599"/>
      <c r="S820" s="599"/>
      <c r="T820" s="599"/>
      <c r="U820" s="599"/>
      <c r="V820" s="599"/>
      <c r="W820" s="599"/>
      <c r="X820" s="599"/>
      <c r="Y820" s="599"/>
      <c r="Z820" s="599"/>
    </row>
    <row r="821" spans="1:26" ht="15.75" customHeight="1">
      <c r="A821" s="599"/>
      <c r="B821" s="599"/>
      <c r="C821" s="599"/>
      <c r="D821" s="599"/>
      <c r="E821" s="599"/>
      <c r="F821" s="599"/>
      <c r="G821" s="599"/>
      <c r="H821" s="599"/>
      <c r="I821" s="599"/>
      <c r="J821" s="599"/>
      <c r="K821" s="599"/>
      <c r="L821" s="599"/>
      <c r="M821" s="599"/>
      <c r="N821" s="599"/>
      <c r="O821" s="599"/>
      <c r="P821" s="599"/>
      <c r="Q821" s="599"/>
      <c r="R821" s="599"/>
      <c r="S821" s="599"/>
      <c r="T821" s="599"/>
      <c r="U821" s="599"/>
      <c r="V821" s="599"/>
      <c r="W821" s="599"/>
      <c r="X821" s="599"/>
      <c r="Y821" s="599"/>
      <c r="Z821" s="599"/>
    </row>
    <row r="822" spans="1:26" ht="15.75" customHeight="1">
      <c r="A822" s="599"/>
      <c r="B822" s="599"/>
      <c r="C822" s="599"/>
      <c r="D822" s="599"/>
      <c r="E822" s="599"/>
      <c r="F822" s="599"/>
      <c r="G822" s="599"/>
      <c r="H822" s="599"/>
      <c r="I822" s="599"/>
      <c r="J822" s="599"/>
      <c r="K822" s="599"/>
      <c r="L822" s="599"/>
      <c r="M822" s="599"/>
      <c r="N822" s="599"/>
      <c r="O822" s="599"/>
      <c r="P822" s="599"/>
      <c r="Q822" s="599"/>
      <c r="R822" s="599"/>
      <c r="S822" s="599"/>
      <c r="T822" s="599"/>
      <c r="U822" s="599"/>
      <c r="V822" s="599"/>
      <c r="W822" s="599"/>
      <c r="X822" s="599"/>
      <c r="Y822" s="599"/>
      <c r="Z822" s="599"/>
    </row>
    <row r="823" spans="1:26" ht="15.75" customHeight="1">
      <c r="A823" s="599"/>
      <c r="B823" s="599"/>
      <c r="C823" s="599"/>
      <c r="D823" s="599"/>
      <c r="E823" s="599"/>
      <c r="F823" s="599"/>
      <c r="G823" s="599"/>
      <c r="H823" s="599"/>
      <c r="I823" s="599"/>
      <c r="J823" s="599"/>
      <c r="K823" s="599"/>
      <c r="L823" s="599"/>
      <c r="M823" s="599"/>
      <c r="N823" s="599"/>
      <c r="O823" s="599"/>
      <c r="P823" s="599"/>
      <c r="Q823" s="599"/>
      <c r="R823" s="599"/>
      <c r="S823" s="599"/>
      <c r="T823" s="599"/>
      <c r="U823" s="599"/>
      <c r="V823" s="599"/>
      <c r="W823" s="599"/>
      <c r="X823" s="599"/>
      <c r="Y823" s="599"/>
      <c r="Z823" s="599"/>
    </row>
    <row r="824" spans="1:26" ht="15.75" customHeight="1">
      <c r="A824" s="599"/>
      <c r="B824" s="599"/>
      <c r="C824" s="599"/>
      <c r="D824" s="599"/>
      <c r="E824" s="599"/>
      <c r="F824" s="599"/>
      <c r="G824" s="599"/>
      <c r="H824" s="599"/>
      <c r="I824" s="599"/>
      <c r="J824" s="599"/>
      <c r="K824" s="599"/>
      <c r="L824" s="599"/>
      <c r="M824" s="599"/>
      <c r="N824" s="599"/>
      <c r="O824" s="599"/>
      <c r="P824" s="599"/>
      <c r="Q824" s="599"/>
      <c r="R824" s="599"/>
      <c r="S824" s="599"/>
      <c r="T824" s="599"/>
      <c r="U824" s="599"/>
      <c r="V824" s="599"/>
      <c r="W824" s="599"/>
      <c r="X824" s="599"/>
      <c r="Y824" s="599"/>
      <c r="Z824" s="599"/>
    </row>
    <row r="825" spans="1:26" ht="15.75" customHeight="1">
      <c r="A825" s="599"/>
      <c r="B825" s="599"/>
      <c r="C825" s="599"/>
      <c r="D825" s="599"/>
      <c r="E825" s="599"/>
      <c r="F825" s="599"/>
      <c r="G825" s="599"/>
      <c r="H825" s="599"/>
      <c r="I825" s="599"/>
      <c r="J825" s="599"/>
      <c r="K825" s="599"/>
      <c r="L825" s="599"/>
      <c r="M825" s="599"/>
      <c r="N825" s="599"/>
      <c r="O825" s="599"/>
      <c r="P825" s="599"/>
      <c r="Q825" s="599"/>
      <c r="R825" s="599"/>
      <c r="S825" s="599"/>
      <c r="T825" s="599"/>
      <c r="U825" s="599"/>
      <c r="V825" s="599"/>
      <c r="W825" s="599"/>
      <c r="X825" s="599"/>
      <c r="Y825" s="599"/>
      <c r="Z825" s="599"/>
    </row>
    <row r="826" spans="1:26" ht="15.75" customHeight="1">
      <c r="A826" s="599"/>
      <c r="B826" s="599"/>
      <c r="C826" s="599"/>
      <c r="D826" s="599"/>
      <c r="E826" s="599"/>
      <c r="F826" s="599"/>
      <c r="G826" s="599"/>
      <c r="H826" s="599"/>
      <c r="I826" s="599"/>
      <c r="J826" s="599"/>
      <c r="K826" s="599"/>
      <c r="L826" s="599"/>
      <c r="M826" s="599"/>
      <c r="N826" s="599"/>
      <c r="O826" s="599"/>
      <c r="P826" s="599"/>
      <c r="Q826" s="599"/>
      <c r="R826" s="599"/>
      <c r="S826" s="599"/>
      <c r="T826" s="599"/>
      <c r="U826" s="599"/>
      <c r="V826" s="599"/>
      <c r="W826" s="599"/>
      <c r="X826" s="599"/>
      <c r="Y826" s="599"/>
      <c r="Z826" s="599"/>
    </row>
    <row r="827" spans="1:26" ht="15.75" customHeight="1">
      <c r="A827" s="599"/>
      <c r="B827" s="599"/>
      <c r="C827" s="599"/>
      <c r="D827" s="599"/>
      <c r="E827" s="599"/>
      <c r="F827" s="599"/>
      <c r="G827" s="599"/>
      <c r="H827" s="599"/>
      <c r="I827" s="599"/>
      <c r="J827" s="599"/>
      <c r="K827" s="599"/>
      <c r="L827" s="599"/>
      <c r="M827" s="599"/>
      <c r="N827" s="599"/>
      <c r="O827" s="599"/>
      <c r="P827" s="599"/>
      <c r="Q827" s="599"/>
      <c r="R827" s="599"/>
      <c r="S827" s="599"/>
      <c r="T827" s="599"/>
      <c r="U827" s="599"/>
      <c r="V827" s="599"/>
      <c r="W827" s="599"/>
      <c r="X827" s="599"/>
      <c r="Y827" s="599"/>
      <c r="Z827" s="599"/>
    </row>
    <row r="828" spans="1:26" ht="15.75" customHeight="1">
      <c r="A828" s="599"/>
      <c r="B828" s="599"/>
      <c r="C828" s="599"/>
      <c r="D828" s="599"/>
      <c r="E828" s="599"/>
      <c r="F828" s="599"/>
      <c r="G828" s="599"/>
      <c r="H828" s="599"/>
      <c r="I828" s="599"/>
      <c r="J828" s="599"/>
      <c r="K828" s="599"/>
      <c r="L828" s="599"/>
      <c r="M828" s="599"/>
      <c r="N828" s="599"/>
      <c r="O828" s="599"/>
      <c r="P828" s="599"/>
      <c r="Q828" s="599"/>
      <c r="R828" s="599"/>
      <c r="S828" s="599"/>
      <c r="T828" s="599"/>
      <c r="U828" s="599"/>
      <c r="V828" s="599"/>
      <c r="W828" s="599"/>
      <c r="X828" s="599"/>
      <c r="Y828" s="599"/>
      <c r="Z828" s="599"/>
    </row>
    <row r="829" spans="1:26" ht="15.75" customHeight="1">
      <c r="A829" s="599"/>
      <c r="B829" s="599"/>
      <c r="C829" s="599"/>
      <c r="D829" s="599"/>
      <c r="E829" s="599"/>
      <c r="F829" s="599"/>
      <c r="G829" s="599"/>
      <c r="H829" s="599"/>
      <c r="I829" s="599"/>
      <c r="J829" s="599"/>
      <c r="K829" s="599"/>
      <c r="L829" s="599"/>
      <c r="M829" s="599"/>
      <c r="N829" s="599"/>
      <c r="O829" s="599"/>
      <c r="P829" s="599"/>
      <c r="Q829" s="599"/>
      <c r="R829" s="599"/>
      <c r="S829" s="599"/>
      <c r="T829" s="599"/>
      <c r="U829" s="599"/>
      <c r="V829" s="599"/>
      <c r="W829" s="599"/>
      <c r="X829" s="599"/>
      <c r="Y829" s="599"/>
      <c r="Z829" s="599"/>
    </row>
    <row r="830" spans="1:26" ht="15.75" customHeight="1">
      <c r="A830" s="599"/>
      <c r="B830" s="599"/>
      <c r="C830" s="599"/>
      <c r="D830" s="599"/>
      <c r="E830" s="599"/>
      <c r="F830" s="599"/>
      <c r="G830" s="599"/>
      <c r="H830" s="599"/>
      <c r="I830" s="599"/>
      <c r="J830" s="599"/>
      <c r="K830" s="599"/>
      <c r="L830" s="599"/>
      <c r="M830" s="599"/>
      <c r="N830" s="599"/>
      <c r="O830" s="599"/>
      <c r="P830" s="599"/>
      <c r="Q830" s="599"/>
      <c r="R830" s="599"/>
      <c r="S830" s="599"/>
      <c r="T830" s="599"/>
      <c r="U830" s="599"/>
      <c r="V830" s="599"/>
      <c r="W830" s="599"/>
      <c r="X830" s="599"/>
      <c r="Y830" s="599"/>
      <c r="Z830" s="599"/>
    </row>
    <row r="831" spans="1:26" ht="15.75" customHeight="1">
      <c r="A831" s="599"/>
      <c r="B831" s="599"/>
      <c r="C831" s="599"/>
      <c r="D831" s="599"/>
      <c r="E831" s="599"/>
      <c r="F831" s="599"/>
      <c r="G831" s="599"/>
      <c r="H831" s="599"/>
      <c r="I831" s="599"/>
      <c r="J831" s="599"/>
      <c r="K831" s="599"/>
      <c r="L831" s="599"/>
      <c r="M831" s="599"/>
      <c r="N831" s="599"/>
      <c r="O831" s="599"/>
      <c r="P831" s="599"/>
      <c r="Q831" s="599"/>
      <c r="R831" s="599"/>
      <c r="S831" s="599"/>
      <c r="T831" s="599"/>
      <c r="U831" s="599"/>
      <c r="V831" s="599"/>
      <c r="W831" s="599"/>
      <c r="X831" s="599"/>
      <c r="Y831" s="599"/>
      <c r="Z831" s="599"/>
    </row>
    <row r="832" spans="1:26" ht="15.75" customHeight="1">
      <c r="A832" s="599"/>
      <c r="B832" s="599"/>
      <c r="C832" s="599"/>
      <c r="D832" s="599"/>
      <c r="E832" s="599"/>
      <c r="F832" s="599"/>
      <c r="G832" s="599"/>
      <c r="H832" s="599"/>
      <c r="I832" s="599"/>
      <c r="J832" s="599"/>
      <c r="K832" s="599"/>
      <c r="L832" s="599"/>
      <c r="M832" s="599"/>
      <c r="N832" s="599"/>
      <c r="O832" s="599"/>
      <c r="P832" s="599"/>
      <c r="Q832" s="599"/>
      <c r="R832" s="599"/>
      <c r="S832" s="599"/>
      <c r="T832" s="599"/>
      <c r="U832" s="599"/>
      <c r="V832" s="599"/>
      <c r="W832" s="599"/>
      <c r="X832" s="599"/>
      <c r="Y832" s="599"/>
      <c r="Z832" s="599"/>
    </row>
    <row r="833" spans="1:26" ht="15.75" customHeight="1">
      <c r="A833" s="599"/>
      <c r="B833" s="599"/>
      <c r="C833" s="599"/>
      <c r="D833" s="599"/>
      <c r="E833" s="599"/>
      <c r="F833" s="599"/>
      <c r="G833" s="599"/>
      <c r="H833" s="599"/>
      <c r="I833" s="599"/>
      <c r="J833" s="599"/>
      <c r="K833" s="599"/>
      <c r="L833" s="599"/>
      <c r="M833" s="599"/>
      <c r="N833" s="599"/>
      <c r="O833" s="599"/>
      <c r="P833" s="599"/>
      <c r="Q833" s="599"/>
      <c r="R833" s="599"/>
      <c r="S833" s="599"/>
      <c r="T833" s="599"/>
      <c r="U833" s="599"/>
      <c r="V833" s="599"/>
      <c r="W833" s="599"/>
      <c r="X833" s="599"/>
      <c r="Y833" s="599"/>
      <c r="Z833" s="599"/>
    </row>
    <row r="834" spans="1:26" ht="15.75" customHeight="1">
      <c r="A834" s="599"/>
      <c r="B834" s="599"/>
      <c r="C834" s="599"/>
      <c r="D834" s="599"/>
      <c r="E834" s="599"/>
      <c r="F834" s="599"/>
      <c r="G834" s="599"/>
      <c r="H834" s="599"/>
      <c r="I834" s="599"/>
      <c r="J834" s="599"/>
      <c r="K834" s="599"/>
      <c r="L834" s="599"/>
      <c r="M834" s="599"/>
      <c r="N834" s="599"/>
      <c r="O834" s="599"/>
      <c r="P834" s="599"/>
      <c r="Q834" s="599"/>
      <c r="R834" s="599"/>
      <c r="S834" s="599"/>
      <c r="T834" s="599"/>
      <c r="U834" s="599"/>
      <c r="V834" s="599"/>
      <c r="W834" s="599"/>
      <c r="X834" s="599"/>
      <c r="Y834" s="599"/>
      <c r="Z834" s="599"/>
    </row>
    <row r="835" spans="1:26" ht="15.75" customHeight="1">
      <c r="A835" s="599"/>
      <c r="B835" s="599"/>
      <c r="C835" s="599"/>
      <c r="D835" s="599"/>
      <c r="E835" s="599"/>
      <c r="F835" s="599"/>
      <c r="G835" s="599"/>
      <c r="H835" s="599"/>
      <c r="I835" s="599"/>
      <c r="J835" s="599"/>
      <c r="K835" s="599"/>
      <c r="L835" s="599"/>
      <c r="M835" s="599"/>
      <c r="N835" s="599"/>
      <c r="O835" s="599"/>
      <c r="P835" s="599"/>
      <c r="Q835" s="599"/>
      <c r="R835" s="599"/>
      <c r="S835" s="599"/>
      <c r="T835" s="599"/>
      <c r="U835" s="599"/>
      <c r="V835" s="599"/>
      <c r="W835" s="599"/>
      <c r="X835" s="599"/>
      <c r="Y835" s="599"/>
      <c r="Z835" s="599"/>
    </row>
    <row r="836" spans="1:26" ht="15.75" customHeight="1">
      <c r="A836" s="599"/>
      <c r="B836" s="599"/>
      <c r="C836" s="599"/>
      <c r="D836" s="599"/>
      <c r="E836" s="599"/>
      <c r="F836" s="599"/>
      <c r="G836" s="599"/>
      <c r="H836" s="599"/>
      <c r="I836" s="599"/>
      <c r="J836" s="599"/>
      <c r="K836" s="599"/>
      <c r="L836" s="599"/>
      <c r="M836" s="599"/>
      <c r="N836" s="599"/>
      <c r="O836" s="599"/>
      <c r="P836" s="599"/>
      <c r="Q836" s="599"/>
      <c r="R836" s="599"/>
      <c r="S836" s="599"/>
      <c r="T836" s="599"/>
      <c r="U836" s="599"/>
      <c r="V836" s="599"/>
      <c r="W836" s="599"/>
      <c r="X836" s="599"/>
      <c r="Y836" s="599"/>
      <c r="Z836" s="599"/>
    </row>
    <row r="837" spans="1:26" ht="15.75" customHeight="1">
      <c r="A837" s="599"/>
      <c r="B837" s="599"/>
      <c r="C837" s="599"/>
      <c r="D837" s="599"/>
      <c r="E837" s="599"/>
      <c r="F837" s="599"/>
      <c r="G837" s="599"/>
      <c r="H837" s="599"/>
      <c r="I837" s="599"/>
      <c r="J837" s="599"/>
      <c r="K837" s="599"/>
      <c r="L837" s="599"/>
      <c r="M837" s="599"/>
      <c r="N837" s="599"/>
      <c r="O837" s="599"/>
      <c r="P837" s="599"/>
      <c r="Q837" s="599"/>
      <c r="R837" s="599"/>
      <c r="S837" s="599"/>
      <c r="T837" s="599"/>
      <c r="U837" s="599"/>
      <c r="V837" s="599"/>
      <c r="W837" s="599"/>
      <c r="X837" s="599"/>
      <c r="Y837" s="599"/>
      <c r="Z837" s="599"/>
    </row>
    <row r="838" spans="1:26" ht="15.75" customHeight="1">
      <c r="A838" s="599"/>
      <c r="B838" s="599"/>
      <c r="C838" s="599"/>
      <c r="D838" s="599"/>
      <c r="E838" s="599"/>
      <c r="F838" s="599"/>
      <c r="G838" s="599"/>
      <c r="H838" s="599"/>
      <c r="I838" s="599"/>
      <c r="J838" s="599"/>
      <c r="K838" s="599"/>
      <c r="L838" s="599"/>
      <c r="M838" s="599"/>
      <c r="N838" s="599"/>
      <c r="O838" s="599"/>
      <c r="P838" s="599"/>
      <c r="Q838" s="599"/>
      <c r="R838" s="599"/>
      <c r="S838" s="599"/>
      <c r="T838" s="599"/>
      <c r="U838" s="599"/>
      <c r="V838" s="599"/>
      <c r="W838" s="599"/>
      <c r="X838" s="599"/>
      <c r="Y838" s="599"/>
      <c r="Z838" s="599"/>
    </row>
    <row r="839" spans="1:26" ht="15.75" customHeight="1">
      <c r="A839" s="599"/>
      <c r="B839" s="599"/>
      <c r="C839" s="599"/>
      <c r="D839" s="599"/>
      <c r="E839" s="599"/>
      <c r="F839" s="599"/>
      <c r="G839" s="599"/>
      <c r="H839" s="599"/>
      <c r="I839" s="599"/>
      <c r="J839" s="599"/>
      <c r="K839" s="599"/>
      <c r="L839" s="599"/>
      <c r="M839" s="599"/>
      <c r="N839" s="599"/>
      <c r="O839" s="599"/>
      <c r="P839" s="599"/>
      <c r="Q839" s="599"/>
      <c r="R839" s="599"/>
      <c r="S839" s="599"/>
      <c r="T839" s="599"/>
      <c r="U839" s="599"/>
      <c r="V839" s="599"/>
      <c r="W839" s="599"/>
      <c r="X839" s="599"/>
      <c r="Y839" s="599"/>
      <c r="Z839" s="599"/>
    </row>
    <row r="840" spans="1:26" ht="15.75" customHeight="1">
      <c r="A840" s="599"/>
      <c r="B840" s="599"/>
      <c r="C840" s="599"/>
      <c r="D840" s="599"/>
      <c r="E840" s="599"/>
      <c r="F840" s="599"/>
      <c r="G840" s="599"/>
      <c r="H840" s="599"/>
      <c r="I840" s="599"/>
      <c r="J840" s="599"/>
      <c r="K840" s="599"/>
      <c r="L840" s="599"/>
      <c r="M840" s="599"/>
      <c r="N840" s="599"/>
      <c r="O840" s="599"/>
      <c r="P840" s="599"/>
      <c r="Q840" s="599"/>
      <c r="R840" s="599"/>
      <c r="S840" s="599"/>
      <c r="T840" s="599"/>
      <c r="U840" s="599"/>
      <c r="V840" s="599"/>
      <c r="W840" s="599"/>
      <c r="X840" s="599"/>
      <c r="Y840" s="599"/>
      <c r="Z840" s="599"/>
    </row>
    <row r="841" spans="1:26" ht="15.75" customHeight="1">
      <c r="A841" s="599"/>
      <c r="B841" s="599"/>
      <c r="C841" s="599"/>
      <c r="D841" s="599"/>
      <c r="E841" s="599"/>
      <c r="F841" s="599"/>
      <c r="G841" s="599"/>
      <c r="H841" s="599"/>
      <c r="I841" s="599"/>
      <c r="J841" s="599"/>
      <c r="K841" s="599"/>
      <c r="L841" s="599"/>
      <c r="M841" s="599"/>
      <c r="N841" s="599"/>
      <c r="O841" s="599"/>
      <c r="P841" s="599"/>
      <c r="Q841" s="599"/>
      <c r="R841" s="599"/>
      <c r="S841" s="599"/>
      <c r="T841" s="599"/>
      <c r="U841" s="599"/>
      <c r="V841" s="599"/>
      <c r="W841" s="599"/>
      <c r="X841" s="599"/>
      <c r="Y841" s="599"/>
      <c r="Z841" s="599"/>
    </row>
    <row r="842" spans="1:26" ht="15.75" customHeight="1">
      <c r="A842" s="599"/>
      <c r="B842" s="599"/>
      <c r="C842" s="599"/>
      <c r="D842" s="599"/>
      <c r="E842" s="599"/>
      <c r="F842" s="599"/>
      <c r="G842" s="599"/>
      <c r="H842" s="599"/>
      <c r="I842" s="599"/>
      <c r="J842" s="599"/>
      <c r="K842" s="599"/>
      <c r="L842" s="599"/>
      <c r="M842" s="599"/>
      <c r="N842" s="599"/>
      <c r="O842" s="599"/>
      <c r="P842" s="599"/>
      <c r="Q842" s="599"/>
      <c r="R842" s="599"/>
      <c r="S842" s="599"/>
      <c r="T842" s="599"/>
      <c r="U842" s="599"/>
      <c r="V842" s="599"/>
      <c r="W842" s="599"/>
      <c r="X842" s="599"/>
      <c r="Y842" s="599"/>
      <c r="Z842" s="599"/>
    </row>
    <row r="843" spans="1:26" ht="15.75" customHeight="1">
      <c r="A843" s="599"/>
      <c r="B843" s="599"/>
      <c r="C843" s="599"/>
      <c r="D843" s="599"/>
      <c r="E843" s="599"/>
      <c r="F843" s="599"/>
      <c r="G843" s="599"/>
      <c r="H843" s="599"/>
      <c r="I843" s="599"/>
      <c r="J843" s="599"/>
      <c r="K843" s="599"/>
      <c r="L843" s="599"/>
      <c r="M843" s="599"/>
      <c r="N843" s="599"/>
      <c r="O843" s="599"/>
      <c r="P843" s="599"/>
      <c r="Q843" s="599"/>
      <c r="R843" s="599"/>
      <c r="S843" s="599"/>
      <c r="T843" s="599"/>
      <c r="U843" s="599"/>
      <c r="V843" s="599"/>
      <c r="W843" s="599"/>
      <c r="X843" s="599"/>
      <c r="Y843" s="599"/>
      <c r="Z843" s="599"/>
    </row>
    <row r="844" spans="1:26" ht="15.75" customHeight="1">
      <c r="A844" s="599"/>
      <c r="B844" s="599"/>
      <c r="C844" s="599"/>
      <c r="D844" s="599"/>
      <c r="E844" s="599"/>
      <c r="F844" s="599"/>
      <c r="G844" s="599"/>
      <c r="H844" s="599"/>
      <c r="I844" s="599"/>
      <c r="J844" s="599"/>
      <c r="K844" s="599"/>
      <c r="L844" s="599"/>
      <c r="M844" s="599"/>
      <c r="N844" s="599"/>
      <c r="O844" s="599"/>
      <c r="P844" s="599"/>
      <c r="Q844" s="599"/>
      <c r="R844" s="599"/>
      <c r="S844" s="599"/>
      <c r="T844" s="599"/>
      <c r="U844" s="599"/>
      <c r="V844" s="599"/>
      <c r="W844" s="599"/>
      <c r="X844" s="599"/>
      <c r="Y844" s="599"/>
      <c r="Z844" s="599"/>
    </row>
    <row r="845" spans="1:26" ht="15.75" customHeight="1">
      <c r="A845" s="599"/>
      <c r="B845" s="599"/>
      <c r="C845" s="599"/>
      <c r="D845" s="599"/>
      <c r="E845" s="599"/>
      <c r="F845" s="599"/>
      <c r="G845" s="599"/>
      <c r="H845" s="599"/>
      <c r="I845" s="599"/>
      <c r="J845" s="599"/>
      <c r="K845" s="599"/>
      <c r="L845" s="599"/>
      <c r="M845" s="599"/>
      <c r="N845" s="599"/>
      <c r="O845" s="599"/>
      <c r="P845" s="599"/>
      <c r="Q845" s="599"/>
      <c r="R845" s="599"/>
      <c r="S845" s="599"/>
      <c r="T845" s="599"/>
      <c r="U845" s="599"/>
      <c r="V845" s="599"/>
      <c r="W845" s="599"/>
      <c r="X845" s="599"/>
      <c r="Y845" s="599"/>
      <c r="Z845" s="599"/>
    </row>
    <row r="846" spans="1:26" ht="15.75" customHeight="1">
      <c r="A846" s="599"/>
      <c r="B846" s="599"/>
      <c r="C846" s="599"/>
      <c r="D846" s="599"/>
      <c r="E846" s="599"/>
      <c r="F846" s="599"/>
      <c r="G846" s="599"/>
      <c r="H846" s="599"/>
      <c r="I846" s="599"/>
      <c r="J846" s="599"/>
      <c r="K846" s="599"/>
      <c r="L846" s="599"/>
      <c r="M846" s="599"/>
      <c r="N846" s="599"/>
      <c r="O846" s="599"/>
      <c r="P846" s="599"/>
      <c r="Q846" s="599"/>
      <c r="R846" s="599"/>
      <c r="S846" s="599"/>
      <c r="T846" s="599"/>
      <c r="U846" s="599"/>
      <c r="V846" s="599"/>
      <c r="W846" s="599"/>
      <c r="X846" s="599"/>
      <c r="Y846" s="599"/>
      <c r="Z846" s="599"/>
    </row>
    <row r="847" spans="1:26" ht="15.75" customHeight="1">
      <c r="A847" s="599"/>
      <c r="B847" s="599"/>
      <c r="C847" s="599"/>
      <c r="D847" s="599"/>
      <c r="E847" s="599"/>
      <c r="F847" s="599"/>
      <c r="G847" s="599"/>
      <c r="H847" s="599"/>
      <c r="I847" s="599"/>
      <c r="J847" s="599"/>
      <c r="K847" s="599"/>
      <c r="L847" s="599"/>
      <c r="M847" s="599"/>
      <c r="N847" s="599"/>
      <c r="O847" s="599"/>
      <c r="P847" s="599"/>
      <c r="Q847" s="599"/>
      <c r="R847" s="599"/>
      <c r="S847" s="599"/>
      <c r="T847" s="599"/>
      <c r="U847" s="599"/>
      <c r="V847" s="599"/>
      <c r="W847" s="599"/>
      <c r="X847" s="599"/>
      <c r="Y847" s="599"/>
      <c r="Z847" s="599"/>
    </row>
    <row r="848" spans="1:26" ht="15.75" customHeight="1">
      <c r="A848" s="599"/>
      <c r="B848" s="599"/>
      <c r="C848" s="599"/>
      <c r="D848" s="599"/>
      <c r="E848" s="599"/>
      <c r="F848" s="599"/>
      <c r="G848" s="599"/>
      <c r="H848" s="599"/>
      <c r="I848" s="599"/>
      <c r="J848" s="599"/>
      <c r="K848" s="599"/>
      <c r="L848" s="599"/>
      <c r="M848" s="599"/>
      <c r="N848" s="599"/>
      <c r="O848" s="599"/>
      <c r="P848" s="599"/>
      <c r="Q848" s="599"/>
      <c r="R848" s="599"/>
      <c r="S848" s="599"/>
      <c r="T848" s="599"/>
      <c r="U848" s="599"/>
      <c r="V848" s="599"/>
      <c r="W848" s="599"/>
      <c r="X848" s="599"/>
      <c r="Y848" s="599"/>
      <c r="Z848" s="599"/>
    </row>
    <row r="849" spans="1:26" ht="15.75" customHeight="1">
      <c r="A849" s="599"/>
      <c r="B849" s="599"/>
      <c r="C849" s="599"/>
      <c r="D849" s="599"/>
      <c r="E849" s="599"/>
      <c r="F849" s="599"/>
      <c r="G849" s="599"/>
      <c r="H849" s="599"/>
      <c r="I849" s="599"/>
      <c r="J849" s="599"/>
      <c r="K849" s="599"/>
      <c r="L849" s="599"/>
      <c r="M849" s="599"/>
      <c r="N849" s="599"/>
      <c r="O849" s="599"/>
      <c r="P849" s="599"/>
      <c r="Q849" s="599"/>
      <c r="R849" s="599"/>
      <c r="S849" s="599"/>
      <c r="T849" s="599"/>
      <c r="U849" s="599"/>
      <c r="V849" s="599"/>
      <c r="W849" s="599"/>
      <c r="X849" s="599"/>
      <c r="Y849" s="599"/>
      <c r="Z849" s="599"/>
    </row>
    <row r="850" spans="1:26" ht="15.75" customHeight="1">
      <c r="A850" s="599"/>
      <c r="B850" s="599"/>
      <c r="C850" s="599"/>
      <c r="D850" s="599"/>
      <c r="E850" s="599"/>
      <c r="F850" s="599"/>
      <c r="G850" s="599"/>
      <c r="H850" s="599"/>
      <c r="I850" s="599"/>
      <c r="J850" s="599"/>
      <c r="K850" s="599"/>
      <c r="L850" s="599"/>
      <c r="M850" s="599"/>
      <c r="N850" s="599"/>
      <c r="O850" s="599"/>
      <c r="P850" s="599"/>
      <c r="Q850" s="599"/>
      <c r="R850" s="599"/>
      <c r="S850" s="599"/>
      <c r="T850" s="599"/>
      <c r="U850" s="599"/>
      <c r="V850" s="599"/>
      <c r="W850" s="599"/>
      <c r="X850" s="599"/>
      <c r="Y850" s="599"/>
      <c r="Z850" s="599"/>
    </row>
    <row r="851" spans="1:26" ht="15.75" customHeight="1">
      <c r="A851" s="599"/>
      <c r="B851" s="599"/>
      <c r="C851" s="599"/>
      <c r="D851" s="599"/>
      <c r="E851" s="599"/>
      <c r="F851" s="599"/>
      <c r="G851" s="599"/>
      <c r="H851" s="599"/>
      <c r="I851" s="599"/>
      <c r="J851" s="599"/>
      <c r="K851" s="599"/>
      <c r="L851" s="599"/>
      <c r="M851" s="599"/>
      <c r="N851" s="599"/>
      <c r="O851" s="599"/>
      <c r="P851" s="599"/>
      <c r="Q851" s="599"/>
      <c r="R851" s="599"/>
      <c r="S851" s="599"/>
      <c r="T851" s="599"/>
      <c r="U851" s="599"/>
      <c r="V851" s="599"/>
      <c r="W851" s="599"/>
      <c r="X851" s="599"/>
      <c r="Y851" s="599"/>
      <c r="Z851" s="599"/>
    </row>
    <row r="852" spans="1:26" ht="15.75" customHeight="1">
      <c r="A852" s="599"/>
      <c r="B852" s="599"/>
      <c r="C852" s="599"/>
      <c r="D852" s="599"/>
      <c r="E852" s="599"/>
      <c r="F852" s="599"/>
      <c r="G852" s="599"/>
      <c r="H852" s="599"/>
      <c r="I852" s="599"/>
      <c r="J852" s="599"/>
      <c r="K852" s="599"/>
      <c r="L852" s="599"/>
      <c r="M852" s="599"/>
      <c r="N852" s="599"/>
      <c r="O852" s="599"/>
      <c r="P852" s="599"/>
      <c r="Q852" s="599"/>
      <c r="R852" s="599"/>
      <c r="S852" s="599"/>
      <c r="T852" s="599"/>
      <c r="U852" s="599"/>
      <c r="V852" s="599"/>
      <c r="W852" s="599"/>
      <c r="X852" s="599"/>
      <c r="Y852" s="599"/>
      <c r="Z852" s="599"/>
    </row>
    <row r="853" spans="1:26" ht="15.75" customHeight="1">
      <c r="A853" s="599"/>
      <c r="B853" s="599"/>
      <c r="C853" s="599"/>
      <c r="D853" s="599"/>
      <c r="E853" s="599"/>
      <c r="F853" s="599"/>
      <c r="G853" s="599"/>
      <c r="H853" s="599"/>
      <c r="I853" s="599"/>
      <c r="J853" s="599"/>
      <c r="K853" s="599"/>
      <c r="L853" s="599"/>
      <c r="M853" s="599"/>
      <c r="N853" s="599"/>
      <c r="O853" s="599"/>
      <c r="P853" s="599"/>
      <c r="Q853" s="599"/>
      <c r="R853" s="599"/>
      <c r="S853" s="599"/>
      <c r="T853" s="599"/>
      <c r="U853" s="599"/>
      <c r="V853" s="599"/>
      <c r="W853" s="599"/>
      <c r="X853" s="599"/>
      <c r="Y853" s="599"/>
      <c r="Z853" s="599"/>
    </row>
    <row r="854" spans="1:26" ht="15.75" customHeight="1">
      <c r="A854" s="599"/>
      <c r="B854" s="599"/>
      <c r="C854" s="599"/>
      <c r="D854" s="599"/>
      <c r="E854" s="599"/>
      <c r="F854" s="599"/>
      <c r="G854" s="599"/>
      <c r="H854" s="599"/>
      <c r="I854" s="599"/>
      <c r="J854" s="599"/>
      <c r="K854" s="599"/>
      <c r="L854" s="599"/>
      <c r="M854" s="599"/>
      <c r="N854" s="599"/>
      <c r="O854" s="599"/>
      <c r="P854" s="599"/>
      <c r="Q854" s="599"/>
      <c r="R854" s="599"/>
      <c r="S854" s="599"/>
      <c r="T854" s="599"/>
      <c r="U854" s="599"/>
      <c r="V854" s="599"/>
      <c r="W854" s="599"/>
      <c r="X854" s="599"/>
      <c r="Y854" s="599"/>
      <c r="Z854" s="599"/>
    </row>
    <row r="855" spans="1:26" ht="15.75" customHeight="1">
      <c r="A855" s="599"/>
      <c r="B855" s="599"/>
      <c r="C855" s="599"/>
      <c r="D855" s="599"/>
      <c r="E855" s="599"/>
      <c r="F855" s="599"/>
      <c r="G855" s="599"/>
      <c r="H855" s="599"/>
      <c r="I855" s="599"/>
      <c r="J855" s="599"/>
      <c r="K855" s="599"/>
      <c r="L855" s="599"/>
      <c r="M855" s="599"/>
      <c r="N855" s="599"/>
      <c r="O855" s="599"/>
      <c r="P855" s="599"/>
      <c r="Q855" s="599"/>
      <c r="R855" s="599"/>
      <c r="S855" s="599"/>
      <c r="T855" s="599"/>
      <c r="U855" s="599"/>
      <c r="V855" s="599"/>
      <c r="W855" s="599"/>
      <c r="X855" s="599"/>
      <c r="Y855" s="599"/>
      <c r="Z855" s="599"/>
    </row>
    <row r="856" spans="1:26" ht="15.75" customHeight="1">
      <c r="A856" s="599"/>
      <c r="B856" s="599"/>
      <c r="C856" s="599"/>
      <c r="D856" s="599"/>
      <c r="E856" s="599"/>
      <c r="F856" s="599"/>
      <c r="G856" s="599"/>
      <c r="H856" s="599"/>
      <c r="I856" s="599"/>
      <c r="J856" s="599"/>
      <c r="K856" s="599"/>
      <c r="L856" s="599"/>
      <c r="M856" s="599"/>
      <c r="N856" s="599"/>
      <c r="O856" s="599"/>
      <c r="P856" s="599"/>
      <c r="Q856" s="599"/>
      <c r="R856" s="599"/>
      <c r="S856" s="599"/>
      <c r="T856" s="599"/>
      <c r="U856" s="599"/>
      <c r="V856" s="599"/>
      <c r="W856" s="599"/>
      <c r="X856" s="599"/>
      <c r="Y856" s="599"/>
      <c r="Z856" s="599"/>
    </row>
    <row r="857" spans="1:26" ht="15.75" customHeight="1">
      <c r="A857" s="599"/>
      <c r="B857" s="599"/>
      <c r="C857" s="599"/>
      <c r="D857" s="599"/>
      <c r="E857" s="599"/>
      <c r="F857" s="599"/>
      <c r="G857" s="599"/>
      <c r="H857" s="599"/>
      <c r="I857" s="599"/>
      <c r="J857" s="599"/>
      <c r="K857" s="599"/>
      <c r="L857" s="599"/>
      <c r="M857" s="599"/>
      <c r="N857" s="599"/>
      <c r="O857" s="599"/>
      <c r="P857" s="599"/>
      <c r="Q857" s="599"/>
      <c r="R857" s="599"/>
      <c r="S857" s="599"/>
      <c r="T857" s="599"/>
      <c r="U857" s="599"/>
      <c r="V857" s="599"/>
      <c r="W857" s="599"/>
      <c r="X857" s="599"/>
      <c r="Y857" s="599"/>
      <c r="Z857" s="599"/>
    </row>
    <row r="858" spans="1:26" ht="15.75" customHeight="1">
      <c r="A858" s="599"/>
      <c r="B858" s="599"/>
      <c r="C858" s="599"/>
      <c r="D858" s="599"/>
      <c r="E858" s="599"/>
      <c r="F858" s="599"/>
      <c r="G858" s="599"/>
      <c r="H858" s="599"/>
      <c r="I858" s="599"/>
      <c r="J858" s="599"/>
      <c r="K858" s="599"/>
      <c r="L858" s="599"/>
      <c r="M858" s="599"/>
      <c r="N858" s="599"/>
      <c r="O858" s="599"/>
      <c r="P858" s="599"/>
      <c r="Q858" s="599"/>
      <c r="R858" s="599"/>
      <c r="S858" s="599"/>
      <c r="T858" s="599"/>
      <c r="U858" s="599"/>
      <c r="V858" s="599"/>
      <c r="W858" s="599"/>
      <c r="X858" s="599"/>
      <c r="Y858" s="599"/>
      <c r="Z858" s="599"/>
    </row>
    <row r="859" spans="1:26" ht="15.75" customHeight="1">
      <c r="A859" s="599"/>
      <c r="B859" s="599"/>
      <c r="C859" s="599"/>
      <c r="D859" s="599"/>
      <c r="E859" s="599"/>
      <c r="F859" s="599"/>
      <c r="G859" s="599"/>
      <c r="H859" s="599"/>
      <c r="I859" s="599"/>
      <c r="J859" s="599"/>
      <c r="K859" s="599"/>
      <c r="L859" s="599"/>
      <c r="M859" s="599"/>
      <c r="N859" s="599"/>
      <c r="O859" s="599"/>
      <c r="P859" s="599"/>
      <c r="Q859" s="599"/>
      <c r="R859" s="599"/>
      <c r="S859" s="599"/>
      <c r="T859" s="599"/>
      <c r="U859" s="599"/>
      <c r="V859" s="599"/>
      <c r="W859" s="599"/>
      <c r="X859" s="599"/>
      <c r="Y859" s="599"/>
      <c r="Z859" s="599"/>
    </row>
    <row r="860" spans="1:26" ht="15.75" customHeight="1">
      <c r="A860" s="599"/>
      <c r="B860" s="599"/>
      <c r="C860" s="599"/>
      <c r="D860" s="599"/>
      <c r="E860" s="599"/>
      <c r="F860" s="599"/>
      <c r="G860" s="599"/>
      <c r="H860" s="599"/>
      <c r="I860" s="599"/>
      <c r="J860" s="599"/>
      <c r="K860" s="599"/>
      <c r="L860" s="599"/>
      <c r="M860" s="599"/>
      <c r="N860" s="599"/>
      <c r="O860" s="599"/>
      <c r="P860" s="599"/>
      <c r="Q860" s="599"/>
      <c r="R860" s="599"/>
      <c r="S860" s="599"/>
      <c r="T860" s="599"/>
      <c r="U860" s="599"/>
      <c r="V860" s="599"/>
      <c r="W860" s="599"/>
      <c r="X860" s="599"/>
      <c r="Y860" s="599"/>
      <c r="Z860" s="599"/>
    </row>
    <row r="861" spans="1:26" ht="15.75" customHeight="1">
      <c r="A861" s="599"/>
      <c r="B861" s="599"/>
      <c r="C861" s="599"/>
      <c r="D861" s="599"/>
      <c r="E861" s="599"/>
      <c r="F861" s="599"/>
      <c r="G861" s="599"/>
      <c r="H861" s="599"/>
      <c r="I861" s="599"/>
      <c r="J861" s="599"/>
      <c r="K861" s="599"/>
      <c r="L861" s="599"/>
      <c r="M861" s="599"/>
      <c r="N861" s="599"/>
      <c r="O861" s="599"/>
      <c r="P861" s="599"/>
      <c r="Q861" s="599"/>
      <c r="R861" s="599"/>
      <c r="S861" s="599"/>
      <c r="T861" s="599"/>
      <c r="U861" s="599"/>
      <c r="V861" s="599"/>
      <c r="W861" s="599"/>
      <c r="X861" s="599"/>
      <c r="Y861" s="599"/>
      <c r="Z861" s="599"/>
    </row>
    <row r="862" spans="1:26" ht="15.75" customHeight="1">
      <c r="A862" s="599"/>
      <c r="B862" s="599"/>
      <c r="C862" s="599"/>
      <c r="D862" s="599"/>
      <c r="E862" s="599"/>
      <c r="F862" s="599"/>
      <c r="G862" s="599"/>
      <c r="H862" s="599"/>
      <c r="I862" s="599"/>
      <c r="J862" s="599"/>
      <c r="K862" s="599"/>
      <c r="L862" s="599"/>
      <c r="M862" s="599"/>
      <c r="N862" s="599"/>
      <c r="O862" s="599"/>
      <c r="P862" s="599"/>
      <c r="Q862" s="599"/>
      <c r="R862" s="599"/>
      <c r="S862" s="599"/>
      <c r="T862" s="599"/>
      <c r="U862" s="599"/>
      <c r="V862" s="599"/>
      <c r="W862" s="599"/>
      <c r="X862" s="599"/>
      <c r="Y862" s="599"/>
      <c r="Z862" s="599"/>
    </row>
    <row r="863" spans="1:26" ht="15.75" customHeight="1">
      <c r="A863" s="599"/>
      <c r="B863" s="599"/>
      <c r="C863" s="599"/>
      <c r="D863" s="599"/>
      <c r="E863" s="599"/>
      <c r="F863" s="599"/>
      <c r="G863" s="599"/>
      <c r="H863" s="599"/>
      <c r="I863" s="599"/>
      <c r="J863" s="599"/>
      <c r="K863" s="599"/>
      <c r="L863" s="599"/>
      <c r="M863" s="599"/>
      <c r="N863" s="599"/>
      <c r="O863" s="599"/>
      <c r="P863" s="599"/>
      <c r="Q863" s="599"/>
      <c r="R863" s="599"/>
      <c r="S863" s="599"/>
      <c r="T863" s="599"/>
      <c r="U863" s="599"/>
      <c r="V863" s="599"/>
      <c r="W863" s="599"/>
      <c r="X863" s="599"/>
      <c r="Y863" s="599"/>
      <c r="Z863" s="599"/>
    </row>
    <row r="864" spans="1:26" ht="15.75" customHeight="1">
      <c r="A864" s="599"/>
      <c r="B864" s="599"/>
      <c r="C864" s="599"/>
      <c r="D864" s="599"/>
      <c r="E864" s="599"/>
      <c r="F864" s="599"/>
      <c r="G864" s="599"/>
      <c r="H864" s="599"/>
      <c r="I864" s="599"/>
      <c r="J864" s="599"/>
      <c r="K864" s="599"/>
      <c r="L864" s="599"/>
      <c r="M864" s="599"/>
      <c r="N864" s="599"/>
      <c r="O864" s="599"/>
      <c r="P864" s="599"/>
      <c r="Q864" s="599"/>
      <c r="R864" s="599"/>
      <c r="S864" s="599"/>
      <c r="T864" s="599"/>
      <c r="U864" s="599"/>
      <c r="V864" s="599"/>
      <c r="W864" s="599"/>
      <c r="X864" s="599"/>
      <c r="Y864" s="599"/>
      <c r="Z864" s="599"/>
    </row>
    <row r="865" spans="1:26" ht="15.75" customHeight="1">
      <c r="A865" s="599"/>
      <c r="B865" s="599"/>
      <c r="C865" s="599"/>
      <c r="D865" s="599"/>
      <c r="E865" s="599"/>
      <c r="F865" s="599"/>
      <c r="G865" s="599"/>
      <c r="H865" s="599"/>
      <c r="I865" s="599"/>
      <c r="J865" s="599"/>
      <c r="K865" s="599"/>
      <c r="L865" s="599"/>
      <c r="M865" s="599"/>
      <c r="N865" s="599"/>
      <c r="O865" s="599"/>
      <c r="P865" s="599"/>
      <c r="Q865" s="599"/>
      <c r="R865" s="599"/>
      <c r="S865" s="599"/>
      <c r="T865" s="599"/>
      <c r="U865" s="599"/>
      <c r="V865" s="599"/>
      <c r="W865" s="599"/>
      <c r="X865" s="599"/>
      <c r="Y865" s="599"/>
      <c r="Z865" s="599"/>
    </row>
    <row r="866" spans="1:26" ht="15.75" customHeight="1">
      <c r="A866" s="599"/>
      <c r="B866" s="599"/>
      <c r="C866" s="599"/>
      <c r="D866" s="599"/>
      <c r="E866" s="599"/>
      <c r="F866" s="599"/>
      <c r="G866" s="599"/>
      <c r="H866" s="599"/>
      <c r="I866" s="599"/>
      <c r="J866" s="599"/>
      <c r="K866" s="599"/>
      <c r="L866" s="599"/>
      <c r="M866" s="599"/>
      <c r="N866" s="599"/>
      <c r="O866" s="599"/>
      <c r="P866" s="599"/>
      <c r="Q866" s="599"/>
      <c r="R866" s="599"/>
      <c r="S866" s="599"/>
      <c r="T866" s="599"/>
      <c r="U866" s="599"/>
      <c r="V866" s="599"/>
      <c r="W866" s="599"/>
      <c r="X866" s="599"/>
      <c r="Y866" s="599"/>
      <c r="Z866" s="599"/>
    </row>
    <row r="867" spans="1:26" ht="15.75" customHeight="1">
      <c r="A867" s="599"/>
      <c r="B867" s="599"/>
      <c r="C867" s="599"/>
      <c r="D867" s="599"/>
      <c r="E867" s="599"/>
      <c r="F867" s="599"/>
      <c r="G867" s="599"/>
      <c r="H867" s="599"/>
      <c r="I867" s="599"/>
      <c r="J867" s="599"/>
      <c r="K867" s="599"/>
      <c r="L867" s="599"/>
      <c r="M867" s="599"/>
      <c r="N867" s="599"/>
      <c r="O867" s="599"/>
      <c r="P867" s="599"/>
      <c r="Q867" s="599"/>
      <c r="R867" s="599"/>
      <c r="S867" s="599"/>
      <c r="T867" s="599"/>
      <c r="U867" s="599"/>
      <c r="V867" s="599"/>
      <c r="W867" s="599"/>
      <c r="X867" s="599"/>
      <c r="Y867" s="599"/>
      <c r="Z867" s="599"/>
    </row>
    <row r="868" spans="1:26" ht="15.75" customHeight="1">
      <c r="A868" s="599"/>
      <c r="B868" s="599"/>
      <c r="C868" s="599"/>
      <c r="D868" s="599"/>
      <c r="E868" s="599"/>
      <c r="F868" s="599"/>
      <c r="G868" s="599"/>
      <c r="H868" s="599"/>
      <c r="I868" s="599"/>
      <c r="J868" s="599"/>
      <c r="K868" s="599"/>
      <c r="L868" s="599"/>
      <c r="M868" s="599"/>
      <c r="N868" s="599"/>
      <c r="O868" s="599"/>
      <c r="P868" s="599"/>
      <c r="Q868" s="599"/>
      <c r="R868" s="599"/>
      <c r="S868" s="599"/>
      <c r="T868" s="599"/>
      <c r="U868" s="599"/>
      <c r="V868" s="599"/>
      <c r="W868" s="599"/>
      <c r="X868" s="599"/>
      <c r="Y868" s="599"/>
      <c r="Z868" s="599"/>
    </row>
    <row r="869" spans="1:26" ht="15.75" customHeight="1">
      <c r="A869" s="599"/>
      <c r="B869" s="599"/>
      <c r="C869" s="599"/>
      <c r="D869" s="599"/>
      <c r="E869" s="599"/>
      <c r="F869" s="599"/>
      <c r="G869" s="599"/>
      <c r="H869" s="599"/>
      <c r="I869" s="599"/>
      <c r="J869" s="599"/>
      <c r="K869" s="599"/>
      <c r="L869" s="599"/>
      <c r="M869" s="599"/>
      <c r="N869" s="599"/>
      <c r="O869" s="599"/>
      <c r="P869" s="599"/>
      <c r="Q869" s="599"/>
      <c r="R869" s="599"/>
      <c r="S869" s="599"/>
      <c r="T869" s="599"/>
      <c r="U869" s="599"/>
      <c r="V869" s="599"/>
      <c r="W869" s="599"/>
      <c r="X869" s="599"/>
      <c r="Y869" s="599"/>
      <c r="Z869" s="599"/>
    </row>
    <row r="870" spans="1:26" ht="15.75" customHeight="1">
      <c r="A870" s="599"/>
      <c r="B870" s="599"/>
      <c r="C870" s="599"/>
      <c r="D870" s="599"/>
      <c r="E870" s="599"/>
      <c r="F870" s="599"/>
      <c r="G870" s="599"/>
      <c r="H870" s="599"/>
      <c r="I870" s="599"/>
      <c r="J870" s="599"/>
      <c r="K870" s="599"/>
      <c r="L870" s="599"/>
      <c r="M870" s="599"/>
      <c r="N870" s="599"/>
      <c r="O870" s="599"/>
      <c r="P870" s="599"/>
      <c r="Q870" s="599"/>
      <c r="R870" s="599"/>
      <c r="S870" s="599"/>
      <c r="T870" s="599"/>
      <c r="U870" s="599"/>
      <c r="V870" s="599"/>
      <c r="W870" s="599"/>
      <c r="X870" s="599"/>
      <c r="Y870" s="599"/>
      <c r="Z870" s="599"/>
    </row>
    <row r="871" spans="1:26" ht="15.75" customHeight="1">
      <c r="A871" s="599"/>
      <c r="B871" s="599"/>
      <c r="C871" s="599"/>
      <c r="D871" s="599"/>
      <c r="E871" s="599"/>
      <c r="F871" s="599"/>
      <c r="G871" s="599"/>
      <c r="H871" s="599"/>
      <c r="I871" s="599"/>
      <c r="J871" s="599"/>
      <c r="K871" s="599"/>
      <c r="L871" s="599"/>
      <c r="M871" s="599"/>
      <c r="N871" s="599"/>
      <c r="O871" s="599"/>
      <c r="P871" s="599"/>
      <c r="Q871" s="599"/>
      <c r="R871" s="599"/>
      <c r="S871" s="599"/>
      <c r="T871" s="599"/>
      <c r="U871" s="599"/>
      <c r="V871" s="599"/>
      <c r="W871" s="599"/>
      <c r="X871" s="599"/>
      <c r="Y871" s="599"/>
      <c r="Z871" s="599"/>
    </row>
    <row r="872" spans="1:26" ht="15.75" customHeight="1">
      <c r="A872" s="599"/>
      <c r="B872" s="599"/>
      <c r="C872" s="599"/>
      <c r="D872" s="599"/>
      <c r="E872" s="599"/>
      <c r="F872" s="599"/>
      <c r="G872" s="599"/>
      <c r="H872" s="599"/>
      <c r="I872" s="599"/>
      <c r="J872" s="599"/>
      <c r="K872" s="599"/>
      <c r="L872" s="599"/>
      <c r="M872" s="599"/>
      <c r="N872" s="599"/>
      <c r="O872" s="599"/>
      <c r="P872" s="599"/>
      <c r="Q872" s="599"/>
      <c r="R872" s="599"/>
      <c r="S872" s="599"/>
      <c r="T872" s="599"/>
      <c r="U872" s="599"/>
      <c r="V872" s="599"/>
      <c r="W872" s="599"/>
      <c r="X872" s="599"/>
      <c r="Y872" s="599"/>
      <c r="Z872" s="599"/>
    </row>
    <row r="873" spans="1:26" ht="15.75" customHeight="1">
      <c r="A873" s="599"/>
      <c r="B873" s="599"/>
      <c r="C873" s="599"/>
      <c r="D873" s="599"/>
      <c r="E873" s="599"/>
      <c r="F873" s="599"/>
      <c r="G873" s="599"/>
      <c r="H873" s="599"/>
      <c r="I873" s="599"/>
      <c r="J873" s="599"/>
      <c r="K873" s="599"/>
      <c r="L873" s="599"/>
      <c r="M873" s="599"/>
      <c r="N873" s="599"/>
      <c r="O873" s="599"/>
      <c r="P873" s="599"/>
      <c r="Q873" s="599"/>
      <c r="R873" s="599"/>
      <c r="S873" s="599"/>
      <c r="T873" s="599"/>
      <c r="U873" s="599"/>
      <c r="V873" s="599"/>
      <c r="W873" s="599"/>
      <c r="X873" s="599"/>
      <c r="Y873" s="599"/>
      <c r="Z873" s="599"/>
    </row>
    <row r="874" spans="1:26" ht="15.75" customHeight="1">
      <c r="A874" s="599"/>
      <c r="B874" s="599"/>
      <c r="C874" s="599"/>
      <c r="D874" s="599"/>
      <c r="E874" s="599"/>
      <c r="F874" s="599"/>
      <c r="G874" s="599"/>
      <c r="H874" s="599"/>
      <c r="I874" s="599"/>
      <c r="J874" s="599"/>
      <c r="K874" s="599"/>
      <c r="L874" s="599"/>
      <c r="M874" s="599"/>
      <c r="N874" s="599"/>
      <c r="O874" s="599"/>
      <c r="P874" s="599"/>
      <c r="Q874" s="599"/>
      <c r="R874" s="599"/>
      <c r="S874" s="599"/>
      <c r="T874" s="599"/>
      <c r="U874" s="599"/>
      <c r="V874" s="599"/>
      <c r="W874" s="599"/>
      <c r="X874" s="599"/>
      <c r="Y874" s="599"/>
      <c r="Z874" s="599"/>
    </row>
    <row r="875" spans="1:26" ht="15.75" customHeight="1">
      <c r="A875" s="599"/>
      <c r="B875" s="599"/>
      <c r="C875" s="599"/>
      <c r="D875" s="599"/>
      <c r="E875" s="599"/>
      <c r="F875" s="599"/>
      <c r="G875" s="599"/>
      <c r="H875" s="599"/>
      <c r="I875" s="599"/>
      <c r="J875" s="599"/>
      <c r="K875" s="599"/>
      <c r="L875" s="599"/>
      <c r="M875" s="599"/>
      <c r="N875" s="599"/>
      <c r="O875" s="599"/>
      <c r="P875" s="599"/>
      <c r="Q875" s="599"/>
      <c r="R875" s="599"/>
      <c r="S875" s="599"/>
      <c r="T875" s="599"/>
      <c r="U875" s="599"/>
      <c r="V875" s="599"/>
      <c r="W875" s="599"/>
      <c r="X875" s="599"/>
      <c r="Y875" s="599"/>
      <c r="Z875" s="599"/>
    </row>
    <row r="876" spans="1:26" ht="15.75" customHeight="1">
      <c r="A876" s="599"/>
      <c r="B876" s="599"/>
      <c r="C876" s="599"/>
      <c r="D876" s="599"/>
      <c r="E876" s="599"/>
      <c r="F876" s="599"/>
      <c r="G876" s="599"/>
      <c r="H876" s="599"/>
      <c r="I876" s="599"/>
      <c r="J876" s="599"/>
      <c r="K876" s="599"/>
      <c r="L876" s="599"/>
      <c r="M876" s="599"/>
      <c r="N876" s="599"/>
      <c r="O876" s="599"/>
      <c r="P876" s="599"/>
      <c r="Q876" s="599"/>
      <c r="R876" s="599"/>
      <c r="S876" s="599"/>
      <c r="T876" s="599"/>
      <c r="U876" s="599"/>
      <c r="V876" s="599"/>
      <c r="W876" s="599"/>
      <c r="X876" s="599"/>
      <c r="Y876" s="599"/>
      <c r="Z876" s="599"/>
    </row>
    <row r="877" spans="1:26" ht="15.75" customHeight="1">
      <c r="A877" s="599"/>
      <c r="B877" s="599"/>
      <c r="C877" s="599"/>
      <c r="D877" s="599"/>
      <c r="E877" s="599"/>
      <c r="F877" s="599"/>
      <c r="G877" s="599"/>
      <c r="H877" s="599"/>
      <c r="I877" s="599"/>
      <c r="J877" s="599"/>
      <c r="K877" s="599"/>
      <c r="L877" s="599"/>
      <c r="M877" s="599"/>
      <c r="N877" s="599"/>
      <c r="O877" s="599"/>
      <c r="P877" s="599"/>
      <c r="Q877" s="599"/>
      <c r="R877" s="599"/>
      <c r="S877" s="599"/>
      <c r="T877" s="599"/>
      <c r="U877" s="599"/>
      <c r="V877" s="599"/>
      <c r="W877" s="599"/>
      <c r="X877" s="599"/>
      <c r="Y877" s="599"/>
      <c r="Z877" s="599"/>
    </row>
    <row r="878" spans="1:26" ht="15.75" customHeight="1">
      <c r="A878" s="599"/>
      <c r="B878" s="599"/>
      <c r="C878" s="599"/>
      <c r="D878" s="599"/>
      <c r="E878" s="599"/>
      <c r="F878" s="599"/>
      <c r="G878" s="599"/>
      <c r="H878" s="599"/>
      <c r="I878" s="599"/>
      <c r="J878" s="599"/>
      <c r="K878" s="599"/>
      <c r="L878" s="599"/>
      <c r="M878" s="599"/>
      <c r="N878" s="599"/>
      <c r="O878" s="599"/>
      <c r="P878" s="599"/>
      <c r="Q878" s="599"/>
      <c r="R878" s="599"/>
      <c r="S878" s="599"/>
      <c r="T878" s="599"/>
      <c r="U878" s="599"/>
      <c r="V878" s="599"/>
      <c r="W878" s="599"/>
      <c r="X878" s="599"/>
      <c r="Y878" s="599"/>
      <c r="Z878" s="599"/>
    </row>
    <row r="879" spans="1:26" ht="15.75" customHeight="1">
      <c r="A879" s="599"/>
      <c r="B879" s="599"/>
      <c r="C879" s="599"/>
      <c r="D879" s="599"/>
      <c r="E879" s="599"/>
      <c r="F879" s="599"/>
      <c r="G879" s="599"/>
      <c r="H879" s="599"/>
      <c r="I879" s="599"/>
      <c r="J879" s="599"/>
      <c r="K879" s="599"/>
      <c r="L879" s="599"/>
      <c r="M879" s="599"/>
      <c r="N879" s="599"/>
      <c r="O879" s="599"/>
      <c r="P879" s="599"/>
      <c r="Q879" s="599"/>
      <c r="R879" s="599"/>
      <c r="S879" s="599"/>
      <c r="T879" s="599"/>
      <c r="U879" s="599"/>
      <c r="V879" s="599"/>
      <c r="W879" s="599"/>
      <c r="X879" s="599"/>
      <c r="Y879" s="599"/>
      <c r="Z879" s="599"/>
    </row>
    <row r="880" spans="1:26" ht="15.75" customHeight="1">
      <c r="A880" s="599"/>
      <c r="B880" s="599"/>
      <c r="C880" s="599"/>
      <c r="D880" s="599"/>
      <c r="E880" s="599"/>
      <c r="F880" s="599"/>
      <c r="G880" s="599"/>
      <c r="H880" s="599"/>
      <c r="I880" s="599"/>
      <c r="J880" s="599"/>
      <c r="K880" s="599"/>
      <c r="L880" s="599"/>
      <c r="M880" s="599"/>
      <c r="N880" s="599"/>
      <c r="O880" s="599"/>
      <c r="P880" s="599"/>
      <c r="Q880" s="599"/>
      <c r="R880" s="599"/>
      <c r="S880" s="599"/>
      <c r="T880" s="599"/>
      <c r="U880" s="599"/>
      <c r="V880" s="599"/>
      <c r="W880" s="599"/>
      <c r="X880" s="599"/>
      <c r="Y880" s="599"/>
      <c r="Z880" s="599"/>
    </row>
    <row r="881" spans="1:26" ht="15.75" customHeight="1">
      <c r="A881" s="599"/>
      <c r="B881" s="599"/>
      <c r="C881" s="599"/>
      <c r="D881" s="599"/>
      <c r="E881" s="599"/>
      <c r="F881" s="599"/>
      <c r="G881" s="599"/>
      <c r="H881" s="599"/>
      <c r="I881" s="599"/>
      <c r="J881" s="599"/>
      <c r="K881" s="599"/>
      <c r="L881" s="599"/>
      <c r="M881" s="599"/>
      <c r="N881" s="599"/>
      <c r="O881" s="599"/>
      <c r="P881" s="599"/>
      <c r="Q881" s="599"/>
      <c r="R881" s="599"/>
      <c r="S881" s="599"/>
      <c r="T881" s="599"/>
      <c r="U881" s="599"/>
      <c r="V881" s="599"/>
      <c r="W881" s="599"/>
      <c r="X881" s="599"/>
      <c r="Y881" s="599"/>
      <c r="Z881" s="599"/>
    </row>
    <row r="882" spans="1:26" ht="15.75" customHeight="1">
      <c r="A882" s="599"/>
      <c r="B882" s="599"/>
      <c r="C882" s="599"/>
      <c r="D882" s="599"/>
      <c r="E882" s="599"/>
      <c r="F882" s="599"/>
      <c r="G882" s="599"/>
      <c r="H882" s="599"/>
      <c r="I882" s="599"/>
      <c r="J882" s="599"/>
      <c r="K882" s="599"/>
      <c r="L882" s="599"/>
      <c r="M882" s="599"/>
      <c r="N882" s="599"/>
      <c r="O882" s="599"/>
      <c r="P882" s="599"/>
      <c r="Q882" s="599"/>
      <c r="R882" s="599"/>
      <c r="S882" s="599"/>
      <c r="T882" s="599"/>
      <c r="U882" s="599"/>
      <c r="V882" s="599"/>
      <c r="W882" s="599"/>
      <c r="X882" s="599"/>
      <c r="Y882" s="599"/>
      <c r="Z882" s="599"/>
    </row>
    <row r="883" spans="1:26" ht="15.75" customHeight="1">
      <c r="A883" s="599"/>
      <c r="B883" s="599"/>
      <c r="C883" s="599"/>
      <c r="D883" s="599"/>
      <c r="E883" s="599"/>
      <c r="F883" s="599"/>
      <c r="G883" s="599"/>
      <c r="H883" s="599"/>
      <c r="I883" s="599"/>
      <c r="J883" s="599"/>
      <c r="K883" s="599"/>
      <c r="L883" s="599"/>
      <c r="M883" s="599"/>
      <c r="N883" s="599"/>
      <c r="O883" s="599"/>
      <c r="P883" s="599"/>
      <c r="Q883" s="599"/>
      <c r="R883" s="599"/>
      <c r="S883" s="599"/>
      <c r="T883" s="599"/>
      <c r="U883" s="599"/>
      <c r="V883" s="599"/>
      <c r="W883" s="599"/>
      <c r="X883" s="599"/>
      <c r="Y883" s="599"/>
      <c r="Z883" s="599"/>
    </row>
    <row r="884" spans="1:26" ht="15.75" customHeight="1">
      <c r="A884" s="599"/>
      <c r="B884" s="599"/>
      <c r="C884" s="599"/>
      <c r="D884" s="599"/>
      <c r="E884" s="599"/>
      <c r="F884" s="599"/>
      <c r="G884" s="599"/>
      <c r="H884" s="599"/>
      <c r="I884" s="599"/>
      <c r="J884" s="599"/>
      <c r="K884" s="599"/>
      <c r="L884" s="599"/>
      <c r="M884" s="599"/>
      <c r="N884" s="599"/>
      <c r="O884" s="599"/>
      <c r="P884" s="599"/>
      <c r="Q884" s="599"/>
      <c r="R884" s="599"/>
      <c r="S884" s="599"/>
      <c r="T884" s="599"/>
      <c r="U884" s="599"/>
      <c r="V884" s="599"/>
      <c r="W884" s="599"/>
      <c r="X884" s="599"/>
      <c r="Y884" s="599"/>
      <c r="Z884" s="599"/>
    </row>
    <row r="885" spans="1:26" ht="15.75" customHeight="1">
      <c r="A885" s="599"/>
      <c r="B885" s="599"/>
      <c r="C885" s="599"/>
      <c r="D885" s="599"/>
      <c r="E885" s="599"/>
      <c r="F885" s="599"/>
      <c r="G885" s="599"/>
      <c r="H885" s="599"/>
      <c r="I885" s="599"/>
      <c r="J885" s="599"/>
      <c r="K885" s="599"/>
      <c r="L885" s="599"/>
      <c r="M885" s="599"/>
      <c r="N885" s="599"/>
      <c r="O885" s="599"/>
      <c r="P885" s="599"/>
      <c r="Q885" s="599"/>
      <c r="R885" s="599"/>
      <c r="S885" s="599"/>
      <c r="T885" s="599"/>
      <c r="U885" s="599"/>
      <c r="V885" s="599"/>
      <c r="W885" s="599"/>
      <c r="X885" s="599"/>
      <c r="Y885" s="599"/>
      <c r="Z885" s="599"/>
    </row>
    <row r="886" spans="1:26" ht="15.75" customHeight="1">
      <c r="A886" s="599"/>
      <c r="B886" s="599"/>
      <c r="C886" s="599"/>
      <c r="D886" s="599"/>
      <c r="E886" s="599"/>
      <c r="F886" s="599"/>
      <c r="G886" s="599"/>
      <c r="H886" s="599"/>
      <c r="I886" s="599"/>
      <c r="J886" s="599"/>
      <c r="K886" s="599"/>
      <c r="L886" s="599"/>
      <c r="M886" s="599"/>
      <c r="N886" s="599"/>
      <c r="O886" s="599"/>
      <c r="P886" s="599"/>
      <c r="Q886" s="599"/>
      <c r="R886" s="599"/>
      <c r="S886" s="599"/>
      <c r="T886" s="599"/>
      <c r="U886" s="599"/>
      <c r="V886" s="599"/>
      <c r="W886" s="599"/>
      <c r="X886" s="599"/>
      <c r="Y886" s="599"/>
      <c r="Z886" s="599"/>
    </row>
    <row r="887" spans="1:26" ht="15.75" customHeight="1">
      <c r="A887" s="599"/>
      <c r="B887" s="599"/>
      <c r="C887" s="599"/>
      <c r="D887" s="599"/>
      <c r="E887" s="599"/>
      <c r="F887" s="599"/>
      <c r="G887" s="599"/>
      <c r="H887" s="599"/>
      <c r="I887" s="599"/>
      <c r="J887" s="599"/>
      <c r="K887" s="599"/>
      <c r="L887" s="599"/>
      <c r="M887" s="599"/>
      <c r="N887" s="599"/>
      <c r="O887" s="599"/>
      <c r="P887" s="599"/>
      <c r="Q887" s="599"/>
      <c r="R887" s="599"/>
      <c r="S887" s="599"/>
      <c r="T887" s="599"/>
      <c r="U887" s="599"/>
      <c r="V887" s="599"/>
      <c r="W887" s="599"/>
      <c r="X887" s="599"/>
      <c r="Y887" s="599"/>
      <c r="Z887" s="599"/>
    </row>
    <row r="888" spans="1:26" ht="15.75" customHeight="1">
      <c r="A888" s="599"/>
      <c r="B888" s="599"/>
      <c r="C888" s="599"/>
      <c r="D888" s="599"/>
      <c r="E888" s="599"/>
      <c r="F888" s="599"/>
      <c r="G888" s="599"/>
      <c r="H888" s="599"/>
      <c r="I888" s="599"/>
      <c r="J888" s="599"/>
      <c r="K888" s="599"/>
      <c r="L888" s="599"/>
      <c r="M888" s="599"/>
      <c r="N888" s="599"/>
      <c r="O888" s="599"/>
      <c r="P888" s="599"/>
      <c r="Q888" s="599"/>
      <c r="R888" s="599"/>
      <c r="S888" s="599"/>
      <c r="T888" s="599"/>
      <c r="U888" s="599"/>
      <c r="V888" s="599"/>
      <c r="W888" s="599"/>
      <c r="X888" s="599"/>
      <c r="Y888" s="599"/>
      <c r="Z888" s="599"/>
    </row>
    <row r="889" spans="1:26" ht="15.75" customHeight="1">
      <c r="A889" s="599"/>
      <c r="B889" s="599"/>
      <c r="C889" s="599"/>
      <c r="D889" s="599"/>
      <c r="E889" s="599"/>
      <c r="F889" s="599"/>
      <c r="G889" s="599"/>
      <c r="H889" s="599"/>
      <c r="I889" s="599"/>
      <c r="J889" s="599"/>
      <c r="K889" s="599"/>
      <c r="L889" s="599"/>
      <c r="M889" s="599"/>
      <c r="N889" s="599"/>
      <c r="O889" s="599"/>
      <c r="P889" s="599"/>
      <c r="Q889" s="599"/>
      <c r="R889" s="599"/>
      <c r="S889" s="599"/>
      <c r="T889" s="599"/>
      <c r="U889" s="599"/>
      <c r="V889" s="599"/>
      <c r="W889" s="599"/>
      <c r="X889" s="599"/>
      <c r="Y889" s="599"/>
      <c r="Z889" s="599"/>
    </row>
    <row r="890" spans="1:26" ht="15.75" customHeight="1">
      <c r="A890" s="599"/>
      <c r="B890" s="599"/>
      <c r="C890" s="599"/>
      <c r="D890" s="599"/>
      <c r="E890" s="599"/>
      <c r="F890" s="599"/>
      <c r="G890" s="599"/>
      <c r="H890" s="599"/>
      <c r="I890" s="599"/>
      <c r="J890" s="599"/>
      <c r="K890" s="599"/>
      <c r="L890" s="599"/>
      <c r="M890" s="599"/>
      <c r="N890" s="599"/>
      <c r="O890" s="599"/>
      <c r="P890" s="599"/>
      <c r="Q890" s="599"/>
      <c r="R890" s="599"/>
      <c r="S890" s="599"/>
      <c r="T890" s="599"/>
      <c r="U890" s="599"/>
      <c r="V890" s="599"/>
      <c r="W890" s="599"/>
      <c r="X890" s="599"/>
      <c r="Y890" s="599"/>
      <c r="Z890" s="599"/>
    </row>
    <row r="891" spans="1:26" ht="15.75" customHeight="1">
      <c r="A891" s="599"/>
      <c r="B891" s="599"/>
      <c r="C891" s="599"/>
      <c r="D891" s="599"/>
      <c r="E891" s="599"/>
      <c r="F891" s="599"/>
      <c r="G891" s="599"/>
      <c r="H891" s="599"/>
      <c r="I891" s="599"/>
      <c r="J891" s="599"/>
      <c r="K891" s="599"/>
      <c r="L891" s="599"/>
      <c r="M891" s="599"/>
      <c r="N891" s="599"/>
      <c r="O891" s="599"/>
      <c r="P891" s="599"/>
      <c r="Q891" s="599"/>
      <c r="R891" s="599"/>
      <c r="S891" s="599"/>
      <c r="T891" s="599"/>
      <c r="U891" s="599"/>
      <c r="V891" s="599"/>
      <c r="W891" s="599"/>
      <c r="X891" s="599"/>
      <c r="Y891" s="599"/>
      <c r="Z891" s="599"/>
    </row>
    <row r="892" spans="1:26" ht="15.75" customHeight="1">
      <c r="A892" s="599"/>
      <c r="B892" s="599"/>
      <c r="C892" s="599"/>
      <c r="D892" s="599"/>
      <c r="E892" s="599"/>
      <c r="F892" s="599"/>
      <c r="G892" s="599"/>
      <c r="H892" s="599"/>
      <c r="I892" s="599"/>
      <c r="J892" s="599"/>
      <c r="K892" s="599"/>
      <c r="L892" s="599"/>
      <c r="M892" s="599"/>
      <c r="N892" s="599"/>
      <c r="O892" s="599"/>
      <c r="P892" s="599"/>
      <c r="Q892" s="599"/>
      <c r="R892" s="599"/>
      <c r="S892" s="599"/>
      <c r="T892" s="599"/>
      <c r="U892" s="599"/>
      <c r="V892" s="599"/>
      <c r="W892" s="599"/>
      <c r="X892" s="599"/>
      <c r="Y892" s="599"/>
      <c r="Z892" s="599"/>
    </row>
    <row r="893" spans="1:26" ht="15.75" customHeight="1">
      <c r="A893" s="599"/>
      <c r="B893" s="599"/>
      <c r="C893" s="599"/>
      <c r="D893" s="599"/>
      <c r="E893" s="599"/>
      <c r="F893" s="599"/>
      <c r="G893" s="599"/>
      <c r="H893" s="599"/>
      <c r="I893" s="599"/>
      <c r="J893" s="599"/>
      <c r="K893" s="599"/>
      <c r="L893" s="599"/>
      <c r="M893" s="599"/>
      <c r="N893" s="599"/>
      <c r="O893" s="599"/>
      <c r="P893" s="599"/>
      <c r="Q893" s="599"/>
      <c r="R893" s="599"/>
      <c r="S893" s="599"/>
      <c r="T893" s="599"/>
      <c r="U893" s="599"/>
      <c r="V893" s="599"/>
      <c r="W893" s="599"/>
      <c r="X893" s="599"/>
      <c r="Y893" s="599"/>
      <c r="Z893" s="599"/>
    </row>
    <row r="894" spans="1:26" ht="15.75" customHeight="1">
      <c r="A894" s="599"/>
      <c r="B894" s="599"/>
      <c r="C894" s="599"/>
      <c r="D894" s="599"/>
      <c r="E894" s="599"/>
      <c r="F894" s="599"/>
      <c r="G894" s="599"/>
      <c r="H894" s="599"/>
      <c r="I894" s="599"/>
      <c r="J894" s="599"/>
      <c r="K894" s="599"/>
      <c r="L894" s="599"/>
      <c r="M894" s="599"/>
      <c r="N894" s="599"/>
      <c r="O894" s="599"/>
      <c r="P894" s="599"/>
      <c r="Q894" s="599"/>
      <c r="R894" s="599"/>
      <c r="S894" s="599"/>
      <c r="T894" s="599"/>
      <c r="U894" s="599"/>
      <c r="V894" s="599"/>
      <c r="W894" s="599"/>
      <c r="X894" s="599"/>
      <c r="Y894" s="599"/>
      <c r="Z894" s="599"/>
    </row>
    <row r="895" spans="1:26" ht="15.75" customHeight="1">
      <c r="A895" s="599"/>
      <c r="B895" s="599"/>
      <c r="C895" s="599"/>
      <c r="D895" s="599"/>
      <c r="E895" s="599"/>
      <c r="F895" s="599"/>
      <c r="G895" s="599"/>
      <c r="H895" s="599"/>
      <c r="I895" s="599"/>
      <c r="J895" s="599"/>
      <c r="K895" s="599"/>
      <c r="L895" s="599"/>
      <c r="M895" s="599"/>
      <c r="N895" s="599"/>
      <c r="O895" s="599"/>
      <c r="P895" s="599"/>
      <c r="Q895" s="599"/>
      <c r="R895" s="599"/>
      <c r="S895" s="599"/>
      <c r="T895" s="599"/>
      <c r="U895" s="599"/>
      <c r="V895" s="599"/>
      <c r="W895" s="599"/>
      <c r="X895" s="599"/>
      <c r="Y895" s="599"/>
      <c r="Z895" s="599"/>
    </row>
    <row r="896" spans="1:26" ht="15.75" customHeight="1">
      <c r="A896" s="599"/>
      <c r="B896" s="599"/>
      <c r="C896" s="599"/>
      <c r="D896" s="599"/>
      <c r="E896" s="599"/>
      <c r="F896" s="599"/>
      <c r="G896" s="599"/>
      <c r="H896" s="599"/>
      <c r="I896" s="599"/>
      <c r="J896" s="599"/>
      <c r="K896" s="599"/>
      <c r="L896" s="599"/>
      <c r="M896" s="599"/>
      <c r="N896" s="599"/>
      <c r="O896" s="599"/>
      <c r="P896" s="599"/>
      <c r="Q896" s="599"/>
      <c r="R896" s="599"/>
      <c r="S896" s="599"/>
      <c r="T896" s="599"/>
      <c r="U896" s="599"/>
      <c r="V896" s="599"/>
      <c r="W896" s="599"/>
      <c r="X896" s="599"/>
      <c r="Y896" s="599"/>
      <c r="Z896" s="599"/>
    </row>
    <row r="897" spans="1:26" ht="15.75" customHeight="1">
      <c r="A897" s="599"/>
      <c r="B897" s="599"/>
      <c r="C897" s="599"/>
      <c r="D897" s="599"/>
      <c r="E897" s="599"/>
      <c r="F897" s="599"/>
      <c r="G897" s="599"/>
      <c r="H897" s="599"/>
      <c r="I897" s="599"/>
      <c r="J897" s="599"/>
      <c r="K897" s="599"/>
      <c r="L897" s="599"/>
      <c r="M897" s="599"/>
      <c r="N897" s="599"/>
      <c r="O897" s="599"/>
      <c r="P897" s="599"/>
      <c r="Q897" s="599"/>
      <c r="R897" s="599"/>
      <c r="S897" s="599"/>
      <c r="T897" s="599"/>
      <c r="U897" s="599"/>
      <c r="V897" s="599"/>
      <c r="W897" s="599"/>
      <c r="X897" s="599"/>
      <c r="Y897" s="599"/>
      <c r="Z897" s="599"/>
    </row>
    <row r="898" spans="1:26" ht="15.75" customHeight="1">
      <c r="A898" s="599"/>
      <c r="B898" s="599"/>
      <c r="C898" s="599"/>
      <c r="D898" s="599"/>
      <c r="E898" s="599"/>
      <c r="F898" s="599"/>
      <c r="G898" s="599"/>
      <c r="H898" s="599"/>
      <c r="I898" s="599"/>
      <c r="J898" s="599"/>
      <c r="K898" s="599"/>
      <c r="L898" s="599"/>
      <c r="M898" s="599"/>
      <c r="N898" s="599"/>
      <c r="O898" s="599"/>
      <c r="P898" s="599"/>
      <c r="Q898" s="599"/>
      <c r="R898" s="599"/>
      <c r="S898" s="599"/>
      <c r="T898" s="599"/>
      <c r="U898" s="599"/>
      <c r="V898" s="599"/>
      <c r="W898" s="599"/>
      <c r="X898" s="599"/>
      <c r="Y898" s="599"/>
      <c r="Z898" s="599"/>
    </row>
    <row r="899" spans="1:26" ht="15.75" customHeight="1">
      <c r="A899" s="599"/>
      <c r="B899" s="599"/>
      <c r="C899" s="599"/>
      <c r="D899" s="599"/>
      <c r="E899" s="599"/>
      <c r="F899" s="599"/>
      <c r="G899" s="599"/>
      <c r="H899" s="599"/>
      <c r="I899" s="599"/>
      <c r="J899" s="599"/>
      <c r="K899" s="599"/>
      <c r="L899" s="599"/>
      <c r="M899" s="599"/>
      <c r="N899" s="599"/>
      <c r="O899" s="599"/>
      <c r="P899" s="599"/>
      <c r="Q899" s="599"/>
      <c r="R899" s="599"/>
      <c r="S899" s="599"/>
      <c r="T899" s="599"/>
      <c r="U899" s="599"/>
      <c r="V899" s="599"/>
      <c r="W899" s="599"/>
      <c r="X899" s="599"/>
      <c r="Y899" s="599"/>
      <c r="Z899" s="599"/>
    </row>
    <row r="900" spans="1:26" ht="15.75" customHeight="1">
      <c r="A900" s="599"/>
      <c r="B900" s="599"/>
      <c r="C900" s="599"/>
      <c r="D900" s="599"/>
      <c r="E900" s="599"/>
      <c r="F900" s="599"/>
      <c r="G900" s="599"/>
      <c r="H900" s="599"/>
      <c r="I900" s="599"/>
      <c r="J900" s="599"/>
      <c r="K900" s="599"/>
      <c r="L900" s="599"/>
      <c r="M900" s="599"/>
      <c r="N900" s="599"/>
      <c r="O900" s="599"/>
      <c r="P900" s="599"/>
      <c r="Q900" s="599"/>
      <c r="R900" s="599"/>
      <c r="S900" s="599"/>
      <c r="T900" s="599"/>
      <c r="U900" s="599"/>
      <c r="V900" s="599"/>
      <c r="W900" s="599"/>
      <c r="X900" s="599"/>
      <c r="Y900" s="599"/>
      <c r="Z900" s="599"/>
    </row>
    <row r="901" spans="1:26" ht="15.75" customHeight="1">
      <c r="A901" s="599"/>
      <c r="B901" s="599"/>
      <c r="C901" s="599"/>
      <c r="D901" s="599"/>
      <c r="E901" s="599"/>
      <c r="F901" s="599"/>
      <c r="G901" s="599"/>
      <c r="H901" s="599"/>
      <c r="I901" s="599"/>
      <c r="J901" s="599"/>
      <c r="K901" s="599"/>
      <c r="L901" s="599"/>
      <c r="M901" s="599"/>
      <c r="N901" s="599"/>
      <c r="O901" s="599"/>
      <c r="P901" s="599"/>
      <c r="Q901" s="599"/>
      <c r="R901" s="599"/>
      <c r="S901" s="599"/>
      <c r="T901" s="599"/>
      <c r="U901" s="599"/>
      <c r="V901" s="599"/>
      <c r="W901" s="599"/>
      <c r="X901" s="599"/>
      <c r="Y901" s="599"/>
      <c r="Z901" s="599"/>
    </row>
    <row r="902" spans="1:26" ht="15.75" customHeight="1">
      <c r="A902" s="599"/>
      <c r="B902" s="599"/>
      <c r="C902" s="599"/>
      <c r="D902" s="599"/>
      <c r="E902" s="599"/>
      <c r="F902" s="599"/>
      <c r="G902" s="599"/>
      <c r="H902" s="599"/>
      <c r="I902" s="599"/>
      <c r="J902" s="599"/>
      <c r="K902" s="599"/>
      <c r="L902" s="599"/>
      <c r="M902" s="599"/>
      <c r="N902" s="599"/>
      <c r="O902" s="599"/>
      <c r="P902" s="599"/>
      <c r="Q902" s="599"/>
      <c r="R902" s="599"/>
      <c r="S902" s="599"/>
      <c r="T902" s="599"/>
      <c r="U902" s="599"/>
      <c r="V902" s="599"/>
      <c r="W902" s="599"/>
      <c r="X902" s="599"/>
      <c r="Y902" s="599"/>
      <c r="Z902" s="599"/>
    </row>
    <row r="903" spans="1:26" ht="15.75" customHeight="1">
      <c r="A903" s="599"/>
      <c r="B903" s="599"/>
      <c r="C903" s="599"/>
      <c r="D903" s="599"/>
      <c r="E903" s="599"/>
      <c r="F903" s="599"/>
      <c r="G903" s="599"/>
      <c r="H903" s="599"/>
      <c r="I903" s="599"/>
      <c r="J903" s="599"/>
      <c r="K903" s="599"/>
      <c r="L903" s="599"/>
      <c r="M903" s="599"/>
      <c r="N903" s="599"/>
      <c r="O903" s="599"/>
      <c r="P903" s="599"/>
      <c r="Q903" s="599"/>
      <c r="R903" s="599"/>
      <c r="S903" s="599"/>
      <c r="T903" s="599"/>
      <c r="U903" s="599"/>
      <c r="V903" s="599"/>
      <c r="W903" s="599"/>
      <c r="X903" s="599"/>
      <c r="Y903" s="599"/>
      <c r="Z903" s="599"/>
    </row>
    <row r="904" spans="1:26" ht="15.75" customHeight="1">
      <c r="A904" s="599"/>
      <c r="B904" s="599"/>
      <c r="C904" s="599"/>
      <c r="D904" s="599"/>
      <c r="E904" s="599"/>
      <c r="F904" s="599"/>
      <c r="G904" s="599"/>
      <c r="H904" s="599"/>
      <c r="I904" s="599"/>
      <c r="J904" s="599"/>
      <c r="K904" s="599"/>
      <c r="L904" s="599"/>
      <c r="M904" s="599"/>
      <c r="N904" s="599"/>
      <c r="O904" s="599"/>
      <c r="P904" s="599"/>
      <c r="Q904" s="599"/>
      <c r="R904" s="599"/>
      <c r="S904" s="599"/>
      <c r="T904" s="599"/>
      <c r="U904" s="599"/>
      <c r="V904" s="599"/>
      <c r="W904" s="599"/>
      <c r="X904" s="599"/>
      <c r="Y904" s="599"/>
      <c r="Z904" s="599"/>
    </row>
    <row r="905" spans="1:26" ht="15.75" customHeight="1">
      <c r="A905" s="599"/>
      <c r="B905" s="599"/>
      <c r="C905" s="599"/>
      <c r="D905" s="599"/>
      <c r="E905" s="599"/>
      <c r="F905" s="599"/>
      <c r="G905" s="599"/>
      <c r="H905" s="599"/>
      <c r="I905" s="599"/>
      <c r="J905" s="599"/>
      <c r="K905" s="599"/>
      <c r="L905" s="599"/>
      <c r="M905" s="599"/>
      <c r="N905" s="599"/>
      <c r="O905" s="599"/>
      <c r="P905" s="599"/>
      <c r="Q905" s="599"/>
      <c r="R905" s="599"/>
      <c r="S905" s="599"/>
      <c r="T905" s="599"/>
      <c r="U905" s="599"/>
      <c r="V905" s="599"/>
      <c r="W905" s="599"/>
      <c r="X905" s="599"/>
      <c r="Y905" s="599"/>
      <c r="Z905" s="599"/>
    </row>
    <row r="906" spans="1:26" ht="15.75" customHeight="1">
      <c r="A906" s="599"/>
      <c r="B906" s="599"/>
      <c r="C906" s="599"/>
      <c r="D906" s="599"/>
      <c r="E906" s="599"/>
      <c r="F906" s="599"/>
      <c r="G906" s="599"/>
      <c r="H906" s="599"/>
      <c r="I906" s="599"/>
      <c r="J906" s="599"/>
      <c r="K906" s="599"/>
      <c r="L906" s="599"/>
      <c r="M906" s="599"/>
      <c r="N906" s="599"/>
      <c r="O906" s="599"/>
      <c r="P906" s="599"/>
      <c r="Q906" s="599"/>
      <c r="R906" s="599"/>
      <c r="S906" s="599"/>
      <c r="T906" s="599"/>
      <c r="U906" s="599"/>
      <c r="V906" s="599"/>
      <c r="W906" s="599"/>
      <c r="X906" s="599"/>
      <c r="Y906" s="599"/>
      <c r="Z906" s="599"/>
    </row>
    <row r="907" spans="1:26" ht="15.75" customHeight="1">
      <c r="A907" s="599"/>
      <c r="B907" s="599"/>
      <c r="C907" s="599"/>
      <c r="D907" s="599"/>
      <c r="E907" s="599"/>
      <c r="F907" s="599"/>
      <c r="G907" s="599"/>
      <c r="H907" s="599"/>
      <c r="I907" s="599"/>
      <c r="J907" s="599"/>
      <c r="K907" s="599"/>
      <c r="L907" s="599"/>
      <c r="M907" s="599"/>
      <c r="N907" s="599"/>
      <c r="O907" s="599"/>
      <c r="P907" s="599"/>
      <c r="Q907" s="599"/>
      <c r="R907" s="599"/>
      <c r="S907" s="599"/>
      <c r="T907" s="599"/>
      <c r="U907" s="599"/>
      <c r="V907" s="599"/>
      <c r="W907" s="599"/>
      <c r="X907" s="599"/>
      <c r="Y907" s="599"/>
      <c r="Z907" s="599"/>
    </row>
    <row r="908" spans="1:26" ht="15.75" customHeight="1">
      <c r="A908" s="599"/>
      <c r="B908" s="599"/>
      <c r="C908" s="599"/>
      <c r="D908" s="599"/>
      <c r="E908" s="599"/>
      <c r="F908" s="599"/>
      <c r="G908" s="599"/>
      <c r="H908" s="599"/>
      <c r="I908" s="599"/>
      <c r="J908" s="599"/>
      <c r="K908" s="599"/>
      <c r="L908" s="599"/>
      <c r="M908" s="599"/>
      <c r="N908" s="599"/>
      <c r="O908" s="599"/>
      <c r="P908" s="599"/>
      <c r="Q908" s="599"/>
      <c r="R908" s="599"/>
      <c r="S908" s="599"/>
      <c r="T908" s="599"/>
      <c r="U908" s="599"/>
      <c r="V908" s="599"/>
      <c r="W908" s="599"/>
      <c r="X908" s="599"/>
      <c r="Y908" s="599"/>
      <c r="Z908" s="599"/>
    </row>
    <row r="909" spans="1:26" ht="15.75" customHeight="1">
      <c r="A909" s="599"/>
      <c r="B909" s="599"/>
      <c r="C909" s="599"/>
      <c r="D909" s="599"/>
      <c r="E909" s="599"/>
      <c r="F909" s="599"/>
      <c r="G909" s="599"/>
      <c r="H909" s="599"/>
      <c r="I909" s="599"/>
      <c r="J909" s="599"/>
      <c r="K909" s="599"/>
      <c r="L909" s="599"/>
      <c r="M909" s="599"/>
      <c r="N909" s="599"/>
      <c r="O909" s="599"/>
      <c r="P909" s="599"/>
      <c r="Q909" s="599"/>
      <c r="R909" s="599"/>
      <c r="S909" s="599"/>
      <c r="T909" s="599"/>
      <c r="U909" s="599"/>
      <c r="V909" s="599"/>
      <c r="W909" s="599"/>
      <c r="X909" s="599"/>
      <c r="Y909" s="599"/>
      <c r="Z909" s="599"/>
    </row>
    <row r="910" spans="1:26" ht="15.75" customHeight="1">
      <c r="A910" s="599"/>
      <c r="B910" s="599"/>
      <c r="C910" s="599"/>
      <c r="D910" s="599"/>
      <c r="E910" s="599"/>
      <c r="F910" s="599"/>
      <c r="G910" s="599"/>
      <c r="H910" s="599"/>
      <c r="I910" s="599"/>
      <c r="J910" s="599"/>
      <c r="K910" s="599"/>
      <c r="L910" s="599"/>
      <c r="M910" s="599"/>
      <c r="N910" s="599"/>
      <c r="O910" s="599"/>
      <c r="P910" s="599"/>
      <c r="Q910" s="599"/>
      <c r="R910" s="599"/>
      <c r="S910" s="599"/>
      <c r="T910" s="599"/>
      <c r="U910" s="599"/>
      <c r="V910" s="599"/>
      <c r="W910" s="599"/>
      <c r="X910" s="599"/>
      <c r="Y910" s="599"/>
      <c r="Z910" s="599"/>
    </row>
    <row r="911" spans="1:26" ht="15.75" customHeight="1">
      <c r="A911" s="599"/>
      <c r="B911" s="599"/>
      <c r="C911" s="599"/>
      <c r="D911" s="599"/>
      <c r="E911" s="599"/>
      <c r="F911" s="599"/>
      <c r="G911" s="599"/>
      <c r="H911" s="599"/>
      <c r="I911" s="599"/>
      <c r="J911" s="599"/>
      <c r="K911" s="599"/>
      <c r="L911" s="599"/>
      <c r="M911" s="599"/>
      <c r="N911" s="599"/>
      <c r="O911" s="599"/>
      <c r="P911" s="599"/>
      <c r="Q911" s="599"/>
      <c r="R911" s="599"/>
      <c r="S911" s="599"/>
      <c r="T911" s="599"/>
      <c r="U911" s="599"/>
      <c r="V911" s="599"/>
      <c r="W911" s="599"/>
      <c r="X911" s="599"/>
      <c r="Y911" s="599"/>
      <c r="Z911" s="599"/>
    </row>
    <row r="912" spans="1:26" ht="15.75" customHeight="1">
      <c r="A912" s="599"/>
      <c r="B912" s="599"/>
      <c r="C912" s="599"/>
      <c r="D912" s="599"/>
      <c r="E912" s="599"/>
      <c r="F912" s="599"/>
      <c r="G912" s="599"/>
      <c r="H912" s="599"/>
      <c r="I912" s="599"/>
      <c r="J912" s="599"/>
      <c r="K912" s="599"/>
      <c r="L912" s="599"/>
      <c r="M912" s="599"/>
      <c r="N912" s="599"/>
      <c r="O912" s="599"/>
      <c r="P912" s="599"/>
      <c r="Q912" s="599"/>
      <c r="R912" s="599"/>
      <c r="S912" s="599"/>
      <c r="T912" s="599"/>
      <c r="U912" s="599"/>
      <c r="V912" s="599"/>
      <c r="W912" s="599"/>
      <c r="X912" s="599"/>
      <c r="Y912" s="599"/>
      <c r="Z912" s="599"/>
    </row>
    <row r="913" spans="1:26" ht="15.75" customHeight="1">
      <c r="A913" s="599"/>
      <c r="B913" s="599"/>
      <c r="C913" s="599"/>
      <c r="D913" s="599"/>
      <c r="E913" s="599"/>
      <c r="F913" s="599"/>
      <c r="G913" s="599"/>
      <c r="H913" s="599"/>
      <c r="I913" s="599"/>
      <c r="J913" s="599"/>
      <c r="K913" s="599"/>
      <c r="L913" s="599"/>
      <c r="M913" s="599"/>
      <c r="N913" s="599"/>
      <c r="O913" s="599"/>
      <c r="P913" s="599"/>
      <c r="Q913" s="599"/>
      <c r="R913" s="599"/>
      <c r="S913" s="599"/>
      <c r="T913" s="599"/>
      <c r="U913" s="599"/>
      <c r="V913" s="599"/>
      <c r="W913" s="599"/>
      <c r="X913" s="599"/>
      <c r="Y913" s="599"/>
      <c r="Z913" s="599"/>
    </row>
    <row r="914" spans="1:26" ht="15.75" customHeight="1">
      <c r="A914" s="599"/>
      <c r="B914" s="599"/>
      <c r="C914" s="599"/>
      <c r="D914" s="599"/>
      <c r="E914" s="599"/>
      <c r="F914" s="599"/>
      <c r="G914" s="599"/>
      <c r="H914" s="599"/>
      <c r="I914" s="599"/>
      <c r="J914" s="599"/>
      <c r="K914" s="599"/>
      <c r="L914" s="599"/>
      <c r="M914" s="599"/>
      <c r="N914" s="599"/>
      <c r="O914" s="599"/>
      <c r="P914" s="599"/>
      <c r="Q914" s="599"/>
      <c r="R914" s="599"/>
      <c r="S914" s="599"/>
      <c r="T914" s="599"/>
      <c r="U914" s="599"/>
      <c r="V914" s="599"/>
      <c r="W914" s="599"/>
      <c r="X914" s="599"/>
      <c r="Y914" s="599"/>
      <c r="Z914" s="599"/>
    </row>
    <row r="915" spans="1:26" ht="15.75" customHeight="1">
      <c r="A915" s="599"/>
      <c r="B915" s="599"/>
      <c r="C915" s="599"/>
      <c r="D915" s="599"/>
      <c r="E915" s="599"/>
      <c r="F915" s="599"/>
      <c r="G915" s="599"/>
      <c r="H915" s="599"/>
      <c r="I915" s="599"/>
      <c r="J915" s="599"/>
      <c r="K915" s="599"/>
      <c r="L915" s="599"/>
      <c r="M915" s="599"/>
      <c r="N915" s="599"/>
      <c r="O915" s="599"/>
      <c r="P915" s="599"/>
      <c r="Q915" s="599"/>
      <c r="R915" s="599"/>
      <c r="S915" s="599"/>
      <c r="T915" s="599"/>
      <c r="U915" s="599"/>
      <c r="V915" s="599"/>
      <c r="W915" s="599"/>
      <c r="X915" s="599"/>
      <c r="Y915" s="599"/>
      <c r="Z915" s="599"/>
    </row>
    <row r="916" spans="1:26" ht="15.75" customHeight="1">
      <c r="A916" s="599"/>
      <c r="B916" s="599"/>
      <c r="C916" s="599"/>
      <c r="D916" s="599"/>
      <c r="E916" s="599"/>
      <c r="F916" s="599"/>
      <c r="G916" s="599"/>
      <c r="H916" s="599"/>
      <c r="I916" s="599"/>
      <c r="J916" s="599"/>
      <c r="K916" s="599"/>
      <c r="L916" s="599"/>
      <c r="M916" s="599"/>
      <c r="N916" s="599"/>
      <c r="O916" s="599"/>
      <c r="P916" s="599"/>
      <c r="Q916" s="599"/>
      <c r="R916" s="599"/>
      <c r="S916" s="599"/>
      <c r="T916" s="599"/>
      <c r="U916" s="599"/>
      <c r="V916" s="599"/>
      <c r="W916" s="599"/>
      <c r="X916" s="599"/>
      <c r="Y916" s="599"/>
      <c r="Z916" s="599"/>
    </row>
    <row r="917" spans="1:26" ht="15.75" customHeight="1">
      <c r="A917" s="599"/>
      <c r="B917" s="599"/>
      <c r="C917" s="599"/>
      <c r="D917" s="599"/>
      <c r="E917" s="599"/>
      <c r="F917" s="599"/>
      <c r="G917" s="599"/>
      <c r="H917" s="599"/>
      <c r="I917" s="599"/>
      <c r="J917" s="599"/>
      <c r="K917" s="599"/>
      <c r="L917" s="599"/>
      <c r="M917" s="599"/>
      <c r="N917" s="599"/>
      <c r="O917" s="599"/>
      <c r="P917" s="599"/>
      <c r="Q917" s="599"/>
      <c r="R917" s="599"/>
      <c r="S917" s="599"/>
      <c r="T917" s="599"/>
      <c r="U917" s="599"/>
      <c r="V917" s="599"/>
      <c r="W917" s="599"/>
      <c r="X917" s="599"/>
      <c r="Y917" s="599"/>
      <c r="Z917" s="599"/>
    </row>
    <row r="918" spans="1:26" ht="15.75" customHeight="1">
      <c r="A918" s="599"/>
      <c r="B918" s="599"/>
      <c r="C918" s="599"/>
      <c r="D918" s="599"/>
      <c r="E918" s="599"/>
      <c r="F918" s="599"/>
      <c r="G918" s="599"/>
      <c r="H918" s="599"/>
      <c r="I918" s="599"/>
      <c r="J918" s="599"/>
      <c r="K918" s="599"/>
      <c r="L918" s="599"/>
      <c r="M918" s="599"/>
      <c r="N918" s="599"/>
      <c r="O918" s="599"/>
      <c r="P918" s="599"/>
      <c r="Q918" s="599"/>
      <c r="R918" s="599"/>
      <c r="S918" s="599"/>
      <c r="T918" s="599"/>
      <c r="U918" s="599"/>
      <c r="V918" s="599"/>
      <c r="W918" s="599"/>
      <c r="X918" s="599"/>
      <c r="Y918" s="599"/>
      <c r="Z918" s="599"/>
    </row>
    <row r="919" spans="1:26" ht="15.75" customHeight="1">
      <c r="A919" s="599"/>
      <c r="B919" s="599"/>
      <c r="C919" s="599"/>
      <c r="D919" s="599"/>
      <c r="E919" s="599"/>
      <c r="F919" s="599"/>
      <c r="G919" s="599"/>
      <c r="H919" s="599"/>
      <c r="I919" s="599"/>
      <c r="J919" s="599"/>
      <c r="K919" s="599"/>
      <c r="L919" s="599"/>
      <c r="M919" s="599"/>
      <c r="N919" s="599"/>
      <c r="O919" s="599"/>
      <c r="P919" s="599"/>
      <c r="Q919" s="599"/>
      <c r="R919" s="599"/>
      <c r="S919" s="599"/>
      <c r="T919" s="599"/>
      <c r="U919" s="599"/>
      <c r="V919" s="599"/>
      <c r="W919" s="599"/>
      <c r="X919" s="599"/>
      <c r="Y919" s="599"/>
      <c r="Z919" s="599"/>
    </row>
    <row r="920" spans="1:26" ht="15.75" customHeight="1">
      <c r="A920" s="599"/>
      <c r="B920" s="599"/>
      <c r="C920" s="599"/>
      <c r="D920" s="599"/>
      <c r="E920" s="599"/>
      <c r="F920" s="599"/>
      <c r="G920" s="599"/>
      <c r="H920" s="599"/>
      <c r="I920" s="599"/>
      <c r="J920" s="599"/>
      <c r="K920" s="599"/>
      <c r="L920" s="599"/>
      <c r="M920" s="599"/>
      <c r="N920" s="599"/>
      <c r="O920" s="599"/>
      <c r="P920" s="599"/>
      <c r="Q920" s="599"/>
      <c r="R920" s="599"/>
      <c r="S920" s="599"/>
      <c r="T920" s="599"/>
      <c r="U920" s="599"/>
      <c r="V920" s="599"/>
      <c r="W920" s="599"/>
      <c r="X920" s="599"/>
      <c r="Y920" s="599"/>
      <c r="Z920" s="599"/>
    </row>
    <row r="921" spans="1:26" ht="15.75" customHeight="1">
      <c r="A921" s="599"/>
      <c r="B921" s="599"/>
      <c r="C921" s="599"/>
      <c r="D921" s="599"/>
      <c r="E921" s="599"/>
      <c r="F921" s="599"/>
      <c r="G921" s="599"/>
      <c r="H921" s="599"/>
      <c r="I921" s="599"/>
      <c r="J921" s="599"/>
      <c r="K921" s="599"/>
      <c r="L921" s="599"/>
      <c r="M921" s="599"/>
      <c r="N921" s="599"/>
      <c r="O921" s="599"/>
      <c r="P921" s="599"/>
      <c r="Q921" s="599"/>
      <c r="R921" s="599"/>
      <c r="S921" s="599"/>
      <c r="T921" s="599"/>
      <c r="U921" s="599"/>
      <c r="V921" s="599"/>
      <c r="W921" s="599"/>
      <c r="X921" s="599"/>
      <c r="Y921" s="599"/>
      <c r="Z921" s="599"/>
    </row>
    <row r="922" spans="1:26" ht="15.75" customHeight="1">
      <c r="A922" s="599"/>
      <c r="B922" s="599"/>
      <c r="C922" s="599"/>
      <c r="D922" s="599"/>
      <c r="E922" s="599"/>
      <c r="F922" s="599"/>
      <c r="G922" s="599"/>
      <c r="H922" s="599"/>
      <c r="I922" s="599"/>
      <c r="J922" s="599"/>
      <c r="K922" s="599"/>
      <c r="L922" s="599"/>
      <c r="M922" s="599"/>
      <c r="N922" s="599"/>
      <c r="O922" s="599"/>
      <c r="P922" s="599"/>
      <c r="Q922" s="599"/>
      <c r="R922" s="599"/>
      <c r="S922" s="599"/>
      <c r="T922" s="599"/>
      <c r="U922" s="599"/>
      <c r="V922" s="599"/>
      <c r="W922" s="599"/>
      <c r="X922" s="599"/>
      <c r="Y922" s="599"/>
      <c r="Z922" s="599"/>
    </row>
    <row r="923" spans="1:26" ht="15.75" customHeight="1">
      <c r="A923" s="599"/>
      <c r="B923" s="599"/>
      <c r="C923" s="599"/>
      <c r="D923" s="599"/>
      <c r="E923" s="599"/>
      <c r="F923" s="599"/>
      <c r="G923" s="599"/>
      <c r="H923" s="599"/>
      <c r="I923" s="599"/>
      <c r="J923" s="599"/>
      <c r="K923" s="599"/>
      <c r="L923" s="599"/>
      <c r="M923" s="599"/>
      <c r="N923" s="599"/>
      <c r="O923" s="599"/>
      <c r="P923" s="599"/>
      <c r="Q923" s="599"/>
      <c r="R923" s="599"/>
      <c r="S923" s="599"/>
      <c r="T923" s="599"/>
      <c r="U923" s="599"/>
      <c r="V923" s="599"/>
      <c r="W923" s="599"/>
      <c r="X923" s="599"/>
      <c r="Y923" s="599"/>
      <c r="Z923" s="599"/>
    </row>
    <row r="924" spans="1:26" ht="15.75" customHeight="1">
      <c r="A924" s="599"/>
      <c r="B924" s="599"/>
      <c r="C924" s="599"/>
      <c r="D924" s="599"/>
      <c r="E924" s="599"/>
      <c r="F924" s="599"/>
      <c r="G924" s="599"/>
      <c r="H924" s="599"/>
      <c r="I924" s="599"/>
      <c r="J924" s="599"/>
      <c r="K924" s="599"/>
      <c r="L924" s="599"/>
      <c r="M924" s="599"/>
      <c r="N924" s="599"/>
      <c r="O924" s="599"/>
      <c r="P924" s="599"/>
      <c r="Q924" s="599"/>
      <c r="R924" s="599"/>
      <c r="S924" s="599"/>
      <c r="T924" s="599"/>
      <c r="U924" s="599"/>
      <c r="V924" s="599"/>
      <c r="W924" s="599"/>
      <c r="X924" s="599"/>
      <c r="Y924" s="599"/>
      <c r="Z924" s="599"/>
    </row>
    <row r="925" spans="1:26" ht="15.75" customHeight="1">
      <c r="A925" s="599"/>
      <c r="B925" s="599"/>
      <c r="C925" s="599"/>
      <c r="D925" s="599"/>
      <c r="E925" s="599"/>
      <c r="F925" s="599"/>
      <c r="G925" s="599"/>
      <c r="H925" s="599"/>
      <c r="I925" s="599"/>
      <c r="J925" s="599"/>
      <c r="K925" s="599"/>
      <c r="L925" s="599"/>
      <c r="M925" s="599"/>
      <c r="N925" s="599"/>
      <c r="O925" s="599"/>
      <c r="P925" s="599"/>
      <c r="Q925" s="599"/>
      <c r="R925" s="599"/>
      <c r="S925" s="599"/>
      <c r="T925" s="599"/>
      <c r="U925" s="599"/>
      <c r="V925" s="599"/>
      <c r="W925" s="599"/>
      <c r="X925" s="599"/>
      <c r="Y925" s="599"/>
      <c r="Z925" s="599"/>
    </row>
    <row r="926" spans="1:26" ht="15.75" customHeight="1">
      <c r="A926" s="599"/>
      <c r="B926" s="599"/>
      <c r="C926" s="599"/>
      <c r="D926" s="599"/>
      <c r="E926" s="599"/>
      <c r="F926" s="599"/>
      <c r="G926" s="599"/>
      <c r="H926" s="599"/>
      <c r="I926" s="599"/>
      <c r="J926" s="599"/>
      <c r="K926" s="599"/>
      <c r="L926" s="599"/>
      <c r="M926" s="599"/>
      <c r="N926" s="599"/>
      <c r="O926" s="599"/>
      <c r="P926" s="599"/>
      <c r="Q926" s="599"/>
      <c r="R926" s="599"/>
      <c r="S926" s="599"/>
      <c r="T926" s="599"/>
      <c r="U926" s="599"/>
      <c r="V926" s="599"/>
      <c r="W926" s="599"/>
      <c r="X926" s="599"/>
      <c r="Y926" s="599"/>
      <c r="Z926" s="599"/>
    </row>
    <row r="927" spans="1:26" ht="15.75" customHeight="1">
      <c r="A927" s="599"/>
      <c r="B927" s="599"/>
      <c r="C927" s="599"/>
      <c r="D927" s="599"/>
      <c r="E927" s="599"/>
      <c r="F927" s="599"/>
      <c r="G927" s="599"/>
      <c r="H927" s="599"/>
      <c r="I927" s="599"/>
      <c r="J927" s="599"/>
      <c r="K927" s="599"/>
      <c r="L927" s="599"/>
      <c r="M927" s="599"/>
      <c r="N927" s="599"/>
      <c r="O927" s="599"/>
      <c r="P927" s="599"/>
      <c r="Q927" s="599"/>
      <c r="R927" s="599"/>
      <c r="S927" s="599"/>
      <c r="T927" s="599"/>
      <c r="U927" s="599"/>
      <c r="V927" s="599"/>
      <c r="W927" s="599"/>
      <c r="X927" s="599"/>
      <c r="Y927" s="599"/>
      <c r="Z927" s="599"/>
    </row>
    <row r="928" spans="1:26" ht="15.75" customHeight="1">
      <c r="A928" s="599"/>
      <c r="B928" s="599"/>
      <c r="C928" s="599"/>
      <c r="D928" s="599"/>
      <c r="E928" s="599"/>
      <c r="F928" s="599"/>
      <c r="G928" s="599"/>
      <c r="H928" s="599"/>
      <c r="I928" s="599"/>
      <c r="J928" s="599"/>
      <c r="K928" s="599"/>
      <c r="L928" s="599"/>
      <c r="M928" s="599"/>
      <c r="N928" s="599"/>
      <c r="O928" s="599"/>
      <c r="P928" s="599"/>
      <c r="Q928" s="599"/>
      <c r="R928" s="599"/>
      <c r="S928" s="599"/>
      <c r="T928" s="599"/>
      <c r="U928" s="599"/>
      <c r="V928" s="599"/>
      <c r="W928" s="599"/>
      <c r="X928" s="599"/>
      <c r="Y928" s="599"/>
      <c r="Z928" s="599"/>
    </row>
    <row r="929" spans="1:26" ht="15.75" customHeight="1">
      <c r="A929" s="599"/>
      <c r="B929" s="599"/>
      <c r="C929" s="599"/>
      <c r="D929" s="599"/>
      <c r="E929" s="599"/>
      <c r="F929" s="599"/>
      <c r="G929" s="599"/>
      <c r="H929" s="599"/>
      <c r="I929" s="599"/>
      <c r="J929" s="599"/>
      <c r="K929" s="599"/>
      <c r="L929" s="599"/>
      <c r="M929" s="599"/>
      <c r="N929" s="599"/>
      <c r="O929" s="599"/>
      <c r="P929" s="599"/>
      <c r="Q929" s="599"/>
      <c r="R929" s="599"/>
      <c r="S929" s="599"/>
      <c r="T929" s="599"/>
      <c r="U929" s="599"/>
      <c r="V929" s="599"/>
      <c r="W929" s="599"/>
      <c r="X929" s="599"/>
      <c r="Y929" s="599"/>
      <c r="Z929" s="599"/>
    </row>
    <row r="930" spans="1:26" ht="15.75" customHeight="1">
      <c r="A930" s="599"/>
      <c r="B930" s="599"/>
      <c r="C930" s="599"/>
      <c r="D930" s="599"/>
      <c r="E930" s="599"/>
      <c r="F930" s="599"/>
      <c r="G930" s="599"/>
      <c r="H930" s="599"/>
      <c r="I930" s="599"/>
      <c r="J930" s="599"/>
      <c r="K930" s="599"/>
      <c r="L930" s="599"/>
      <c r="M930" s="599"/>
      <c r="N930" s="599"/>
      <c r="O930" s="599"/>
      <c r="P930" s="599"/>
      <c r="Q930" s="599"/>
      <c r="R930" s="599"/>
      <c r="S930" s="599"/>
      <c r="T930" s="599"/>
      <c r="U930" s="599"/>
      <c r="V930" s="599"/>
      <c r="W930" s="599"/>
      <c r="X930" s="599"/>
      <c r="Y930" s="599"/>
      <c r="Z930" s="599"/>
    </row>
    <row r="931" spans="1:26" ht="15.75" customHeight="1">
      <c r="A931" s="599"/>
      <c r="B931" s="599"/>
      <c r="C931" s="599"/>
      <c r="D931" s="599"/>
      <c r="E931" s="599"/>
      <c r="F931" s="599"/>
      <c r="G931" s="599"/>
      <c r="H931" s="599"/>
      <c r="I931" s="599"/>
      <c r="J931" s="599"/>
      <c r="K931" s="599"/>
      <c r="L931" s="599"/>
      <c r="M931" s="599"/>
      <c r="N931" s="599"/>
      <c r="O931" s="599"/>
      <c r="P931" s="599"/>
      <c r="Q931" s="599"/>
      <c r="R931" s="599"/>
      <c r="S931" s="599"/>
      <c r="T931" s="599"/>
      <c r="U931" s="599"/>
      <c r="V931" s="599"/>
      <c r="W931" s="599"/>
      <c r="X931" s="599"/>
      <c r="Y931" s="599"/>
      <c r="Z931" s="599"/>
    </row>
    <row r="932" spans="1:26" ht="15.75" customHeight="1">
      <c r="A932" s="599"/>
      <c r="B932" s="599"/>
      <c r="C932" s="599"/>
      <c r="D932" s="599"/>
      <c r="E932" s="599"/>
      <c r="F932" s="599"/>
      <c r="G932" s="599"/>
      <c r="H932" s="599"/>
      <c r="I932" s="599"/>
      <c r="J932" s="599"/>
      <c r="K932" s="599"/>
      <c r="L932" s="599"/>
      <c r="M932" s="599"/>
      <c r="N932" s="599"/>
      <c r="O932" s="599"/>
      <c r="P932" s="599"/>
      <c r="Q932" s="599"/>
      <c r="R932" s="599"/>
      <c r="S932" s="599"/>
      <c r="T932" s="599"/>
      <c r="U932" s="599"/>
      <c r="V932" s="599"/>
      <c r="W932" s="599"/>
      <c r="X932" s="599"/>
      <c r="Y932" s="599"/>
      <c r="Z932" s="599"/>
    </row>
    <row r="933" spans="1:26" ht="15.75" customHeight="1">
      <c r="A933" s="599"/>
      <c r="B933" s="599"/>
      <c r="C933" s="599"/>
      <c r="D933" s="599"/>
      <c r="E933" s="599"/>
      <c r="F933" s="599"/>
      <c r="G933" s="599"/>
      <c r="H933" s="599"/>
      <c r="I933" s="599"/>
      <c r="J933" s="599"/>
      <c r="K933" s="599"/>
      <c r="L933" s="599"/>
      <c r="M933" s="599"/>
      <c r="N933" s="599"/>
      <c r="O933" s="599"/>
      <c r="P933" s="599"/>
      <c r="Q933" s="599"/>
      <c r="R933" s="599"/>
      <c r="S933" s="599"/>
      <c r="T933" s="599"/>
      <c r="U933" s="599"/>
      <c r="V933" s="599"/>
      <c r="W933" s="599"/>
      <c r="X933" s="599"/>
      <c r="Y933" s="599"/>
      <c r="Z933" s="599"/>
    </row>
    <row r="934" spans="1:26" ht="15.75" customHeight="1">
      <c r="A934" s="599"/>
      <c r="B934" s="599"/>
      <c r="C934" s="599"/>
      <c r="D934" s="599"/>
      <c r="E934" s="599"/>
      <c r="F934" s="599"/>
      <c r="G934" s="599"/>
      <c r="H934" s="599"/>
      <c r="I934" s="599"/>
      <c r="J934" s="599"/>
      <c r="K934" s="599"/>
      <c r="L934" s="599"/>
      <c r="M934" s="599"/>
      <c r="N934" s="599"/>
      <c r="O934" s="599"/>
      <c r="P934" s="599"/>
      <c r="Q934" s="599"/>
      <c r="R934" s="599"/>
      <c r="S934" s="599"/>
      <c r="T934" s="599"/>
      <c r="U934" s="599"/>
      <c r="V934" s="599"/>
      <c r="W934" s="599"/>
      <c r="X934" s="599"/>
      <c r="Y934" s="599"/>
      <c r="Z934" s="599"/>
    </row>
    <row r="935" spans="1:26" ht="15.75" customHeight="1">
      <c r="A935" s="599"/>
      <c r="B935" s="599"/>
      <c r="C935" s="599"/>
      <c r="D935" s="599"/>
      <c r="E935" s="599"/>
      <c r="F935" s="599"/>
      <c r="G935" s="599"/>
      <c r="H935" s="599"/>
      <c r="I935" s="599"/>
      <c r="J935" s="599"/>
      <c r="K935" s="599"/>
      <c r="L935" s="599"/>
      <c r="M935" s="599"/>
      <c r="N935" s="599"/>
      <c r="O935" s="599"/>
      <c r="P935" s="599"/>
      <c r="Q935" s="599"/>
      <c r="R935" s="599"/>
      <c r="S935" s="599"/>
      <c r="T935" s="599"/>
      <c r="U935" s="599"/>
      <c r="V935" s="599"/>
      <c r="W935" s="599"/>
      <c r="X935" s="599"/>
      <c r="Y935" s="599"/>
      <c r="Z935" s="599"/>
    </row>
    <row r="936" spans="1:26" ht="15.75" customHeight="1">
      <c r="A936" s="599"/>
      <c r="B936" s="599"/>
      <c r="C936" s="599"/>
      <c r="D936" s="599"/>
      <c r="E936" s="599"/>
      <c r="F936" s="599"/>
      <c r="G936" s="599"/>
      <c r="H936" s="599"/>
      <c r="I936" s="599"/>
      <c r="J936" s="599"/>
      <c r="K936" s="599"/>
      <c r="L936" s="599"/>
      <c r="M936" s="599"/>
      <c r="N936" s="599"/>
      <c r="O936" s="599"/>
      <c r="P936" s="599"/>
      <c r="Q936" s="599"/>
      <c r="R936" s="599"/>
      <c r="S936" s="599"/>
      <c r="T936" s="599"/>
      <c r="U936" s="599"/>
      <c r="V936" s="599"/>
      <c r="W936" s="599"/>
      <c r="X936" s="599"/>
      <c r="Y936" s="599"/>
      <c r="Z936" s="599"/>
    </row>
    <row r="937" spans="1:26" ht="15.75" customHeight="1">
      <c r="A937" s="599"/>
      <c r="B937" s="599"/>
      <c r="C937" s="599"/>
      <c r="D937" s="599"/>
      <c r="E937" s="599"/>
      <c r="F937" s="599"/>
      <c r="G937" s="599"/>
      <c r="H937" s="599"/>
      <c r="I937" s="599"/>
      <c r="J937" s="599"/>
      <c r="K937" s="599"/>
      <c r="L937" s="599"/>
      <c r="M937" s="599"/>
      <c r="N937" s="599"/>
      <c r="O937" s="599"/>
      <c r="P937" s="599"/>
      <c r="Q937" s="599"/>
      <c r="R937" s="599"/>
      <c r="S937" s="599"/>
      <c r="T937" s="599"/>
      <c r="U937" s="599"/>
      <c r="V937" s="599"/>
      <c r="W937" s="599"/>
      <c r="X937" s="599"/>
      <c r="Y937" s="599"/>
      <c r="Z937" s="599"/>
    </row>
    <row r="938" spans="1:26" ht="15.75" customHeight="1">
      <c r="A938" s="599"/>
      <c r="B938" s="599"/>
      <c r="C938" s="599"/>
      <c r="D938" s="599"/>
      <c r="E938" s="599"/>
      <c r="F938" s="599"/>
      <c r="G938" s="599"/>
      <c r="H938" s="599"/>
      <c r="I938" s="599"/>
      <c r="J938" s="599"/>
      <c r="K938" s="599"/>
      <c r="L938" s="599"/>
      <c r="M938" s="599"/>
      <c r="N938" s="599"/>
      <c r="O938" s="599"/>
      <c r="P938" s="599"/>
      <c r="Q938" s="599"/>
      <c r="R938" s="599"/>
      <c r="S938" s="599"/>
      <c r="T938" s="599"/>
      <c r="U938" s="599"/>
      <c r="V938" s="599"/>
      <c r="W938" s="599"/>
      <c r="X938" s="599"/>
      <c r="Y938" s="599"/>
      <c r="Z938" s="599"/>
    </row>
    <row r="939" spans="1:26" ht="15.75" customHeight="1">
      <c r="A939" s="599"/>
      <c r="B939" s="599"/>
      <c r="C939" s="599"/>
      <c r="D939" s="599"/>
      <c r="E939" s="599"/>
      <c r="F939" s="599"/>
      <c r="G939" s="599"/>
      <c r="H939" s="599"/>
      <c r="I939" s="599"/>
      <c r="J939" s="599"/>
      <c r="K939" s="599"/>
      <c r="L939" s="599"/>
      <c r="M939" s="599"/>
      <c r="N939" s="599"/>
      <c r="O939" s="599"/>
      <c r="P939" s="599"/>
      <c r="Q939" s="599"/>
      <c r="R939" s="599"/>
      <c r="S939" s="599"/>
      <c r="T939" s="599"/>
      <c r="U939" s="599"/>
      <c r="V939" s="599"/>
      <c r="W939" s="599"/>
      <c r="X939" s="599"/>
      <c r="Y939" s="599"/>
      <c r="Z939" s="599"/>
    </row>
    <row r="940" spans="1:26" ht="15.75" customHeight="1">
      <c r="A940" s="599"/>
      <c r="B940" s="599"/>
      <c r="C940" s="599"/>
      <c r="D940" s="599"/>
      <c r="E940" s="599"/>
      <c r="F940" s="599"/>
      <c r="G940" s="599"/>
      <c r="H940" s="599"/>
      <c r="I940" s="599"/>
      <c r="J940" s="599"/>
      <c r="K940" s="599"/>
      <c r="L940" s="599"/>
      <c r="M940" s="599"/>
      <c r="N940" s="599"/>
      <c r="O940" s="599"/>
      <c r="P940" s="599"/>
      <c r="Q940" s="599"/>
      <c r="R940" s="599"/>
      <c r="S940" s="599"/>
      <c r="T940" s="599"/>
      <c r="U940" s="599"/>
      <c r="V940" s="599"/>
      <c r="W940" s="599"/>
      <c r="X940" s="599"/>
      <c r="Y940" s="599"/>
      <c r="Z940" s="599"/>
    </row>
    <row r="941" spans="1:26" ht="15.75" customHeight="1">
      <c r="A941" s="599"/>
      <c r="B941" s="599"/>
      <c r="C941" s="599"/>
      <c r="D941" s="599"/>
      <c r="E941" s="599"/>
      <c r="F941" s="599"/>
      <c r="G941" s="599"/>
      <c r="H941" s="599"/>
      <c r="I941" s="599"/>
      <c r="J941" s="599"/>
      <c r="K941" s="599"/>
      <c r="L941" s="599"/>
      <c r="M941" s="599"/>
      <c r="N941" s="599"/>
      <c r="O941" s="599"/>
      <c r="P941" s="599"/>
      <c r="Q941" s="599"/>
      <c r="R941" s="599"/>
      <c r="S941" s="599"/>
      <c r="T941" s="599"/>
      <c r="U941" s="599"/>
      <c r="V941" s="599"/>
      <c r="W941" s="599"/>
      <c r="X941" s="599"/>
      <c r="Y941" s="599"/>
      <c r="Z941" s="599"/>
    </row>
    <row r="942" spans="1:26" ht="15.75" customHeight="1">
      <c r="A942" s="599"/>
      <c r="B942" s="599"/>
      <c r="C942" s="599"/>
      <c r="D942" s="599"/>
      <c r="E942" s="599"/>
      <c r="F942" s="599"/>
      <c r="G942" s="599"/>
      <c r="H942" s="599"/>
      <c r="I942" s="599"/>
      <c r="J942" s="599"/>
      <c r="K942" s="599"/>
      <c r="L942" s="599"/>
      <c r="M942" s="599"/>
      <c r="N942" s="599"/>
      <c r="O942" s="599"/>
      <c r="P942" s="599"/>
      <c r="Q942" s="599"/>
      <c r="R942" s="599"/>
      <c r="S942" s="599"/>
      <c r="T942" s="599"/>
      <c r="U942" s="599"/>
      <c r="V942" s="599"/>
      <c r="W942" s="599"/>
      <c r="X942" s="599"/>
      <c r="Y942" s="599"/>
      <c r="Z942" s="599"/>
    </row>
    <row r="943" spans="1:26" ht="15.75" customHeight="1">
      <c r="A943" s="599"/>
      <c r="B943" s="599"/>
      <c r="C943" s="599"/>
      <c r="D943" s="599"/>
      <c r="E943" s="599"/>
      <c r="F943" s="599"/>
      <c r="G943" s="599"/>
      <c r="H943" s="599"/>
      <c r="I943" s="599"/>
      <c r="J943" s="599"/>
      <c r="K943" s="599"/>
      <c r="L943" s="599"/>
      <c r="M943" s="599"/>
      <c r="N943" s="599"/>
      <c r="O943" s="599"/>
      <c r="P943" s="599"/>
      <c r="Q943" s="599"/>
      <c r="R943" s="599"/>
      <c r="S943" s="599"/>
      <c r="T943" s="599"/>
      <c r="U943" s="599"/>
      <c r="V943" s="599"/>
      <c r="W943" s="599"/>
      <c r="X943" s="599"/>
      <c r="Y943" s="599"/>
      <c r="Z943" s="599"/>
    </row>
    <row r="944" spans="1:26" ht="15.75" customHeight="1">
      <c r="A944" s="599"/>
      <c r="B944" s="599"/>
      <c r="C944" s="599"/>
      <c r="D944" s="599"/>
      <c r="E944" s="599"/>
      <c r="F944" s="599"/>
      <c r="G944" s="599"/>
      <c r="H944" s="599"/>
      <c r="I944" s="599"/>
      <c r="J944" s="599"/>
      <c r="K944" s="599"/>
      <c r="L944" s="599"/>
      <c r="M944" s="599"/>
      <c r="N944" s="599"/>
      <c r="O944" s="599"/>
      <c r="P944" s="599"/>
      <c r="Q944" s="599"/>
      <c r="R944" s="599"/>
      <c r="S944" s="599"/>
      <c r="T944" s="599"/>
      <c r="U944" s="599"/>
      <c r="V944" s="599"/>
      <c r="W944" s="599"/>
      <c r="X944" s="599"/>
      <c r="Y944" s="599"/>
      <c r="Z944" s="599"/>
    </row>
    <row r="945" spans="1:26" ht="15.75" customHeight="1">
      <c r="A945" s="599"/>
      <c r="B945" s="599"/>
      <c r="C945" s="599"/>
      <c r="D945" s="599"/>
      <c r="E945" s="599"/>
      <c r="F945" s="599"/>
      <c r="G945" s="599"/>
      <c r="H945" s="599"/>
      <c r="I945" s="599"/>
      <c r="J945" s="599"/>
      <c r="K945" s="599"/>
      <c r="L945" s="599"/>
      <c r="M945" s="599"/>
      <c r="N945" s="599"/>
      <c r="O945" s="599"/>
      <c r="P945" s="599"/>
      <c r="Q945" s="599"/>
      <c r="R945" s="599"/>
      <c r="S945" s="599"/>
      <c r="T945" s="599"/>
      <c r="U945" s="599"/>
      <c r="V945" s="599"/>
      <c r="W945" s="599"/>
      <c r="X945" s="599"/>
      <c r="Y945" s="599"/>
      <c r="Z945" s="599"/>
    </row>
    <row r="946" spans="1:26" ht="15.75" customHeight="1">
      <c r="A946" s="599"/>
      <c r="B946" s="599"/>
      <c r="C946" s="599"/>
      <c r="D946" s="599"/>
      <c r="E946" s="599"/>
      <c r="F946" s="599"/>
      <c r="G946" s="599"/>
      <c r="H946" s="599"/>
      <c r="I946" s="599"/>
      <c r="J946" s="599"/>
      <c r="K946" s="599"/>
      <c r="L946" s="599"/>
      <c r="M946" s="599"/>
      <c r="N946" s="599"/>
      <c r="O946" s="599"/>
      <c r="P946" s="599"/>
      <c r="Q946" s="599"/>
      <c r="R946" s="599"/>
      <c r="S946" s="599"/>
      <c r="T946" s="599"/>
      <c r="U946" s="599"/>
      <c r="V946" s="599"/>
      <c r="W946" s="599"/>
      <c r="X946" s="599"/>
      <c r="Y946" s="599"/>
      <c r="Z946" s="599"/>
    </row>
    <row r="947" spans="1:26" ht="15.75" customHeight="1">
      <c r="A947" s="599"/>
      <c r="B947" s="599"/>
      <c r="C947" s="599"/>
      <c r="D947" s="599"/>
      <c r="E947" s="599"/>
      <c r="F947" s="599"/>
      <c r="G947" s="599"/>
      <c r="H947" s="599"/>
      <c r="I947" s="599"/>
      <c r="J947" s="599"/>
      <c r="K947" s="599"/>
      <c r="L947" s="599"/>
      <c r="M947" s="599"/>
      <c r="N947" s="599"/>
      <c r="O947" s="599"/>
      <c r="P947" s="599"/>
      <c r="Q947" s="599"/>
      <c r="R947" s="599"/>
      <c r="S947" s="599"/>
      <c r="T947" s="599"/>
      <c r="U947" s="599"/>
      <c r="V947" s="599"/>
      <c r="W947" s="599"/>
      <c r="X947" s="599"/>
      <c r="Y947" s="599"/>
      <c r="Z947" s="599"/>
    </row>
    <row r="948" spans="1:26" ht="15.75" customHeight="1">
      <c r="A948" s="599"/>
      <c r="B948" s="599"/>
      <c r="C948" s="599"/>
      <c r="D948" s="599"/>
      <c r="E948" s="599"/>
      <c r="F948" s="599"/>
      <c r="G948" s="599"/>
      <c r="H948" s="599"/>
      <c r="I948" s="599"/>
      <c r="J948" s="599"/>
      <c r="K948" s="599"/>
      <c r="L948" s="599"/>
      <c r="M948" s="599"/>
      <c r="N948" s="599"/>
      <c r="O948" s="599"/>
      <c r="P948" s="599"/>
      <c r="Q948" s="599"/>
      <c r="R948" s="599"/>
      <c r="S948" s="599"/>
      <c r="T948" s="599"/>
      <c r="U948" s="599"/>
      <c r="V948" s="599"/>
      <c r="W948" s="599"/>
      <c r="X948" s="599"/>
      <c r="Y948" s="599"/>
      <c r="Z948" s="599"/>
    </row>
    <row r="949" spans="1:26" ht="15.75" customHeight="1">
      <c r="A949" s="599"/>
      <c r="B949" s="599"/>
      <c r="C949" s="599"/>
      <c r="D949" s="599"/>
      <c r="E949" s="599"/>
      <c r="F949" s="599"/>
      <c r="G949" s="599"/>
      <c r="H949" s="599"/>
      <c r="I949" s="599"/>
      <c r="J949" s="599"/>
      <c r="K949" s="599"/>
      <c r="L949" s="599"/>
      <c r="M949" s="599"/>
      <c r="N949" s="599"/>
      <c r="O949" s="599"/>
      <c r="P949" s="599"/>
      <c r="Q949" s="599"/>
      <c r="R949" s="599"/>
      <c r="S949" s="599"/>
      <c r="T949" s="599"/>
      <c r="U949" s="599"/>
      <c r="V949" s="599"/>
      <c r="W949" s="599"/>
      <c r="X949" s="599"/>
      <c r="Y949" s="599"/>
      <c r="Z949" s="599"/>
    </row>
    <row r="950" spans="1:26" ht="15.75" customHeight="1">
      <c r="A950" s="599"/>
      <c r="B950" s="599"/>
      <c r="C950" s="599"/>
      <c r="D950" s="599"/>
      <c r="E950" s="599"/>
      <c r="F950" s="599"/>
      <c r="G950" s="599"/>
      <c r="H950" s="599"/>
      <c r="I950" s="599"/>
      <c r="J950" s="599"/>
      <c r="K950" s="599"/>
      <c r="L950" s="599"/>
      <c r="M950" s="599"/>
      <c r="N950" s="599"/>
      <c r="O950" s="599"/>
      <c r="P950" s="599"/>
      <c r="Q950" s="599"/>
      <c r="R950" s="599"/>
      <c r="S950" s="599"/>
      <c r="T950" s="599"/>
      <c r="U950" s="599"/>
      <c r="V950" s="599"/>
      <c r="W950" s="599"/>
      <c r="X950" s="599"/>
      <c r="Y950" s="599"/>
      <c r="Z950" s="599"/>
    </row>
    <row r="951" spans="1:26" ht="15.75" customHeight="1">
      <c r="A951" s="599"/>
      <c r="B951" s="599"/>
      <c r="C951" s="599"/>
      <c r="D951" s="599"/>
      <c r="E951" s="599"/>
      <c r="F951" s="599"/>
      <c r="G951" s="599"/>
      <c r="H951" s="599"/>
      <c r="I951" s="599"/>
      <c r="J951" s="599"/>
      <c r="K951" s="599"/>
      <c r="L951" s="599"/>
      <c r="M951" s="599"/>
      <c r="N951" s="599"/>
      <c r="O951" s="599"/>
      <c r="P951" s="599"/>
      <c r="Q951" s="599"/>
      <c r="R951" s="599"/>
      <c r="S951" s="599"/>
      <c r="T951" s="599"/>
      <c r="U951" s="599"/>
      <c r="V951" s="599"/>
      <c r="W951" s="599"/>
      <c r="X951" s="599"/>
      <c r="Y951" s="599"/>
      <c r="Z951" s="599"/>
    </row>
    <row r="952" spans="1:26" ht="15.75" customHeight="1">
      <c r="A952" s="599"/>
      <c r="B952" s="599"/>
      <c r="C952" s="599"/>
      <c r="D952" s="599"/>
      <c r="E952" s="599"/>
      <c r="F952" s="599"/>
      <c r="G952" s="599"/>
      <c r="H952" s="599"/>
      <c r="I952" s="599"/>
      <c r="J952" s="599"/>
      <c r="K952" s="599"/>
      <c r="L952" s="599"/>
      <c r="M952" s="599"/>
      <c r="N952" s="599"/>
      <c r="O952" s="599"/>
      <c r="P952" s="599"/>
      <c r="Q952" s="599"/>
      <c r="R952" s="599"/>
      <c r="S952" s="599"/>
      <c r="T952" s="599"/>
      <c r="U952" s="599"/>
      <c r="V952" s="599"/>
      <c r="W952" s="599"/>
      <c r="X952" s="599"/>
      <c r="Y952" s="599"/>
      <c r="Z952" s="599"/>
    </row>
    <row r="953" spans="1:26" ht="15.75" customHeight="1">
      <c r="A953" s="599"/>
      <c r="B953" s="599"/>
      <c r="C953" s="599"/>
      <c r="D953" s="599"/>
      <c r="E953" s="599"/>
      <c r="F953" s="599"/>
      <c r="G953" s="599"/>
      <c r="H953" s="599"/>
      <c r="I953" s="599"/>
      <c r="J953" s="599"/>
      <c r="K953" s="599"/>
      <c r="L953" s="599"/>
      <c r="M953" s="599"/>
      <c r="N953" s="599"/>
      <c r="O953" s="599"/>
      <c r="P953" s="599"/>
      <c r="Q953" s="599"/>
      <c r="R953" s="599"/>
      <c r="S953" s="599"/>
      <c r="T953" s="599"/>
      <c r="U953" s="599"/>
      <c r="V953" s="599"/>
      <c r="W953" s="599"/>
      <c r="X953" s="599"/>
      <c r="Y953" s="599"/>
      <c r="Z953" s="599"/>
    </row>
    <row r="954" spans="1:26" ht="15.75" customHeight="1">
      <c r="A954" s="599"/>
      <c r="B954" s="599"/>
      <c r="C954" s="599"/>
      <c r="D954" s="599"/>
      <c r="E954" s="599"/>
      <c r="F954" s="599"/>
      <c r="G954" s="599"/>
      <c r="H954" s="599"/>
      <c r="I954" s="599"/>
      <c r="J954" s="599"/>
      <c r="K954" s="599"/>
      <c r="L954" s="599"/>
      <c r="M954" s="599"/>
      <c r="N954" s="599"/>
      <c r="O954" s="599"/>
      <c r="P954" s="599"/>
      <c r="Q954" s="599"/>
      <c r="R954" s="599"/>
      <c r="S954" s="599"/>
      <c r="T954" s="599"/>
      <c r="U954" s="599"/>
      <c r="V954" s="599"/>
      <c r="W954" s="599"/>
      <c r="X954" s="599"/>
      <c r="Y954" s="599"/>
      <c r="Z954" s="599"/>
    </row>
    <row r="955" spans="1:26" ht="15.75" customHeight="1">
      <c r="A955" s="599"/>
      <c r="B955" s="599"/>
      <c r="C955" s="599"/>
      <c r="D955" s="599"/>
      <c r="E955" s="599"/>
      <c r="F955" s="599"/>
      <c r="G955" s="599"/>
      <c r="H955" s="599"/>
      <c r="I955" s="599"/>
      <c r="J955" s="599"/>
      <c r="K955" s="599"/>
      <c r="L955" s="599"/>
      <c r="M955" s="599"/>
      <c r="N955" s="599"/>
      <c r="O955" s="599"/>
      <c r="P955" s="599"/>
      <c r="Q955" s="599"/>
      <c r="R955" s="599"/>
      <c r="S955" s="599"/>
      <c r="T955" s="599"/>
      <c r="U955" s="599"/>
      <c r="V955" s="599"/>
      <c r="W955" s="599"/>
      <c r="X955" s="599"/>
      <c r="Y955" s="599"/>
      <c r="Z955" s="599"/>
    </row>
    <row r="956" spans="1:26" ht="15.75" customHeight="1">
      <c r="A956" s="599"/>
      <c r="B956" s="599"/>
      <c r="C956" s="599"/>
      <c r="D956" s="599"/>
      <c r="E956" s="599"/>
      <c r="F956" s="599"/>
      <c r="G956" s="599"/>
      <c r="H956" s="599"/>
      <c r="I956" s="599"/>
      <c r="J956" s="599"/>
      <c r="K956" s="599"/>
      <c r="L956" s="599"/>
      <c r="M956" s="599"/>
      <c r="N956" s="599"/>
      <c r="O956" s="599"/>
      <c r="P956" s="599"/>
      <c r="Q956" s="599"/>
      <c r="R956" s="599"/>
      <c r="S956" s="599"/>
      <c r="T956" s="599"/>
      <c r="U956" s="599"/>
      <c r="V956" s="599"/>
      <c r="W956" s="599"/>
      <c r="X956" s="599"/>
      <c r="Y956" s="599"/>
      <c r="Z956" s="599"/>
    </row>
    <row r="957" spans="1:26" ht="15.75" customHeight="1">
      <c r="A957" s="599"/>
      <c r="B957" s="599"/>
      <c r="C957" s="599"/>
      <c r="D957" s="599"/>
      <c r="E957" s="599"/>
      <c r="F957" s="599"/>
      <c r="G957" s="599"/>
      <c r="H957" s="599"/>
      <c r="I957" s="599"/>
      <c r="J957" s="599"/>
      <c r="K957" s="599"/>
      <c r="L957" s="599"/>
      <c r="M957" s="599"/>
      <c r="N957" s="599"/>
      <c r="O957" s="599"/>
      <c r="P957" s="599"/>
      <c r="Q957" s="599"/>
      <c r="R957" s="599"/>
      <c r="S957" s="599"/>
      <c r="T957" s="599"/>
      <c r="U957" s="599"/>
      <c r="V957" s="599"/>
      <c r="W957" s="599"/>
      <c r="X957" s="599"/>
      <c r="Y957" s="599"/>
      <c r="Z957" s="599"/>
    </row>
    <row r="958" spans="1:26" ht="15.75" customHeight="1">
      <c r="A958" s="599"/>
      <c r="B958" s="599"/>
      <c r="C958" s="599"/>
      <c r="D958" s="599"/>
      <c r="E958" s="599"/>
      <c r="F958" s="599"/>
      <c r="G958" s="599"/>
      <c r="H958" s="599"/>
      <c r="I958" s="599"/>
      <c r="J958" s="599"/>
      <c r="K958" s="599"/>
      <c r="L958" s="599"/>
      <c r="M958" s="599"/>
      <c r="N958" s="599"/>
      <c r="O958" s="599"/>
      <c r="P958" s="599"/>
      <c r="Q958" s="599"/>
      <c r="R958" s="599"/>
      <c r="S958" s="599"/>
      <c r="T958" s="599"/>
      <c r="U958" s="599"/>
      <c r="V958" s="599"/>
      <c r="W958" s="599"/>
      <c r="X958" s="599"/>
      <c r="Y958" s="599"/>
      <c r="Z958" s="599"/>
    </row>
    <row r="959" spans="1:26" ht="15.75" customHeight="1">
      <c r="A959" s="599"/>
      <c r="B959" s="599"/>
      <c r="C959" s="599"/>
      <c r="D959" s="599"/>
      <c r="E959" s="599"/>
      <c r="F959" s="599"/>
      <c r="G959" s="599"/>
      <c r="H959" s="599"/>
      <c r="I959" s="599"/>
      <c r="J959" s="599"/>
      <c r="K959" s="599"/>
      <c r="L959" s="599"/>
      <c r="M959" s="599"/>
      <c r="N959" s="599"/>
      <c r="O959" s="599"/>
      <c r="P959" s="599"/>
      <c r="Q959" s="599"/>
      <c r="R959" s="599"/>
      <c r="S959" s="599"/>
      <c r="T959" s="599"/>
      <c r="U959" s="599"/>
      <c r="V959" s="599"/>
      <c r="W959" s="599"/>
      <c r="X959" s="599"/>
      <c r="Y959" s="599"/>
      <c r="Z959" s="599"/>
    </row>
    <row r="960" spans="1:26" ht="15.75" customHeight="1">
      <c r="A960" s="599"/>
      <c r="B960" s="599"/>
      <c r="C960" s="599"/>
      <c r="D960" s="599"/>
      <c r="E960" s="599"/>
      <c r="F960" s="599"/>
      <c r="G960" s="599"/>
      <c r="H960" s="599"/>
      <c r="I960" s="599"/>
      <c r="J960" s="599"/>
      <c r="K960" s="599"/>
      <c r="L960" s="599"/>
      <c r="M960" s="599"/>
      <c r="N960" s="599"/>
      <c r="O960" s="599"/>
      <c r="P960" s="599"/>
      <c r="Q960" s="599"/>
      <c r="R960" s="599"/>
      <c r="S960" s="599"/>
      <c r="T960" s="599"/>
      <c r="U960" s="599"/>
      <c r="V960" s="599"/>
      <c r="W960" s="599"/>
      <c r="X960" s="599"/>
      <c r="Y960" s="599"/>
      <c r="Z960" s="599"/>
    </row>
    <row r="961" spans="1:26" ht="15.75" customHeight="1">
      <c r="A961" s="599"/>
      <c r="B961" s="599"/>
      <c r="C961" s="599"/>
      <c r="D961" s="599"/>
      <c r="E961" s="599"/>
      <c r="F961" s="599"/>
      <c r="G961" s="599"/>
      <c r="H961" s="599"/>
      <c r="I961" s="599"/>
      <c r="J961" s="599"/>
      <c r="K961" s="599"/>
      <c r="L961" s="599"/>
      <c r="M961" s="599"/>
      <c r="N961" s="599"/>
      <c r="O961" s="599"/>
      <c r="P961" s="599"/>
      <c r="Q961" s="599"/>
      <c r="R961" s="599"/>
      <c r="S961" s="599"/>
      <c r="T961" s="599"/>
      <c r="U961" s="599"/>
      <c r="V961" s="599"/>
      <c r="W961" s="599"/>
      <c r="X961" s="599"/>
      <c r="Y961" s="599"/>
      <c r="Z961" s="599"/>
    </row>
    <row r="962" spans="1:26" ht="15.75" customHeight="1">
      <c r="A962" s="599"/>
      <c r="B962" s="599"/>
      <c r="C962" s="599"/>
      <c r="D962" s="599"/>
      <c r="E962" s="599"/>
      <c r="F962" s="599"/>
      <c r="G962" s="599"/>
      <c r="H962" s="599"/>
      <c r="I962" s="599"/>
      <c r="J962" s="599"/>
      <c r="K962" s="599"/>
      <c r="L962" s="599"/>
      <c r="M962" s="599"/>
      <c r="N962" s="599"/>
      <c r="O962" s="599"/>
      <c r="P962" s="599"/>
      <c r="Q962" s="599"/>
      <c r="R962" s="599"/>
      <c r="S962" s="599"/>
      <c r="T962" s="599"/>
      <c r="U962" s="599"/>
      <c r="V962" s="599"/>
      <c r="W962" s="599"/>
      <c r="X962" s="599"/>
      <c r="Y962" s="599"/>
      <c r="Z962" s="599"/>
    </row>
    <row r="963" spans="1:26" ht="15.75" customHeight="1">
      <c r="A963" s="599"/>
      <c r="B963" s="599"/>
      <c r="C963" s="599"/>
      <c r="D963" s="599"/>
      <c r="E963" s="599"/>
      <c r="F963" s="599"/>
      <c r="G963" s="599"/>
      <c r="H963" s="599"/>
      <c r="I963" s="599"/>
      <c r="J963" s="599"/>
      <c r="K963" s="599"/>
      <c r="L963" s="599"/>
      <c r="M963" s="599"/>
      <c r="N963" s="599"/>
      <c r="O963" s="599"/>
      <c r="P963" s="599"/>
      <c r="Q963" s="599"/>
      <c r="R963" s="599"/>
      <c r="S963" s="599"/>
      <c r="T963" s="599"/>
      <c r="U963" s="599"/>
      <c r="V963" s="599"/>
      <c r="W963" s="599"/>
      <c r="X963" s="599"/>
      <c r="Y963" s="599"/>
      <c r="Z963" s="599"/>
    </row>
    <row r="964" spans="1:26" ht="15.75" customHeight="1">
      <c r="A964" s="599"/>
      <c r="B964" s="599"/>
      <c r="C964" s="599"/>
      <c r="D964" s="599"/>
      <c r="E964" s="599"/>
      <c r="F964" s="599"/>
      <c r="G964" s="599"/>
      <c r="H964" s="599"/>
      <c r="I964" s="599"/>
      <c r="J964" s="599"/>
      <c r="K964" s="599"/>
      <c r="L964" s="599"/>
      <c r="M964" s="599"/>
      <c r="N964" s="599"/>
      <c r="O964" s="599"/>
      <c r="P964" s="599"/>
      <c r="Q964" s="599"/>
      <c r="R964" s="599"/>
      <c r="S964" s="599"/>
      <c r="T964" s="599"/>
      <c r="U964" s="599"/>
      <c r="V964" s="599"/>
      <c r="W964" s="599"/>
      <c r="X964" s="599"/>
      <c r="Y964" s="599"/>
      <c r="Z964" s="599"/>
    </row>
    <row r="965" spans="1:26" ht="15.75" customHeight="1">
      <c r="A965" s="599"/>
      <c r="B965" s="599"/>
      <c r="C965" s="599"/>
      <c r="D965" s="599"/>
      <c r="E965" s="599"/>
      <c r="F965" s="599"/>
      <c r="G965" s="599"/>
      <c r="H965" s="599"/>
      <c r="I965" s="599"/>
      <c r="J965" s="599"/>
      <c r="K965" s="599"/>
      <c r="L965" s="599"/>
      <c r="M965" s="599"/>
      <c r="N965" s="599"/>
      <c r="O965" s="599"/>
      <c r="P965" s="599"/>
      <c r="Q965" s="599"/>
      <c r="R965" s="599"/>
      <c r="S965" s="599"/>
      <c r="T965" s="599"/>
      <c r="U965" s="599"/>
      <c r="V965" s="599"/>
      <c r="W965" s="599"/>
      <c r="X965" s="599"/>
      <c r="Y965" s="599"/>
      <c r="Z965" s="599"/>
    </row>
    <row r="966" spans="1:26" ht="15.75" customHeight="1">
      <c r="A966" s="599"/>
      <c r="B966" s="599"/>
      <c r="C966" s="599"/>
      <c r="D966" s="599"/>
      <c r="E966" s="599"/>
      <c r="F966" s="599"/>
      <c r="G966" s="599"/>
      <c r="H966" s="599"/>
      <c r="I966" s="599"/>
      <c r="J966" s="599"/>
      <c r="K966" s="599"/>
      <c r="L966" s="599"/>
      <c r="M966" s="599"/>
      <c r="N966" s="599"/>
      <c r="O966" s="599"/>
      <c r="P966" s="599"/>
      <c r="Q966" s="599"/>
      <c r="R966" s="599"/>
      <c r="S966" s="599"/>
      <c r="T966" s="599"/>
      <c r="U966" s="599"/>
      <c r="V966" s="599"/>
      <c r="W966" s="599"/>
      <c r="X966" s="599"/>
      <c r="Y966" s="599"/>
      <c r="Z966" s="599"/>
    </row>
    <row r="967" spans="1:26" ht="15.75" customHeight="1">
      <c r="A967" s="599"/>
      <c r="B967" s="599"/>
      <c r="C967" s="599"/>
      <c r="D967" s="599"/>
      <c r="E967" s="599"/>
      <c r="F967" s="599"/>
      <c r="G967" s="599"/>
      <c r="H967" s="599"/>
      <c r="I967" s="599"/>
      <c r="J967" s="599"/>
      <c r="K967" s="599"/>
      <c r="L967" s="599"/>
      <c r="M967" s="599"/>
      <c r="N967" s="599"/>
      <c r="O967" s="599"/>
      <c r="P967" s="599"/>
      <c r="Q967" s="599"/>
      <c r="R967" s="599"/>
      <c r="S967" s="599"/>
      <c r="T967" s="599"/>
      <c r="U967" s="599"/>
      <c r="V967" s="599"/>
      <c r="W967" s="599"/>
      <c r="X967" s="599"/>
      <c r="Y967" s="599"/>
      <c r="Z967" s="599"/>
    </row>
    <row r="968" spans="1:26" ht="15.75" customHeight="1">
      <c r="A968" s="599"/>
      <c r="B968" s="599"/>
      <c r="C968" s="599"/>
      <c r="D968" s="599"/>
      <c r="E968" s="599"/>
      <c r="F968" s="599"/>
      <c r="G968" s="599"/>
      <c r="H968" s="599"/>
      <c r="I968" s="599"/>
      <c r="J968" s="599"/>
      <c r="K968" s="599"/>
      <c r="L968" s="599"/>
      <c r="M968" s="599"/>
      <c r="N968" s="599"/>
      <c r="O968" s="599"/>
      <c r="P968" s="599"/>
      <c r="Q968" s="599"/>
      <c r="R968" s="599"/>
      <c r="S968" s="599"/>
      <c r="T968" s="599"/>
      <c r="U968" s="599"/>
      <c r="V968" s="599"/>
      <c r="W968" s="599"/>
      <c r="X968" s="599"/>
      <c r="Y968" s="599"/>
      <c r="Z968" s="599"/>
    </row>
    <row r="969" spans="1:26" ht="15.75" customHeight="1">
      <c r="A969" s="599"/>
      <c r="B969" s="599"/>
      <c r="C969" s="599"/>
      <c r="D969" s="599"/>
      <c r="E969" s="599"/>
      <c r="F969" s="599"/>
      <c r="G969" s="599"/>
      <c r="H969" s="599"/>
      <c r="I969" s="599"/>
      <c r="J969" s="599"/>
      <c r="K969" s="599"/>
      <c r="L969" s="599"/>
      <c r="M969" s="599"/>
      <c r="N969" s="599"/>
      <c r="O969" s="599"/>
      <c r="P969" s="599"/>
      <c r="Q969" s="599"/>
      <c r="R969" s="599"/>
      <c r="S969" s="599"/>
      <c r="T969" s="599"/>
      <c r="U969" s="599"/>
      <c r="V969" s="599"/>
      <c r="W969" s="599"/>
      <c r="X969" s="599"/>
      <c r="Y969" s="599"/>
      <c r="Z969" s="599"/>
    </row>
    <row r="970" spans="1:26" ht="15.75" customHeight="1">
      <c r="A970" s="599"/>
      <c r="B970" s="599"/>
      <c r="C970" s="599"/>
      <c r="D970" s="599"/>
      <c r="E970" s="599"/>
      <c r="F970" s="599"/>
      <c r="G970" s="599"/>
      <c r="H970" s="599"/>
      <c r="I970" s="599"/>
      <c r="J970" s="599"/>
      <c r="K970" s="599"/>
      <c r="L970" s="599"/>
      <c r="M970" s="599"/>
      <c r="N970" s="599"/>
      <c r="O970" s="599"/>
      <c r="P970" s="599"/>
      <c r="Q970" s="599"/>
      <c r="R970" s="599"/>
      <c r="S970" s="599"/>
      <c r="T970" s="599"/>
      <c r="U970" s="599"/>
      <c r="V970" s="599"/>
      <c r="W970" s="599"/>
      <c r="X970" s="599"/>
      <c r="Y970" s="599"/>
      <c r="Z970" s="599"/>
    </row>
    <row r="971" spans="1:26" ht="15.75" customHeight="1">
      <c r="A971" s="599"/>
      <c r="B971" s="599"/>
      <c r="C971" s="599"/>
      <c r="D971" s="599"/>
      <c r="E971" s="599"/>
      <c r="F971" s="599"/>
      <c r="G971" s="599"/>
      <c r="H971" s="599"/>
      <c r="I971" s="599"/>
      <c r="J971" s="599"/>
      <c r="K971" s="599"/>
      <c r="L971" s="599"/>
      <c r="M971" s="599"/>
      <c r="N971" s="599"/>
      <c r="O971" s="599"/>
      <c r="P971" s="599"/>
      <c r="Q971" s="599"/>
      <c r="R971" s="599"/>
      <c r="S971" s="599"/>
      <c r="T971" s="599"/>
      <c r="U971" s="599"/>
      <c r="V971" s="599"/>
      <c r="W971" s="599"/>
      <c r="X971" s="599"/>
      <c r="Y971" s="599"/>
      <c r="Z971" s="599"/>
    </row>
    <row r="972" spans="1:26" ht="15.75" customHeight="1">
      <c r="A972" s="599"/>
      <c r="B972" s="599"/>
      <c r="C972" s="599"/>
      <c r="D972" s="599"/>
      <c r="E972" s="599"/>
      <c r="F972" s="599"/>
      <c r="G972" s="599"/>
      <c r="H972" s="599"/>
      <c r="I972" s="599"/>
      <c r="J972" s="599"/>
      <c r="K972" s="599"/>
      <c r="L972" s="599"/>
      <c r="M972" s="599"/>
      <c r="N972" s="599"/>
      <c r="O972" s="599"/>
      <c r="P972" s="599"/>
      <c r="Q972" s="599"/>
      <c r="R972" s="599"/>
      <c r="S972" s="599"/>
      <c r="T972" s="599"/>
      <c r="U972" s="599"/>
      <c r="V972" s="599"/>
      <c r="W972" s="599"/>
      <c r="X972" s="599"/>
      <c r="Y972" s="599"/>
      <c r="Z972" s="599"/>
    </row>
    <row r="973" spans="1:26" ht="15.75" customHeight="1">
      <c r="A973" s="599"/>
      <c r="B973" s="599"/>
      <c r="C973" s="599"/>
      <c r="D973" s="599"/>
      <c r="E973" s="599"/>
      <c r="F973" s="599"/>
      <c r="G973" s="599"/>
      <c r="H973" s="599"/>
      <c r="I973" s="599"/>
      <c r="J973" s="599"/>
      <c r="K973" s="599"/>
      <c r="L973" s="599"/>
      <c r="M973" s="599"/>
      <c r="N973" s="599"/>
      <c r="O973" s="599"/>
      <c r="P973" s="599"/>
      <c r="Q973" s="599"/>
      <c r="R973" s="599"/>
      <c r="S973" s="599"/>
      <c r="T973" s="599"/>
      <c r="U973" s="599"/>
      <c r="V973" s="599"/>
      <c r="W973" s="599"/>
      <c r="X973" s="599"/>
      <c r="Y973" s="599"/>
      <c r="Z973" s="599"/>
    </row>
    <row r="974" spans="1:26" ht="15.75" customHeight="1">
      <c r="A974" s="599"/>
      <c r="B974" s="599"/>
      <c r="C974" s="599"/>
      <c r="D974" s="599"/>
      <c r="E974" s="599"/>
      <c r="F974" s="599"/>
      <c r="G974" s="599"/>
      <c r="H974" s="599"/>
      <c r="I974" s="599"/>
      <c r="J974" s="599"/>
      <c r="K974" s="599"/>
      <c r="L974" s="599"/>
      <c r="M974" s="599"/>
      <c r="N974" s="599"/>
      <c r="O974" s="599"/>
      <c r="P974" s="599"/>
      <c r="Q974" s="599"/>
      <c r="R974" s="599"/>
      <c r="S974" s="599"/>
      <c r="T974" s="599"/>
      <c r="U974" s="599"/>
      <c r="V974" s="599"/>
      <c r="W974" s="599"/>
      <c r="X974" s="599"/>
      <c r="Y974" s="599"/>
      <c r="Z974" s="599"/>
    </row>
    <row r="975" spans="1:26" ht="15.75" customHeight="1">
      <c r="A975" s="599"/>
      <c r="B975" s="599"/>
      <c r="C975" s="599"/>
      <c r="D975" s="599"/>
      <c r="E975" s="599"/>
      <c r="F975" s="599"/>
      <c r="G975" s="599"/>
      <c r="H975" s="599"/>
      <c r="I975" s="599"/>
      <c r="J975" s="599"/>
      <c r="K975" s="599"/>
      <c r="L975" s="599"/>
      <c r="M975" s="599"/>
      <c r="N975" s="599"/>
      <c r="O975" s="599"/>
      <c r="P975" s="599"/>
      <c r="Q975" s="599"/>
      <c r="R975" s="599"/>
      <c r="S975" s="599"/>
      <c r="T975" s="599"/>
      <c r="U975" s="599"/>
      <c r="V975" s="599"/>
      <c r="W975" s="599"/>
      <c r="X975" s="599"/>
      <c r="Y975" s="599"/>
      <c r="Z975" s="599"/>
    </row>
    <row r="976" spans="1:26" ht="15.75" customHeight="1">
      <c r="A976" s="599"/>
      <c r="B976" s="599"/>
      <c r="C976" s="599"/>
      <c r="D976" s="599"/>
      <c r="E976" s="599"/>
      <c r="F976" s="599"/>
      <c r="G976" s="599"/>
      <c r="H976" s="599"/>
      <c r="I976" s="599"/>
      <c r="J976" s="599"/>
      <c r="K976" s="599"/>
      <c r="L976" s="599"/>
      <c r="M976" s="599"/>
      <c r="N976" s="599"/>
      <c r="O976" s="599"/>
      <c r="P976" s="599"/>
      <c r="Q976" s="599"/>
      <c r="R976" s="599"/>
      <c r="S976" s="599"/>
      <c r="T976" s="599"/>
      <c r="U976" s="599"/>
      <c r="V976" s="599"/>
      <c r="W976" s="599"/>
      <c r="X976" s="599"/>
      <c r="Y976" s="599"/>
      <c r="Z976" s="599"/>
    </row>
    <row r="977" spans="1:26" ht="15.75" customHeight="1">
      <c r="A977" s="599"/>
      <c r="B977" s="599"/>
      <c r="C977" s="599"/>
      <c r="D977" s="599"/>
      <c r="E977" s="599"/>
      <c r="F977" s="599"/>
      <c r="G977" s="599"/>
      <c r="H977" s="599"/>
      <c r="I977" s="599"/>
      <c r="J977" s="599"/>
      <c r="K977" s="599"/>
      <c r="L977" s="599"/>
      <c r="M977" s="599"/>
      <c r="N977" s="599"/>
      <c r="O977" s="599"/>
      <c r="P977" s="599"/>
      <c r="Q977" s="599"/>
      <c r="R977" s="599"/>
      <c r="S977" s="599"/>
      <c r="T977" s="599"/>
      <c r="U977" s="599"/>
      <c r="V977" s="599"/>
      <c r="W977" s="599"/>
      <c r="X977" s="599"/>
      <c r="Y977" s="599"/>
      <c r="Z977" s="599"/>
    </row>
    <row r="978" spans="1:26" ht="15.75" customHeight="1">
      <c r="A978" s="599"/>
      <c r="B978" s="599"/>
      <c r="C978" s="599"/>
      <c r="D978" s="599"/>
      <c r="E978" s="599"/>
      <c r="F978" s="599"/>
      <c r="G978" s="599"/>
      <c r="H978" s="599"/>
      <c r="I978" s="599"/>
      <c r="J978" s="599"/>
      <c r="K978" s="599"/>
      <c r="L978" s="599"/>
      <c r="M978" s="599"/>
      <c r="N978" s="599"/>
      <c r="O978" s="599"/>
      <c r="P978" s="599"/>
      <c r="Q978" s="599"/>
      <c r="R978" s="599"/>
      <c r="S978" s="599"/>
      <c r="T978" s="599"/>
      <c r="U978" s="599"/>
      <c r="V978" s="599"/>
      <c r="W978" s="599"/>
      <c r="X978" s="599"/>
      <c r="Y978" s="599"/>
      <c r="Z978" s="599"/>
    </row>
    <row r="979" spans="1:26" ht="15.75" customHeight="1">
      <c r="A979" s="599"/>
      <c r="B979" s="599"/>
      <c r="C979" s="599"/>
      <c r="D979" s="599"/>
      <c r="E979" s="599"/>
      <c r="F979" s="599"/>
      <c r="G979" s="599"/>
      <c r="H979" s="599"/>
      <c r="I979" s="599"/>
      <c r="J979" s="599"/>
      <c r="K979" s="599"/>
      <c r="L979" s="599"/>
      <c r="M979" s="599"/>
      <c r="N979" s="599"/>
      <c r="O979" s="599"/>
      <c r="P979" s="599"/>
      <c r="Q979" s="599"/>
      <c r="R979" s="599"/>
      <c r="S979" s="599"/>
      <c r="T979" s="599"/>
      <c r="U979" s="599"/>
      <c r="V979" s="599"/>
      <c r="W979" s="599"/>
      <c r="X979" s="599"/>
      <c r="Y979" s="599"/>
      <c r="Z979" s="599"/>
    </row>
    <row r="980" spans="1:26" ht="15.75" customHeight="1">
      <c r="A980" s="599"/>
      <c r="B980" s="599"/>
      <c r="C980" s="599"/>
      <c r="D980" s="599"/>
      <c r="E980" s="599"/>
      <c r="F980" s="599"/>
      <c r="G980" s="599"/>
      <c r="H980" s="599"/>
      <c r="I980" s="599"/>
      <c r="J980" s="599"/>
      <c r="K980" s="599"/>
      <c r="L980" s="599"/>
      <c r="M980" s="599"/>
      <c r="N980" s="599"/>
      <c r="O980" s="599"/>
      <c r="P980" s="599"/>
      <c r="Q980" s="599"/>
      <c r="R980" s="599"/>
      <c r="S980" s="599"/>
      <c r="T980" s="599"/>
      <c r="U980" s="599"/>
      <c r="V980" s="599"/>
      <c r="W980" s="599"/>
      <c r="X980" s="599"/>
      <c r="Y980" s="599"/>
      <c r="Z980" s="599"/>
    </row>
    <row r="981" spans="1:26" ht="15.75" customHeight="1">
      <c r="A981" s="599"/>
      <c r="B981" s="599"/>
      <c r="C981" s="599"/>
      <c r="D981" s="599"/>
      <c r="E981" s="599"/>
      <c r="F981" s="599"/>
      <c r="G981" s="599"/>
      <c r="H981" s="599"/>
      <c r="I981" s="599"/>
      <c r="J981" s="599"/>
      <c r="K981" s="599"/>
      <c r="L981" s="599"/>
      <c r="M981" s="599"/>
      <c r="N981" s="599"/>
      <c r="O981" s="599"/>
      <c r="P981" s="599"/>
      <c r="Q981" s="599"/>
      <c r="R981" s="599"/>
      <c r="S981" s="599"/>
      <c r="T981" s="599"/>
      <c r="U981" s="599"/>
      <c r="V981" s="599"/>
      <c r="W981" s="599"/>
      <c r="X981" s="599"/>
      <c r="Y981" s="599"/>
      <c r="Z981" s="599"/>
    </row>
    <row r="982" spans="1:26" ht="15.75" customHeight="1">
      <c r="A982" s="599"/>
      <c r="B982" s="599"/>
      <c r="C982" s="599"/>
      <c r="D982" s="599"/>
      <c r="E982" s="599"/>
      <c r="F982" s="599"/>
      <c r="G982" s="599"/>
      <c r="H982" s="599"/>
      <c r="I982" s="599"/>
      <c r="J982" s="599"/>
      <c r="K982" s="599"/>
      <c r="L982" s="599"/>
      <c r="M982" s="599"/>
      <c r="N982" s="599"/>
      <c r="O982" s="599"/>
      <c r="P982" s="599"/>
      <c r="Q982" s="599"/>
      <c r="R982" s="599"/>
      <c r="S982" s="599"/>
      <c r="T982" s="599"/>
      <c r="U982" s="599"/>
      <c r="V982" s="599"/>
      <c r="W982" s="599"/>
      <c r="X982" s="599"/>
      <c r="Y982" s="599"/>
      <c r="Z982" s="599"/>
    </row>
    <row r="983" spans="1:26" ht="15.75" customHeight="1">
      <c r="A983" s="599"/>
      <c r="B983" s="599"/>
      <c r="C983" s="599"/>
      <c r="D983" s="599"/>
      <c r="E983" s="599"/>
      <c r="F983" s="599"/>
      <c r="G983" s="599"/>
      <c r="H983" s="599"/>
      <c r="I983" s="599"/>
      <c r="J983" s="599"/>
      <c r="K983" s="599"/>
      <c r="L983" s="599"/>
      <c r="M983" s="599"/>
      <c r="N983" s="599"/>
      <c r="O983" s="599"/>
      <c r="P983" s="599"/>
      <c r="Q983" s="599"/>
      <c r="R983" s="599"/>
      <c r="S983" s="599"/>
      <c r="T983" s="599"/>
      <c r="U983" s="599"/>
      <c r="V983" s="599"/>
      <c r="W983" s="599"/>
      <c r="X983" s="599"/>
      <c r="Y983" s="599"/>
      <c r="Z983" s="599"/>
    </row>
    <row r="984" spans="1:26" ht="15.75" customHeight="1">
      <c r="A984" s="599"/>
      <c r="B984" s="599"/>
      <c r="C984" s="599"/>
      <c r="D984" s="599"/>
      <c r="E984" s="599"/>
      <c r="F984" s="599"/>
      <c r="G984" s="599"/>
      <c r="H984" s="599"/>
      <c r="I984" s="599"/>
      <c r="J984" s="599"/>
      <c r="K984" s="599"/>
      <c r="L984" s="599"/>
      <c r="M984" s="599"/>
      <c r="N984" s="599"/>
      <c r="O984" s="599"/>
      <c r="P984" s="599"/>
      <c r="Q984" s="599"/>
      <c r="R984" s="599"/>
      <c r="S984" s="599"/>
      <c r="T984" s="599"/>
      <c r="U984" s="599"/>
      <c r="V984" s="599"/>
      <c r="W984" s="599"/>
      <c r="X984" s="599"/>
      <c r="Y984" s="599"/>
      <c r="Z984" s="599"/>
    </row>
    <row r="985" spans="1:26" ht="15.75" customHeight="1">
      <c r="A985" s="599"/>
      <c r="B985" s="599"/>
      <c r="C985" s="599"/>
      <c r="D985" s="599"/>
      <c r="E985" s="599"/>
      <c r="F985" s="599"/>
      <c r="G985" s="599"/>
      <c r="H985" s="599"/>
      <c r="I985" s="599"/>
      <c r="J985" s="599"/>
      <c r="K985" s="599"/>
      <c r="L985" s="599"/>
      <c r="M985" s="599"/>
      <c r="N985" s="599"/>
      <c r="O985" s="599"/>
      <c r="P985" s="599"/>
      <c r="Q985" s="599"/>
      <c r="R985" s="599"/>
      <c r="S985" s="599"/>
      <c r="T985" s="599"/>
      <c r="U985" s="599"/>
      <c r="V985" s="599"/>
      <c r="W985" s="599"/>
      <c r="X985" s="599"/>
      <c r="Y985" s="599"/>
      <c r="Z985" s="599"/>
    </row>
    <row r="986" spans="1:26" ht="15.75" customHeight="1">
      <c r="A986" s="599"/>
      <c r="B986" s="599"/>
      <c r="C986" s="599"/>
      <c r="D986" s="599"/>
      <c r="E986" s="599"/>
      <c r="F986" s="599"/>
      <c r="G986" s="599"/>
      <c r="H986" s="599"/>
      <c r="I986" s="599"/>
      <c r="J986" s="599"/>
      <c r="K986" s="599"/>
      <c r="L986" s="599"/>
      <c r="M986" s="599"/>
      <c r="N986" s="599"/>
      <c r="O986" s="599"/>
      <c r="P986" s="599"/>
      <c r="Q986" s="599"/>
      <c r="R986" s="599"/>
      <c r="S986" s="599"/>
      <c r="T986" s="599"/>
      <c r="U986" s="599"/>
      <c r="V986" s="599"/>
      <c r="W986" s="599"/>
      <c r="X986" s="599"/>
      <c r="Y986" s="599"/>
      <c r="Z986" s="599"/>
    </row>
    <row r="987" spans="1:26" ht="15.75" customHeight="1">
      <c r="A987" s="599"/>
      <c r="B987" s="599"/>
      <c r="C987" s="599"/>
      <c r="D987" s="599"/>
      <c r="E987" s="599"/>
      <c r="F987" s="599"/>
      <c r="G987" s="599"/>
      <c r="H987" s="599"/>
      <c r="I987" s="599"/>
      <c r="J987" s="599"/>
      <c r="K987" s="599"/>
      <c r="L987" s="599"/>
      <c r="M987" s="599"/>
      <c r="N987" s="599"/>
      <c r="O987" s="599"/>
      <c r="P987" s="599"/>
      <c r="Q987" s="599"/>
      <c r="R987" s="599"/>
      <c r="S987" s="599"/>
      <c r="T987" s="599"/>
      <c r="U987" s="599"/>
      <c r="V987" s="599"/>
      <c r="W987" s="599"/>
      <c r="X987" s="599"/>
      <c r="Y987" s="599"/>
      <c r="Z987" s="599"/>
    </row>
    <row r="988" spans="1:26" ht="15.75" customHeight="1">
      <c r="A988" s="599"/>
      <c r="B988" s="599"/>
      <c r="C988" s="599"/>
      <c r="D988" s="599"/>
      <c r="E988" s="599"/>
      <c r="F988" s="599"/>
      <c r="G988" s="599"/>
      <c r="H988" s="599"/>
      <c r="I988" s="599"/>
      <c r="J988" s="599"/>
      <c r="K988" s="599"/>
      <c r="L988" s="599"/>
      <c r="M988" s="599"/>
      <c r="N988" s="599"/>
      <c r="O988" s="599"/>
      <c r="P988" s="599"/>
      <c r="Q988" s="599"/>
      <c r="R988" s="599"/>
      <c r="S988" s="599"/>
      <c r="T988" s="599"/>
      <c r="U988" s="599"/>
      <c r="V988" s="599"/>
      <c r="W988" s="599"/>
      <c r="X988" s="599"/>
      <c r="Y988" s="599"/>
      <c r="Z988" s="599"/>
    </row>
    <row r="989" spans="1:26" ht="15.75" customHeight="1">
      <c r="A989" s="599"/>
      <c r="B989" s="599"/>
      <c r="C989" s="599"/>
      <c r="D989" s="599"/>
      <c r="E989" s="599"/>
      <c r="F989" s="599"/>
      <c r="G989" s="599"/>
      <c r="H989" s="599"/>
      <c r="I989" s="599"/>
      <c r="J989" s="599"/>
      <c r="K989" s="599"/>
      <c r="L989" s="599"/>
      <c r="M989" s="599"/>
      <c r="N989" s="599"/>
      <c r="O989" s="599"/>
      <c r="P989" s="599"/>
      <c r="Q989" s="599"/>
      <c r="R989" s="599"/>
      <c r="S989" s="599"/>
      <c r="T989" s="599"/>
      <c r="U989" s="599"/>
      <c r="V989" s="599"/>
      <c r="W989" s="599"/>
      <c r="X989" s="599"/>
      <c r="Y989" s="599"/>
      <c r="Z989" s="599"/>
    </row>
    <row r="990" spans="1:26" ht="15.75" customHeight="1">
      <c r="A990" s="599"/>
      <c r="B990" s="599"/>
      <c r="C990" s="599"/>
      <c r="D990" s="599"/>
      <c r="E990" s="599"/>
      <c r="F990" s="599"/>
      <c r="G990" s="599"/>
      <c r="H990" s="599"/>
      <c r="I990" s="599"/>
      <c r="J990" s="599"/>
      <c r="K990" s="599"/>
      <c r="L990" s="599"/>
      <c r="M990" s="599"/>
      <c r="N990" s="599"/>
      <c r="O990" s="599"/>
      <c r="P990" s="599"/>
      <c r="Q990" s="599"/>
      <c r="R990" s="599"/>
      <c r="S990" s="599"/>
      <c r="T990" s="599"/>
      <c r="U990" s="599"/>
      <c r="V990" s="599"/>
      <c r="W990" s="599"/>
      <c r="X990" s="599"/>
      <c r="Y990" s="599"/>
      <c r="Z990" s="599"/>
    </row>
    <row r="991" spans="1:26" ht="15.75" customHeight="1">
      <c r="A991" s="599"/>
      <c r="B991" s="599"/>
      <c r="C991" s="599"/>
      <c r="D991" s="599"/>
      <c r="E991" s="599"/>
      <c r="F991" s="599"/>
      <c r="G991" s="599"/>
      <c r="H991" s="599"/>
      <c r="I991" s="599"/>
      <c r="J991" s="599"/>
      <c r="K991" s="599"/>
      <c r="L991" s="599"/>
      <c r="M991" s="599"/>
      <c r="N991" s="599"/>
      <c r="O991" s="599"/>
      <c r="P991" s="599"/>
      <c r="Q991" s="599"/>
      <c r="R991" s="599"/>
      <c r="S991" s="599"/>
      <c r="T991" s="599"/>
      <c r="U991" s="599"/>
      <c r="V991" s="599"/>
      <c r="W991" s="599"/>
      <c r="X991" s="599"/>
      <c r="Y991" s="599"/>
      <c r="Z991" s="599"/>
    </row>
    <row r="992" spans="1:26" ht="15.75" customHeight="1">
      <c r="A992" s="599"/>
      <c r="B992" s="599"/>
      <c r="C992" s="599"/>
      <c r="D992" s="599"/>
      <c r="E992" s="599"/>
      <c r="F992" s="599"/>
      <c r="G992" s="599"/>
      <c r="H992" s="599"/>
      <c r="I992" s="599"/>
      <c r="J992" s="599"/>
      <c r="K992" s="599"/>
      <c r="L992" s="599"/>
      <c r="M992" s="599"/>
      <c r="N992" s="599"/>
      <c r="O992" s="599"/>
      <c r="P992" s="599"/>
      <c r="Q992" s="599"/>
      <c r="R992" s="599"/>
      <c r="S992" s="599"/>
      <c r="T992" s="599"/>
      <c r="U992" s="599"/>
      <c r="V992" s="599"/>
      <c r="W992" s="599"/>
      <c r="X992" s="599"/>
      <c r="Y992" s="599"/>
      <c r="Z992" s="599"/>
    </row>
    <row r="993" spans="1:26" ht="15.75" customHeight="1">
      <c r="A993" s="599"/>
      <c r="B993" s="599"/>
      <c r="C993" s="599"/>
      <c r="D993" s="599"/>
      <c r="E993" s="599"/>
      <c r="F993" s="599"/>
      <c r="G993" s="599"/>
      <c r="H993" s="599"/>
      <c r="I993" s="599"/>
      <c r="J993" s="599"/>
      <c r="K993" s="599"/>
      <c r="L993" s="599"/>
      <c r="M993" s="599"/>
      <c r="N993" s="599"/>
      <c r="O993" s="599"/>
      <c r="P993" s="599"/>
      <c r="Q993" s="599"/>
      <c r="R993" s="599"/>
      <c r="S993" s="599"/>
      <c r="T993" s="599"/>
      <c r="U993" s="599"/>
      <c r="V993" s="599"/>
      <c r="W993" s="599"/>
      <c r="X993" s="599"/>
      <c r="Y993" s="599"/>
      <c r="Z993" s="599"/>
    </row>
    <row r="994" spans="1:26" ht="15.75" customHeight="1">
      <c r="A994" s="599"/>
      <c r="B994" s="599"/>
      <c r="C994" s="599"/>
      <c r="D994" s="599"/>
      <c r="E994" s="599"/>
      <c r="F994" s="599"/>
      <c r="G994" s="599"/>
      <c r="H994" s="599"/>
      <c r="I994" s="599"/>
      <c r="J994" s="599"/>
      <c r="K994" s="599"/>
      <c r="L994" s="599"/>
      <c r="M994" s="599"/>
      <c r="N994" s="599"/>
      <c r="O994" s="599"/>
      <c r="P994" s="599"/>
      <c r="Q994" s="599"/>
      <c r="R994" s="599"/>
      <c r="S994" s="599"/>
      <c r="T994" s="599"/>
      <c r="U994" s="599"/>
      <c r="V994" s="599"/>
      <c r="W994" s="599"/>
      <c r="X994" s="599"/>
      <c r="Y994" s="599"/>
      <c r="Z994" s="599"/>
    </row>
    <row r="995" spans="1:26" ht="15.75" customHeight="1">
      <c r="A995" s="599"/>
      <c r="B995" s="599"/>
      <c r="C995" s="599"/>
      <c r="D995" s="599"/>
      <c r="E995" s="599"/>
      <c r="F995" s="599"/>
      <c r="G995" s="599"/>
      <c r="H995" s="599"/>
      <c r="I995" s="599"/>
      <c r="J995" s="599"/>
      <c r="K995" s="599"/>
      <c r="L995" s="599"/>
      <c r="M995" s="599"/>
      <c r="N995" s="599"/>
      <c r="O995" s="599"/>
      <c r="P995" s="599"/>
      <c r="Q995" s="599"/>
      <c r="R995" s="599"/>
      <c r="S995" s="599"/>
      <c r="T995" s="599"/>
      <c r="U995" s="599"/>
      <c r="V995" s="599"/>
      <c r="W995" s="599"/>
      <c r="X995" s="599"/>
      <c r="Y995" s="599"/>
      <c r="Z995" s="599"/>
    </row>
    <row r="996" spans="1:26" ht="15.75" customHeight="1">
      <c r="A996" s="599"/>
      <c r="B996" s="599"/>
      <c r="C996" s="599"/>
      <c r="D996" s="599"/>
      <c r="E996" s="599"/>
      <c r="F996" s="599"/>
      <c r="G996" s="599"/>
      <c r="H996" s="599"/>
      <c r="I996" s="599"/>
      <c r="J996" s="599"/>
      <c r="K996" s="599"/>
      <c r="L996" s="599"/>
      <c r="M996" s="599"/>
      <c r="N996" s="599"/>
      <c r="O996" s="599"/>
      <c r="P996" s="599"/>
      <c r="Q996" s="599"/>
      <c r="R996" s="599"/>
      <c r="S996" s="599"/>
      <c r="T996" s="599"/>
      <c r="U996" s="599"/>
      <c r="V996" s="599"/>
      <c r="W996" s="599"/>
      <c r="X996" s="599"/>
      <c r="Y996" s="599"/>
      <c r="Z996" s="599"/>
    </row>
    <row r="997" spans="1:26" ht="15.75" customHeight="1">
      <c r="A997" s="599"/>
      <c r="B997" s="599"/>
      <c r="C997" s="599"/>
      <c r="D997" s="599"/>
      <c r="E997" s="599"/>
      <c r="F997" s="599"/>
      <c r="G997" s="599"/>
      <c r="H997" s="599"/>
      <c r="I997" s="599"/>
      <c r="J997" s="599"/>
      <c r="K997" s="599"/>
      <c r="L997" s="599"/>
      <c r="M997" s="599"/>
      <c r="N997" s="599"/>
      <c r="O997" s="599"/>
      <c r="P997" s="599"/>
      <c r="Q997" s="599"/>
      <c r="R997" s="599"/>
      <c r="S997" s="599"/>
      <c r="T997" s="599"/>
      <c r="U997" s="599"/>
      <c r="V997" s="599"/>
      <c r="W997" s="599"/>
      <c r="X997" s="599"/>
      <c r="Y997" s="599"/>
      <c r="Z997" s="599"/>
    </row>
    <row r="998" spans="1:26" ht="15.75" customHeight="1">
      <c r="A998" s="599"/>
      <c r="B998" s="599"/>
      <c r="C998" s="599"/>
      <c r="D998" s="599"/>
      <c r="E998" s="599"/>
      <c r="F998" s="599"/>
      <c r="G998" s="599"/>
      <c r="H998" s="599"/>
      <c r="I998" s="599"/>
      <c r="J998" s="599"/>
      <c r="K998" s="599"/>
      <c r="L998" s="599"/>
      <c r="M998" s="599"/>
      <c r="N998" s="599"/>
      <c r="O998" s="599"/>
      <c r="P998" s="599"/>
      <c r="Q998" s="599"/>
      <c r="R998" s="599"/>
      <c r="S998" s="599"/>
      <c r="T998" s="599"/>
      <c r="U998" s="599"/>
      <c r="V998" s="599"/>
      <c r="W998" s="599"/>
      <c r="X998" s="599"/>
      <c r="Y998" s="599"/>
      <c r="Z998" s="599"/>
    </row>
    <row r="999" spans="1:26" ht="15.75" customHeight="1">
      <c r="A999" s="599"/>
      <c r="B999" s="599"/>
      <c r="C999" s="599"/>
      <c r="D999" s="599"/>
      <c r="E999" s="599"/>
      <c r="F999" s="599"/>
      <c r="G999" s="599"/>
      <c r="H999" s="599"/>
      <c r="I999" s="599"/>
      <c r="J999" s="599"/>
      <c r="K999" s="599"/>
      <c r="L999" s="599"/>
      <c r="M999" s="599"/>
      <c r="N999" s="599"/>
      <c r="O999" s="599"/>
      <c r="P999" s="599"/>
      <c r="Q999" s="599"/>
      <c r="R999" s="599"/>
      <c r="S999" s="599"/>
      <c r="T999" s="599"/>
      <c r="U999" s="599"/>
      <c r="V999" s="599"/>
      <c r="W999" s="599"/>
      <c r="X999" s="599"/>
      <c r="Y999" s="599"/>
      <c r="Z999" s="599"/>
    </row>
    <row r="1000" spans="1:26" ht="15.75" customHeight="1">
      <c r="A1000" s="599"/>
      <c r="B1000" s="599"/>
      <c r="C1000" s="599"/>
      <c r="D1000" s="599"/>
      <c r="E1000" s="599"/>
      <c r="F1000" s="599"/>
      <c r="G1000" s="599"/>
      <c r="H1000" s="599"/>
      <c r="I1000" s="599"/>
      <c r="J1000" s="599"/>
      <c r="K1000" s="599"/>
      <c r="L1000" s="599"/>
      <c r="M1000" s="599"/>
      <c r="N1000" s="599"/>
      <c r="O1000" s="599"/>
      <c r="P1000" s="599"/>
      <c r="Q1000" s="599"/>
      <c r="R1000" s="599"/>
      <c r="S1000" s="599"/>
      <c r="T1000" s="599"/>
      <c r="U1000" s="599"/>
      <c r="V1000" s="599"/>
      <c r="W1000" s="599"/>
      <c r="X1000" s="599"/>
      <c r="Y1000" s="599"/>
      <c r="Z1000" s="599"/>
    </row>
  </sheetData>
  <mergeCells count="68">
    <mergeCell ref="G90:O90"/>
    <mergeCell ref="G92:O92"/>
    <mergeCell ref="J94:Q94"/>
    <mergeCell ref="M9:N9"/>
    <mergeCell ref="O9:P9"/>
    <mergeCell ref="A1:B2"/>
    <mergeCell ref="G3:O3"/>
    <mergeCell ref="A4:B4"/>
    <mergeCell ref="G5:O5"/>
    <mergeCell ref="D7:J7"/>
    <mergeCell ref="K7:Q7"/>
    <mergeCell ref="A9:A10"/>
    <mergeCell ref="Q9:Q10"/>
    <mergeCell ref="F9:G9"/>
    <mergeCell ref="H9:I9"/>
    <mergeCell ref="A89:B90"/>
    <mergeCell ref="A92:B92"/>
    <mergeCell ref="B96:B97"/>
    <mergeCell ref="J9:J10"/>
    <mergeCell ref="K9:L9"/>
    <mergeCell ref="C50:I50"/>
    <mergeCell ref="J50:P50"/>
    <mergeCell ref="G26:J26"/>
    <mergeCell ref="K26:N26"/>
    <mergeCell ref="E28:E29"/>
    <mergeCell ref="G46:O46"/>
    <mergeCell ref="G48:O48"/>
    <mergeCell ref="G68:O68"/>
    <mergeCell ref="C70:I70"/>
    <mergeCell ref="J70:P70"/>
    <mergeCell ref="B72:B73"/>
    <mergeCell ref="B9:C9"/>
    <mergeCell ref="D9:E9"/>
    <mergeCell ref="A45:B46"/>
    <mergeCell ref="A48:B48"/>
    <mergeCell ref="B52:B53"/>
    <mergeCell ref="B234:B235"/>
    <mergeCell ref="H140:I140"/>
    <mergeCell ref="J140:J141"/>
    <mergeCell ref="F167:M167"/>
    <mergeCell ref="D169:D170"/>
    <mergeCell ref="E197:M197"/>
    <mergeCell ref="A198:B198"/>
    <mergeCell ref="E199:M199"/>
    <mergeCell ref="C201:I201"/>
    <mergeCell ref="J201:P201"/>
    <mergeCell ref="B203:B204"/>
    <mergeCell ref="G230:O230"/>
    <mergeCell ref="C232:I232"/>
    <mergeCell ref="J232:P232"/>
    <mergeCell ref="Q140:Q141"/>
    <mergeCell ref="E136:M136"/>
    <mergeCell ref="D138:J138"/>
    <mergeCell ref="K138:Q138"/>
    <mergeCell ref="A140:A141"/>
    <mergeCell ref="B140:C140"/>
    <mergeCell ref="D140:E140"/>
    <mergeCell ref="F140:G140"/>
    <mergeCell ref="E134:M134"/>
    <mergeCell ref="A135:B135"/>
    <mergeCell ref="K140:L140"/>
    <mergeCell ref="M140:N140"/>
    <mergeCell ref="O140:P140"/>
    <mergeCell ref="C94:I94"/>
    <mergeCell ref="B111:I111"/>
    <mergeCell ref="B112:I112"/>
    <mergeCell ref="G114:N114"/>
    <mergeCell ref="D116:D117"/>
  </mergeCells>
  <conditionalFormatting sqref="A30:E30 F30:F41 G30:I30 K30:Z30 F30:M41">
    <cfRule type="notContainsBlanks" dxfId="0" priority="1">
      <formula>LEN(TRIM(A30))&gt;0</formula>
    </cfRule>
  </conditionalFormatting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/>
  </sheetPr>
  <dimension ref="A1:BA751"/>
  <sheetViews>
    <sheetView tabSelected="1" workbookViewId="0">
      <pane xSplit="3" topLeftCell="D1" activePane="topRight" state="frozen"/>
      <selection pane="topRight" activeCell="E8" sqref="E8"/>
    </sheetView>
  </sheetViews>
  <sheetFormatPr baseColWidth="10" defaultColWidth="12.625" defaultRowHeight="15" customHeight="1" outlineLevelRow="1"/>
  <cols>
    <col min="1" max="1" width="11.125" hidden="1" customWidth="1"/>
    <col min="2" max="2" width="11" customWidth="1"/>
    <col min="3" max="3" width="17" customWidth="1"/>
    <col min="4" max="5" width="8.625" customWidth="1"/>
    <col min="6" max="6" width="10.5" customWidth="1"/>
    <col min="7" max="7" width="11.5" customWidth="1"/>
    <col min="8" max="9" width="10.875" customWidth="1"/>
    <col min="10" max="10" width="7.125" customWidth="1"/>
    <col min="11" max="11" width="12" customWidth="1"/>
    <col min="12" max="12" width="7.125" customWidth="1"/>
    <col min="13" max="13" width="1.5" customWidth="1"/>
    <col min="14" max="15" width="8.625" customWidth="1"/>
    <col min="16" max="16" width="11.375" customWidth="1"/>
    <col min="17" max="17" width="9.125" customWidth="1"/>
    <col min="18" max="18" width="10.125" customWidth="1"/>
    <col min="19" max="19" width="8" customWidth="1"/>
    <col min="20" max="21" width="7.375" customWidth="1"/>
    <col min="22" max="22" width="2" customWidth="1"/>
    <col min="23" max="24" width="8.625" customWidth="1"/>
    <col min="25" max="25" width="10.75" customWidth="1"/>
    <col min="26" max="26" width="9.125" customWidth="1"/>
    <col min="27" max="28" width="8.875" customWidth="1"/>
    <col min="29" max="30" width="7.25" customWidth="1"/>
    <col min="31" max="31" width="2.375" customWidth="1"/>
    <col min="32" max="32" width="8.625" customWidth="1"/>
    <col min="33" max="33" width="10" customWidth="1"/>
    <col min="34" max="34" width="9.125" customWidth="1"/>
    <col min="35" max="35" width="9.625" customWidth="1"/>
    <col min="36" max="36" width="10.5" customWidth="1"/>
    <col min="37" max="37" width="2.25" customWidth="1"/>
    <col min="38" max="38" width="8.625" customWidth="1"/>
    <col min="39" max="39" width="10.25" customWidth="1"/>
    <col min="40" max="40" width="9.125" customWidth="1"/>
    <col min="41" max="42" width="9.5" customWidth="1"/>
    <col min="43" max="43" width="2.375" customWidth="1"/>
    <col min="44" max="45" width="8.625" customWidth="1"/>
    <col min="46" max="46" width="9.875" customWidth="1"/>
    <col min="47" max="47" width="9.125" customWidth="1"/>
    <col min="48" max="49" width="8" customWidth="1"/>
    <col min="50" max="51" width="7.25" customWidth="1"/>
    <col min="52" max="52" width="11.625" customWidth="1"/>
    <col min="53" max="53" width="10" customWidth="1"/>
  </cols>
  <sheetData>
    <row r="1" spans="1:53" ht="9" customHeight="1">
      <c r="A1" s="1027"/>
      <c r="B1" s="1033"/>
      <c r="C1" s="2"/>
      <c r="D1" s="2"/>
      <c r="E1" s="1034"/>
      <c r="F1" s="1034"/>
      <c r="G1" s="1035"/>
      <c r="H1" s="1034"/>
      <c r="I1" s="1034"/>
      <c r="J1" s="2"/>
      <c r="K1" s="2"/>
      <c r="L1" s="2"/>
      <c r="M1" s="2"/>
      <c r="N1" s="2"/>
      <c r="O1" s="2"/>
      <c r="P1" s="1034"/>
      <c r="Q1" s="1034"/>
      <c r="R1" s="1034"/>
      <c r="S1" s="1034"/>
      <c r="T1" s="2"/>
      <c r="U1" s="2"/>
      <c r="V1" s="2"/>
      <c r="W1" s="2"/>
      <c r="X1" s="2"/>
      <c r="Y1" s="1034"/>
      <c r="Z1" s="1034"/>
      <c r="AA1" s="1034"/>
      <c r="AB1" s="1034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</row>
    <row r="2" spans="1:53" ht="30">
      <c r="A2" s="1027"/>
      <c r="B2" s="1554" t="s">
        <v>10</v>
      </c>
      <c r="C2" s="1420"/>
      <c r="D2" s="1420"/>
      <c r="E2" s="1420"/>
      <c r="F2" s="1420"/>
      <c r="G2" s="1420"/>
      <c r="H2" s="1420"/>
      <c r="I2" s="1420"/>
      <c r="J2" s="1420"/>
      <c r="K2" s="1420"/>
      <c r="L2" s="1420"/>
      <c r="M2" s="1420"/>
      <c r="N2" s="1420"/>
      <c r="O2" s="1420"/>
      <c r="P2" s="1420"/>
      <c r="Q2" s="1420"/>
      <c r="R2" s="1420"/>
      <c r="S2" s="1420"/>
      <c r="T2" s="1421"/>
      <c r="U2" s="1036"/>
      <c r="V2" s="1036"/>
      <c r="W2" s="1036"/>
      <c r="X2" s="1036"/>
      <c r="Y2" s="1037"/>
      <c r="Z2" s="1037"/>
      <c r="AA2" s="1037"/>
      <c r="AB2" s="1037"/>
      <c r="AC2" s="1036"/>
      <c r="AD2" s="1036"/>
      <c r="AE2" s="1036"/>
      <c r="AF2" s="1036"/>
      <c r="AG2" s="1038"/>
      <c r="AH2" s="1036"/>
      <c r="AI2" s="1036"/>
      <c r="AJ2" s="1036"/>
      <c r="AK2" s="1036"/>
      <c r="AL2" s="1036"/>
      <c r="AM2" s="1036"/>
      <c r="AN2" s="1036"/>
      <c r="AO2" s="1036"/>
      <c r="AP2" s="1036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</row>
    <row r="3" spans="1:53" ht="6.75" customHeight="1">
      <c r="A3" s="1027"/>
      <c r="B3" s="1033"/>
      <c r="C3" s="2"/>
      <c r="D3" s="2"/>
      <c r="E3" s="1034"/>
      <c r="F3" s="1034"/>
      <c r="G3" s="1035"/>
      <c r="H3" s="1034"/>
      <c r="I3" s="1034"/>
      <c r="J3" s="2"/>
      <c r="K3" s="2"/>
      <c r="L3" s="2"/>
      <c r="M3" s="2"/>
      <c r="N3" s="2"/>
      <c r="O3" s="2"/>
      <c r="P3" s="1034"/>
      <c r="Q3" s="1034"/>
      <c r="R3" s="1034"/>
      <c r="S3" s="1034"/>
      <c r="T3" s="2"/>
      <c r="U3" s="2"/>
      <c r="V3" s="2"/>
      <c r="W3" s="2"/>
      <c r="X3" s="2"/>
      <c r="Y3" s="1034"/>
      <c r="Z3" s="1034"/>
      <c r="AA3" s="1034"/>
      <c r="AB3" s="1034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1027"/>
      <c r="AR3" s="1027"/>
      <c r="AS3" s="1027"/>
      <c r="AT3" s="2"/>
      <c r="AU3" s="2"/>
      <c r="AV3" s="2"/>
      <c r="AW3" s="2"/>
      <c r="AX3" s="2"/>
      <c r="AY3" s="2"/>
      <c r="AZ3" s="2"/>
      <c r="BA3" s="2"/>
    </row>
    <row r="4" spans="1:53" ht="12.75" customHeight="1">
      <c r="A4" s="1039"/>
      <c r="B4" s="1040" t="s">
        <v>8</v>
      </c>
      <c r="C4" s="19">
        <v>2019</v>
      </c>
      <c r="D4" s="1040"/>
      <c r="E4" s="1041"/>
      <c r="F4" s="1042"/>
      <c r="G4" s="1043"/>
      <c r="H4" s="1041"/>
      <c r="I4" s="1041"/>
      <c r="J4" s="1040"/>
      <c r="L4" s="1040"/>
      <c r="M4" s="1033"/>
      <c r="N4" s="1033"/>
      <c r="O4" s="1033"/>
      <c r="P4" s="1044"/>
      <c r="Q4" s="1044"/>
      <c r="R4" s="1044"/>
      <c r="S4" s="1044"/>
      <c r="T4" s="1033"/>
      <c r="U4" s="1033"/>
      <c r="V4" s="1033"/>
      <c r="W4" s="1033"/>
      <c r="X4" s="1033"/>
      <c r="Y4" s="1044"/>
      <c r="Z4" s="1044"/>
      <c r="AA4" s="1044"/>
      <c r="AB4" s="1044"/>
      <c r="AC4" s="1033"/>
      <c r="AD4" s="1033"/>
      <c r="AE4" s="1033"/>
      <c r="AF4" s="1033"/>
      <c r="AG4" s="1033"/>
      <c r="AH4" s="1033"/>
      <c r="AI4" s="1033"/>
      <c r="AJ4" s="1033"/>
      <c r="AK4" s="1033"/>
      <c r="AL4" s="1033"/>
      <c r="AM4" s="1033"/>
      <c r="AN4" s="1033"/>
      <c r="AO4" s="1033"/>
      <c r="AP4" s="1033"/>
      <c r="AQ4" s="1033"/>
      <c r="AR4" s="1033"/>
      <c r="AS4" s="1033"/>
      <c r="AT4" s="1033"/>
      <c r="AU4" s="1033"/>
      <c r="AV4" s="1033"/>
      <c r="AW4" s="1033"/>
      <c r="AX4" s="1033"/>
      <c r="AY4" s="1033"/>
      <c r="AZ4" s="1033"/>
      <c r="BA4" s="1033"/>
    </row>
    <row r="5" spans="1:53" ht="9.75" customHeight="1">
      <c r="A5" s="1027"/>
      <c r="B5" s="1033"/>
      <c r="C5" s="2"/>
      <c r="D5" s="2"/>
      <c r="E5" s="1034"/>
      <c r="F5" s="1034"/>
      <c r="G5" s="1035"/>
      <c r="H5" s="1034"/>
      <c r="I5" s="1034"/>
      <c r="J5" s="2"/>
      <c r="K5" s="2"/>
      <c r="L5" s="2"/>
      <c r="M5" s="2"/>
      <c r="N5" s="2"/>
      <c r="O5" s="2"/>
      <c r="P5" s="1034"/>
      <c r="Q5" s="1034"/>
      <c r="R5" s="1034"/>
      <c r="S5" s="1034"/>
      <c r="T5" s="2"/>
      <c r="U5" s="2"/>
      <c r="V5" s="2"/>
      <c r="W5" s="2"/>
      <c r="X5" s="2"/>
      <c r="Y5" s="1034"/>
      <c r="Z5" s="1034"/>
      <c r="AA5" s="1034"/>
      <c r="AB5" s="1034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</row>
    <row r="6" spans="1:53" outlineLevel="1">
      <c r="A6" s="1039"/>
      <c r="B6" s="1033"/>
      <c r="C6" s="2"/>
      <c r="D6" s="1550" t="s">
        <v>283</v>
      </c>
      <c r="E6" s="1420"/>
      <c r="F6" s="1420"/>
      <c r="G6" s="1420"/>
      <c r="H6" s="1420"/>
      <c r="I6" s="1420"/>
      <c r="J6" s="1420"/>
      <c r="K6" s="1420"/>
      <c r="L6" s="1421"/>
      <c r="M6" s="1045"/>
      <c r="N6" s="1550" t="s">
        <v>288</v>
      </c>
      <c r="O6" s="1420"/>
      <c r="P6" s="1420"/>
      <c r="Q6" s="1420"/>
      <c r="R6" s="1420"/>
      <c r="S6" s="1420"/>
      <c r="T6" s="1420"/>
      <c r="U6" s="1421"/>
      <c r="V6" s="1046"/>
      <c r="W6" s="1549" t="s">
        <v>289</v>
      </c>
      <c r="X6" s="1517"/>
      <c r="Y6" s="1517"/>
      <c r="Z6" s="1517"/>
      <c r="AA6" s="1517"/>
      <c r="AB6" s="1517"/>
      <c r="AC6" s="1517"/>
      <c r="AD6" s="1514"/>
      <c r="AE6" s="1046"/>
      <c r="AF6" s="1549" t="s">
        <v>199</v>
      </c>
      <c r="AG6" s="1517"/>
      <c r="AH6" s="1517"/>
      <c r="AI6" s="1517"/>
      <c r="AJ6" s="1514"/>
      <c r="AK6" s="1046"/>
      <c r="AL6" s="1549" t="s">
        <v>200</v>
      </c>
      <c r="AM6" s="1517"/>
      <c r="AN6" s="1517"/>
      <c r="AO6" s="1517"/>
      <c r="AP6" s="1514"/>
      <c r="AQ6" s="1046"/>
      <c r="AR6" s="1549" t="s">
        <v>290</v>
      </c>
      <c r="AS6" s="1517"/>
      <c r="AT6" s="1517"/>
      <c r="AU6" s="1517"/>
      <c r="AV6" s="1517"/>
      <c r="AW6" s="1517"/>
      <c r="AX6" s="1517"/>
      <c r="AY6" s="1514"/>
      <c r="AZ6" s="2"/>
      <c r="BA6" s="2"/>
    </row>
    <row r="7" spans="1:53" ht="75" outlineLevel="1">
      <c r="A7" s="1027"/>
      <c r="B7" s="1033"/>
      <c r="C7" s="2"/>
      <c r="D7" s="1047" t="s">
        <v>291</v>
      </c>
      <c r="E7" s="1048" t="s">
        <v>292</v>
      </c>
      <c r="F7" s="1049" t="s">
        <v>293</v>
      </c>
      <c r="G7" s="1050" t="s">
        <v>294</v>
      </c>
      <c r="H7" s="1049" t="s">
        <v>295</v>
      </c>
      <c r="I7" s="1051" t="s">
        <v>296</v>
      </c>
      <c r="J7" s="1052" t="s">
        <v>297</v>
      </c>
      <c r="K7" s="1053" t="s">
        <v>216</v>
      </c>
      <c r="L7" s="1054" t="s">
        <v>298</v>
      </c>
      <c r="M7" s="1055"/>
      <c r="N7" s="1056" t="s">
        <v>291</v>
      </c>
      <c r="O7" s="1057" t="s">
        <v>292</v>
      </c>
      <c r="P7" s="1051" t="s">
        <v>293</v>
      </c>
      <c r="Q7" s="1058" t="s">
        <v>294</v>
      </c>
      <c r="R7" s="1051" t="s">
        <v>295</v>
      </c>
      <c r="S7" s="1051" t="s">
        <v>296</v>
      </c>
      <c r="T7" s="1059" t="s">
        <v>299</v>
      </c>
      <c r="U7" s="1060" t="s">
        <v>216</v>
      </c>
      <c r="V7" s="1055"/>
      <c r="W7" s="1056" t="s">
        <v>291</v>
      </c>
      <c r="X7" s="1057" t="s">
        <v>292</v>
      </c>
      <c r="Y7" s="1051" t="s">
        <v>293</v>
      </c>
      <c r="Z7" s="1058" t="s">
        <v>294</v>
      </c>
      <c r="AA7" s="1051" t="s">
        <v>295</v>
      </c>
      <c r="AB7" s="1051" t="s">
        <v>296</v>
      </c>
      <c r="AC7" s="1059" t="s">
        <v>299</v>
      </c>
      <c r="AD7" s="1060" t="s">
        <v>216</v>
      </c>
      <c r="AE7" s="1055"/>
      <c r="AF7" s="1057" t="s">
        <v>292</v>
      </c>
      <c r="AG7" s="1061" t="s">
        <v>293</v>
      </c>
      <c r="AH7" s="1062" t="s">
        <v>294</v>
      </c>
      <c r="AI7" s="1061" t="s">
        <v>295</v>
      </c>
      <c r="AJ7" s="1061" t="s">
        <v>296</v>
      </c>
      <c r="AK7" s="1055"/>
      <c r="AL7" s="1057" t="s">
        <v>292</v>
      </c>
      <c r="AM7" s="1061" t="s">
        <v>293</v>
      </c>
      <c r="AN7" s="1062" t="s">
        <v>294</v>
      </c>
      <c r="AO7" s="1061" t="s">
        <v>295</v>
      </c>
      <c r="AP7" s="1061" t="s">
        <v>296</v>
      </c>
      <c r="AQ7" s="1055"/>
      <c r="AR7" s="1056" t="s">
        <v>291</v>
      </c>
      <c r="AS7" s="1057" t="s">
        <v>292</v>
      </c>
      <c r="AT7" s="1061" t="s">
        <v>293</v>
      </c>
      <c r="AU7" s="1062" t="s">
        <v>294</v>
      </c>
      <c r="AV7" s="1061" t="s">
        <v>295</v>
      </c>
      <c r="AW7" s="1061" t="s">
        <v>296</v>
      </c>
      <c r="AX7" s="1063" t="s">
        <v>299</v>
      </c>
      <c r="AY7" s="1064" t="s">
        <v>216</v>
      </c>
      <c r="AZ7" s="1065" t="s">
        <v>300</v>
      </c>
      <c r="BA7" s="2"/>
    </row>
    <row r="8" spans="1:53" outlineLevel="1">
      <c r="A8" s="1027">
        <v>1</v>
      </c>
      <c r="B8" s="54">
        <v>43466</v>
      </c>
      <c r="C8" s="1066" t="s">
        <v>43</v>
      </c>
      <c r="D8" s="1067">
        <f>Parametres!$D$5</f>
        <v>5</v>
      </c>
      <c r="E8" s="1068" t="e">
        <f>COUNTIFS(#REF!,"&gt;0",#REF!,"&gt;="&amp;B8,#REF!,"&lt;="&amp;EOMONTH(B8,0))</f>
        <v>#REF!</v>
      </c>
      <c r="F8" s="483" t="e">
        <f>SUM((SUMIF(#REF!:#REF!,"?",#REF!:#REF!)/2)+SUMIF(#REF!:#REF!,"",#REF!:#REF!))</f>
        <v>#REF!</v>
      </c>
      <c r="G8" s="1069" t="e">
        <f t="shared" ref="G8:G44" si="0">IF(E8=0,0,F8/E8)</f>
        <v>#REF!</v>
      </c>
      <c r="H8" s="1070" t="e">
        <f ca="1">MINIFS(#REF!,#REF!,"&lt;&gt;0",#REF!,"&gt;="&amp;B8,#REF!,"&lt;="&amp;EOMONTH(B8,0))</f>
        <v>#NAME?</v>
      </c>
      <c r="I8" s="1071" t="e">
        <f ca="1">MAXIFS(#REF!,#REF!,"&lt;&gt;0",#REF!,"&gt;="&amp;B8,#REF!,"&lt;="&amp;EOMONTH(B8,0))</f>
        <v>#NAME?</v>
      </c>
      <c r="J8" s="1072" t="e">
        <f>COUNTIFS(#REF!,"&gt;="&amp;D8,#REF!,"&gt;="&amp;B8,#REF!,"&lt;="&amp;EOMONTH(B8,0))</f>
        <v>#REF!</v>
      </c>
      <c r="K8" s="1073" t="e">
        <f t="shared" ref="K8:K44" si="1">IF(E8="",,J8/E8)</f>
        <v>#REF!</v>
      </c>
      <c r="L8" s="1074"/>
      <c r="M8" s="1075"/>
      <c r="N8" s="1076">
        <f>Parametres!$L$5</f>
        <v>50</v>
      </c>
      <c r="O8" s="1077">
        <f>COUNTIFS('Degrémont Entrée'!$AM$14:$AM$379,"&gt;0",'Degrémont Entrée'!$A$14:$A$379,"&gt;="&amp;B8,'Degrémont Entrée'!$A$14:$A$379,"&lt;="&amp;EOMONTH(B8,0))</f>
        <v>4</v>
      </c>
      <c r="P8" s="1078">
        <f>SUMIFS('Degrémont Entrée'!$AM$14:$AM$379,'Degrémont Entrée'!$AM$14:$AM$379,"&lt;&gt;0",'Degrémont Entrée'!$A$14:$A$379,"&gt;="&amp;B8,'Degrémont Entrée'!$A$14:$A$379,"&lt;="&amp;EOMONTH(B8,0))</f>
        <v>238</v>
      </c>
      <c r="Q8" s="1078">
        <f>IF(O8=0,0,P8/O8)</f>
        <v>59.5</v>
      </c>
      <c r="R8" s="1079" t="e">
        <f ca="1">MINIFS('Degrémont Entrée'!$AM$14:$AM$379,'Degrémont Entrée'!$AM$14:$AM$379,"&lt;&gt;0",'Degrémont Entrée'!$A$14:$A$379,"&gt;="&amp;B8,'Degrémont Entrée'!$A$14:$A$379,"&lt;="&amp;EOMONTH(B8,0))</f>
        <v>#NAME?</v>
      </c>
      <c r="S8" s="1078" t="e">
        <f ca="1">MAXIFS('Degrémont Entrée'!$AM$14:$AM$379,'Degrémont Entrée'!$AM$14:$AM$379,"&lt;&gt;0",'Degrémont Entrée'!$A$14:$A$379,"&gt;="&amp;B8,'Degrémont Entrée'!$A$14:$A$379,"&lt;="&amp;EOMONTH(B8,0))</f>
        <v>#NAME?</v>
      </c>
      <c r="T8" s="1080">
        <f>COUNTIFS('Degrémont Entrée'!$AM$14:$AM$379,"&gt;="&amp;N8,'Degrémont Entrée'!$A$14:$A$379,"&gt;="&amp;B8,'Degrémont Entrée'!$A$14:$A$379,"&lt;="&amp;EOMONTH(B8,0))</f>
        <v>2</v>
      </c>
      <c r="U8" s="1081">
        <f>T8/O8</f>
        <v>0.5</v>
      </c>
      <c r="V8" s="1082"/>
      <c r="W8" s="1083">
        <f>Parametres!$T$5</f>
        <v>3</v>
      </c>
      <c r="X8" s="1084">
        <f>COUNTIFS('Degrémont sortie'!$AG$14:$AG$379,"&gt;0",'Degrémont sortie'!$A$14:$A$379,"&gt;="&amp;B8,'Degrémont sortie'!$A$14:$A$379,"&lt;="&amp;EOMONTH(B8,0))</f>
        <v>4</v>
      </c>
      <c r="Y8" s="1085">
        <f>SUMIFS('Degrémont sortie'!$AG$14:$AG$379,'Degrémont sortie'!$AG$14:$AG$379,"&lt;&gt;0",'Degrémont sortie'!$A$14:$A$379,"&gt;="&amp;B8,'Degrémont sortie'!$A$14:$A$379,"&lt;="&amp;EOMONTH(B8,0))</f>
        <v>1.92</v>
      </c>
      <c r="Z8" s="1085">
        <f>IF(X8=0,0,Y8/X8)</f>
        <v>0.48</v>
      </c>
      <c r="AA8" s="1085" t="e">
        <f ca="1">MINIFS('Degrémont sortie'!$AG$14:$AG$379,'Degrémont sortie'!$AG$14:$AG$379,"&lt;&gt;0",'Degrémont sortie'!$A$14:$A$379,"&gt;="&amp;B8,'Degrémont sortie'!$A$14:$A$379,"&lt;="&amp;EOMONTH(B8,0))</f>
        <v>#NAME?</v>
      </c>
      <c r="AB8" s="1085" t="e">
        <f ca="1">MAXIFS('Degrémont sortie'!$AG$14:$AG$379,'Degrémont sortie'!$AG$14:$AG$379,"&lt;&gt;0",'Degrémont sortie'!$A$14:$A$379,"&gt;="&amp;B8,'Degrémont sortie'!$A$14:$A$379,"&lt;="&amp;EOMONTH(B8,0))</f>
        <v>#NAME?</v>
      </c>
      <c r="AC8" s="1086">
        <f>COUNTIFS('Degrémont sortie'!$AG$14:$AG$379,"&gt;="&amp;W8,'Degrémont sortie'!$A$14:$A$379,"&gt;="&amp;B8,'Degrémont sortie'!$A$14:$A$379,"&lt;="&amp;EOMONTH(B8,0))</f>
        <v>0</v>
      </c>
      <c r="AD8" s="1087">
        <f>AC8/X8</f>
        <v>0</v>
      </c>
      <c r="AE8" s="1088"/>
      <c r="AF8" s="1089"/>
      <c r="AG8" s="1090"/>
      <c r="AH8" s="1090"/>
      <c r="AI8" s="1090"/>
      <c r="AJ8" s="1090"/>
      <c r="AK8" s="1088"/>
      <c r="AL8" s="1089"/>
      <c r="AM8" s="1090"/>
      <c r="AN8" s="1090"/>
      <c r="AO8" s="1090"/>
      <c r="AP8" s="1090"/>
      <c r="AQ8" s="1088"/>
      <c r="AR8" s="1091"/>
      <c r="AS8" s="1089"/>
      <c r="AT8" s="1090"/>
      <c r="AU8" s="1090"/>
      <c r="AV8" s="1090"/>
      <c r="AW8" s="1092"/>
      <c r="AX8" s="1093"/>
      <c r="AY8" s="1094"/>
      <c r="AZ8" s="1095" t="e">
        <f t="shared" ref="AZ8:AZ53" si="2">SUM(E8+O8+X8+AF8+AL8+AS8)</f>
        <v>#REF!</v>
      </c>
      <c r="BA8" s="2"/>
    </row>
    <row r="9" spans="1:53" outlineLevel="1">
      <c r="A9" s="1027">
        <f t="shared" ref="A9:A32" si="3">A8</f>
        <v>1</v>
      </c>
      <c r="B9" s="1096"/>
      <c r="C9" s="1097" t="s">
        <v>16</v>
      </c>
      <c r="D9" s="1067">
        <f>Parametres!$D$6</f>
        <v>10000000</v>
      </c>
      <c r="E9" s="1068" t="e">
        <f>COUNTIFS(#REF!,"&gt;0",#REF!,"&gt;="&amp;B8,#REF!,"&lt;="&amp;EOMONTH(B8,0))</f>
        <v>#REF!</v>
      </c>
      <c r="F9" s="483" t="e">
        <f>SUM((SUMIF(#REF!:#REF!,"?",#REF!:#REF!)/2)+SUMIF(#REF!:#REF!,"",#REF!:#REF!))</f>
        <v>#REF!</v>
      </c>
      <c r="G9" s="1098" t="e">
        <f t="shared" si="0"/>
        <v>#REF!</v>
      </c>
      <c r="H9" s="1070" t="e">
        <f ca="1">MINIFS(#REF!,#REF!,"&lt;&gt;0",#REF!,"&gt;="&amp;B8,#REF!,"&lt;="&amp;EOMONTH(B8,0))</f>
        <v>#NAME?</v>
      </c>
      <c r="I9" s="1069" t="e">
        <f ca="1">MAXIFS(#REF!,#REF!,"&lt;&gt;0",#REF!,"&gt;="&amp;B8,#REF!,"&lt;="&amp;EOMONTH(B8,0))</f>
        <v>#NAME?</v>
      </c>
      <c r="J9" s="1072" t="e">
        <f>COUNTIFS(#REF!,"&gt;="&amp;D9,#REF!,"&gt;="&amp;B8,#REF!,"&lt;="&amp;EOMONTH(B8,0))</f>
        <v>#REF!</v>
      </c>
      <c r="K9" s="1073" t="e">
        <f t="shared" si="1"/>
        <v>#REF!</v>
      </c>
      <c r="L9" s="1099"/>
      <c r="M9" s="1082"/>
      <c r="N9" s="1100"/>
      <c r="O9" s="1100"/>
      <c r="P9" s="1078"/>
      <c r="Q9" s="1078"/>
      <c r="R9" s="1078"/>
      <c r="S9" s="1078"/>
      <c r="T9" s="1101"/>
      <c r="U9" s="1101"/>
      <c r="V9" s="1082"/>
      <c r="W9" s="1102"/>
      <c r="X9" s="1102"/>
      <c r="Y9" s="1069"/>
      <c r="Z9" s="1069"/>
      <c r="AA9" s="1069"/>
      <c r="AB9" s="1069"/>
      <c r="AC9" s="1103"/>
      <c r="AD9" s="1104"/>
      <c r="AE9" s="1082"/>
      <c r="AF9" s="1105"/>
      <c r="AG9" s="1106"/>
      <c r="AH9" s="1106"/>
      <c r="AI9" s="1106"/>
      <c r="AJ9" s="1106"/>
      <c r="AK9" s="1107"/>
      <c r="AL9" s="1108"/>
      <c r="AM9" s="1109"/>
      <c r="AN9" s="1109"/>
      <c r="AO9" s="1109"/>
      <c r="AP9" s="1109"/>
      <c r="AQ9" s="1107"/>
      <c r="AR9" s="1110"/>
      <c r="AS9" s="1105"/>
      <c r="AT9" s="1109"/>
      <c r="AU9" s="1109"/>
      <c r="AV9" s="1109"/>
      <c r="AW9" s="1111"/>
      <c r="AX9" s="1112"/>
      <c r="AY9" s="1094"/>
      <c r="AZ9" s="1095" t="e">
        <f t="shared" si="2"/>
        <v>#REF!</v>
      </c>
      <c r="BA9" s="2"/>
    </row>
    <row r="10" spans="1:53" outlineLevel="1">
      <c r="A10" s="1027">
        <f t="shared" si="3"/>
        <v>1</v>
      </c>
      <c r="B10" s="1096"/>
      <c r="C10" s="1097" t="s">
        <v>17</v>
      </c>
      <c r="D10" s="1067">
        <f>Parametres!$D$7</f>
        <v>0.8</v>
      </c>
      <c r="E10" s="1068" t="e">
        <f>COUNTIFS(#REF!,"&gt;0",#REF!,"&gt;="&amp;B8,#REF!,"&lt;="&amp;EOMONTH(B8,0))</f>
        <v>#REF!</v>
      </c>
      <c r="F10" s="483" t="e">
        <f>SUM((SUMIF(#REF!:#REF!,"?",#REF!:#REF!)/2)+SUMIF(#REF!:#REF!,"",#REF!:#REF!))</f>
        <v>#REF!</v>
      </c>
      <c r="G10" s="1098" t="e">
        <f t="shared" si="0"/>
        <v>#REF!</v>
      </c>
      <c r="H10" s="1113" t="e">
        <f ca="1">MINIFS(#REF!,#REF!,"&lt;&gt;0",#REF!,"&gt;="&amp;B8,#REF!,"&lt;="&amp;EOMONTH(B8,0))</f>
        <v>#NAME?</v>
      </c>
      <c r="I10" s="1078" t="e">
        <f ca="1">MAXIFS(#REF!,#REF!,"&lt;&gt;0",#REF!,"&gt;="&amp;B8,#REF!,"&lt;="&amp;EOMONTH(B8,0))</f>
        <v>#NAME?</v>
      </c>
      <c r="J10" s="1114" t="e">
        <f>COUNTIFS(#REF!,"&gt;="&amp;D10,#REF!,"&gt;="&amp;B8,#REF!,"&lt;="&amp;EOMONTH(B8,0))</f>
        <v>#REF!</v>
      </c>
      <c r="K10" s="1073" t="e">
        <f t="shared" si="1"/>
        <v>#REF!</v>
      </c>
      <c r="L10" s="1115"/>
      <c r="M10" s="1082"/>
      <c r="N10" s="1100"/>
      <c r="O10" s="1100"/>
      <c r="P10" s="1078"/>
      <c r="Q10" s="1078"/>
      <c r="R10" s="1078"/>
      <c r="S10" s="1078"/>
      <c r="T10" s="1101"/>
      <c r="U10" s="1101"/>
      <c r="V10" s="1082"/>
      <c r="W10" s="1102"/>
      <c r="X10" s="1102"/>
      <c r="Y10" s="1069"/>
      <c r="Z10" s="1069"/>
      <c r="AA10" s="1069"/>
      <c r="AB10" s="1069"/>
      <c r="AC10" s="1103"/>
      <c r="AD10" s="1104"/>
      <c r="AE10" s="1082"/>
      <c r="AF10" s="1116"/>
      <c r="AG10" s="1117"/>
      <c r="AH10" s="1117"/>
      <c r="AI10" s="1117"/>
      <c r="AJ10" s="1117"/>
      <c r="AK10" s="1082"/>
      <c r="AL10" s="1105"/>
      <c r="AM10" s="1106"/>
      <c r="AN10" s="1106"/>
      <c r="AO10" s="1106"/>
      <c r="AP10" s="1106"/>
      <c r="AQ10" s="1082"/>
      <c r="AR10" s="1118"/>
      <c r="AS10" s="1116"/>
      <c r="AT10" s="1106"/>
      <c r="AU10" s="1106"/>
      <c r="AV10" s="1106"/>
      <c r="AW10" s="1119"/>
      <c r="AX10" s="1120"/>
      <c r="AY10" s="1094"/>
      <c r="AZ10" s="1095" t="e">
        <f t="shared" si="2"/>
        <v>#REF!</v>
      </c>
      <c r="BA10" s="2"/>
    </row>
    <row r="11" spans="1:53" outlineLevel="1">
      <c r="A11" s="1027">
        <f t="shared" si="3"/>
        <v>1</v>
      </c>
      <c r="B11" s="1096"/>
      <c r="C11" s="1121" t="s">
        <v>18</v>
      </c>
      <c r="D11" s="1122">
        <f>Parametres!$D$8</f>
        <v>0.05</v>
      </c>
      <c r="E11" s="1068" t="e">
        <f>COUNTIFS(#REF!,"&gt;0",#REF!,"&gt;="&amp;B8,#REF!,"&lt;="&amp;EOMONTH(B8,0))</f>
        <v>#REF!</v>
      </c>
      <c r="F11" s="1069" t="s">
        <v>345</v>
      </c>
      <c r="G11" s="1098" t="e">
        <f t="shared" si="0"/>
        <v>#REF!</v>
      </c>
      <c r="H11" s="1113" t="e">
        <f ca="1">MINIFS(#REF!,#REF!,"&lt;&gt;0",#REF!,"&gt;="&amp;B8,#REF!,"&lt;="&amp;EOMONTH(B8,0))</f>
        <v>#NAME?</v>
      </c>
      <c r="I11" s="1078" t="e">
        <f ca="1">MAXIFS(#REF!,#REF!,"&lt;&gt;0",#REF!,"&gt;="&amp;B8,#REF!,"&lt;="&amp;EOMONTH(B8,0))</f>
        <v>#NAME?</v>
      </c>
      <c r="J11" s="1072" t="e">
        <f>COUNTIFS(#REF!,"&gt;="&amp;D11,#REF!,"&gt;="&amp;B8,#REF!,"&lt;="&amp;EOMONTH(B8,0))</f>
        <v>#REF!</v>
      </c>
      <c r="K11" s="1073" t="e">
        <f t="shared" si="1"/>
        <v>#REF!</v>
      </c>
      <c r="L11" s="1115"/>
      <c r="M11" s="1082"/>
      <c r="N11" s="1100"/>
      <c r="O11" s="1100"/>
      <c r="P11" s="1078"/>
      <c r="Q11" s="1078"/>
      <c r="R11" s="1078"/>
      <c r="S11" s="1078"/>
      <c r="T11" s="1101"/>
      <c r="U11" s="1101"/>
      <c r="V11" s="1082"/>
      <c r="W11" s="1102"/>
      <c r="X11" s="1102"/>
      <c r="Y11" s="1069"/>
      <c r="Z11" s="1069"/>
      <c r="AA11" s="1069"/>
      <c r="AB11" s="1069"/>
      <c r="AC11" s="1103"/>
      <c r="AD11" s="1104"/>
      <c r="AE11" s="1107"/>
      <c r="AF11" s="1108"/>
      <c r="AG11" s="1109"/>
      <c r="AH11" s="1109"/>
      <c r="AI11" s="1109"/>
      <c r="AJ11" s="1109"/>
      <c r="AK11" s="1123"/>
      <c r="AL11" s="1108"/>
      <c r="AM11" s="1109"/>
      <c r="AN11" s="1109"/>
      <c r="AO11" s="1109"/>
      <c r="AP11" s="1109"/>
      <c r="AQ11" s="1123"/>
      <c r="AR11" s="1124"/>
      <c r="AS11" s="1108"/>
      <c r="AT11" s="1109"/>
      <c r="AU11" s="1109"/>
      <c r="AV11" s="1109"/>
      <c r="AW11" s="1111"/>
      <c r="AX11" s="1112"/>
      <c r="AY11" s="1094"/>
      <c r="AZ11" s="1095" t="e">
        <f t="shared" si="2"/>
        <v>#REF!</v>
      </c>
      <c r="BA11" s="2"/>
    </row>
    <row r="12" spans="1:53" outlineLevel="1">
      <c r="A12" s="1027">
        <f t="shared" si="3"/>
        <v>1</v>
      </c>
      <c r="B12" s="1096"/>
      <c r="C12" s="1097" t="s">
        <v>11</v>
      </c>
      <c r="D12" s="1067">
        <f>Parametres!$D$9</f>
        <v>0.2</v>
      </c>
      <c r="E12" s="1068" t="e">
        <f>COUNTIFS(#REF!,"&gt;0",#REF!,"&gt;="&amp;B8,#REF!,"&lt;="&amp;EOMONTH(B8,0))</f>
        <v>#REF!</v>
      </c>
      <c r="F12" s="1069" t="e">
        <f>SUMIFS(#REF!,#REF!,"&lt;&gt;0",#REF!,"&gt;="&amp;B8,#REF!,"&lt;="&amp;EOMONTH(B8,0))</f>
        <v>#REF!</v>
      </c>
      <c r="G12" s="1098" t="e">
        <f t="shared" si="0"/>
        <v>#REF!</v>
      </c>
      <c r="H12" s="1113" t="e">
        <f ca="1">MINIFS(#REF!,#REF!,"&lt;&gt;0",#REF!,"&gt;="&amp;B8,#REF!,"&lt;="&amp;EOMONTH(B8,0))</f>
        <v>#NAME?</v>
      </c>
      <c r="I12" s="1078" t="e">
        <f ca="1">MAXIFS(#REF!,#REF!,"&lt;&gt;0",#REF!,"&gt;="&amp;B8,#REF!,"&lt;="&amp;EOMONTH(B8,0))</f>
        <v>#NAME?</v>
      </c>
      <c r="J12" s="1072" t="e">
        <f>COUNTIFS(#REF!,"&gt;="&amp;D12,#REF!,"&gt;="&amp;B8,#REF!,"&lt;="&amp;EOMONTH(B8,0))</f>
        <v>#REF!</v>
      </c>
      <c r="K12" s="1073" t="e">
        <f t="shared" si="1"/>
        <v>#REF!</v>
      </c>
      <c r="L12" s="1115"/>
      <c r="M12" s="1082"/>
      <c r="N12" s="1100"/>
      <c r="O12" s="1100"/>
      <c r="P12" s="1078"/>
      <c r="Q12" s="1078"/>
      <c r="R12" s="1078"/>
      <c r="S12" s="1078"/>
      <c r="T12" s="1101"/>
      <c r="U12" s="1101"/>
      <c r="V12" s="1082"/>
      <c r="W12" s="1102"/>
      <c r="X12" s="1102"/>
      <c r="Y12" s="1069"/>
      <c r="Z12" s="1069"/>
      <c r="AA12" s="1069"/>
      <c r="AB12" s="1069"/>
      <c r="AC12" s="1103"/>
      <c r="AD12" s="1104"/>
      <c r="AE12" s="1075"/>
      <c r="AF12" s="1125"/>
      <c r="AG12" s="1126"/>
      <c r="AH12" s="1126"/>
      <c r="AI12" s="1126"/>
      <c r="AJ12" s="1126"/>
      <c r="AK12" s="1107"/>
      <c r="AL12" s="1125"/>
      <c r="AM12" s="1126"/>
      <c r="AN12" s="1126"/>
      <c r="AO12" s="1126"/>
      <c r="AP12" s="1126"/>
      <c r="AQ12" s="1107"/>
      <c r="AR12" s="1110"/>
      <c r="AS12" s="1125"/>
      <c r="AT12" s="1126"/>
      <c r="AU12" s="1126"/>
      <c r="AV12" s="1126"/>
      <c r="AW12" s="1127"/>
      <c r="AX12" s="1128"/>
      <c r="AY12" s="1094"/>
      <c r="AZ12" s="1095" t="e">
        <f t="shared" si="2"/>
        <v>#REF!</v>
      </c>
      <c r="BA12" s="2"/>
    </row>
    <row r="13" spans="1:53" outlineLevel="1">
      <c r="A13" s="1027">
        <f t="shared" si="3"/>
        <v>1</v>
      </c>
      <c r="B13" s="1096"/>
      <c r="C13" s="1097" t="s">
        <v>12</v>
      </c>
      <c r="D13" s="1067">
        <f>Parametres!$D$10</f>
        <v>10000000</v>
      </c>
      <c r="E13" s="1068" t="e">
        <f>COUNTIFS(#REF!,"&gt;0",#REF!,"&gt;="&amp;B8,#REF!,"&lt;="&amp;EOMONTH(B8,0))</f>
        <v>#REF!</v>
      </c>
      <c r="F13" s="1069" t="e">
        <f>SUMIFS(#REF!,#REF!,"&lt;&gt;0",#REF!,"&gt;="&amp;B8,#REF!,"&lt;="&amp;EOMONTH(B8,0))</f>
        <v>#REF!</v>
      </c>
      <c r="G13" s="1098" t="e">
        <f t="shared" si="0"/>
        <v>#REF!</v>
      </c>
      <c r="H13" s="1113" t="e">
        <f ca="1">MINIFS(#REF!,#REF!,"&lt;&gt;0",#REF!,"&gt;="&amp;B8,#REF!,"&lt;="&amp;EOMONTH(B8,0))</f>
        <v>#NAME?</v>
      </c>
      <c r="I13" s="1078" t="e">
        <f ca="1">MAXIFS(#REF!,#REF!,"&lt;&gt;0",#REF!,"&gt;="&amp;B8,#REF!,"&lt;="&amp;EOMONTH(B8,0))</f>
        <v>#NAME?</v>
      </c>
      <c r="J13" s="1072" t="e">
        <f>COUNTIFS(#REF!,"&gt;="&amp;D13,#REF!,"&gt;="&amp;B8,#REF!,"&lt;="&amp;EOMONTH(B8,0))</f>
        <v>#REF!</v>
      </c>
      <c r="K13" s="1073" t="e">
        <f t="shared" si="1"/>
        <v>#REF!</v>
      </c>
      <c r="L13" s="1115"/>
      <c r="M13" s="1082"/>
      <c r="N13" s="1100"/>
      <c r="O13" s="1100"/>
      <c r="P13" s="1078"/>
      <c r="Q13" s="1078"/>
      <c r="R13" s="1078"/>
      <c r="S13" s="1078"/>
      <c r="T13" s="1101"/>
      <c r="U13" s="1101"/>
      <c r="V13" s="1082"/>
      <c r="W13" s="1129"/>
      <c r="X13" s="1129"/>
      <c r="Y13" s="1069"/>
      <c r="Z13" s="1069"/>
      <c r="AA13" s="1069"/>
      <c r="AB13" s="1069"/>
      <c r="AC13" s="1130"/>
      <c r="AD13" s="1131"/>
      <c r="AE13" s="1082"/>
      <c r="AF13" s="1105"/>
      <c r="AG13" s="1106"/>
      <c r="AH13" s="1106"/>
      <c r="AI13" s="1106"/>
      <c r="AJ13" s="1106"/>
      <c r="AK13" s="1132"/>
      <c r="AL13" s="1105"/>
      <c r="AM13" s="1106"/>
      <c r="AN13" s="1106"/>
      <c r="AO13" s="1106"/>
      <c r="AP13" s="1106"/>
      <c r="AQ13" s="1133"/>
      <c r="AR13" s="1134"/>
      <c r="AS13" s="1135"/>
      <c r="AT13" s="1106"/>
      <c r="AU13" s="1106"/>
      <c r="AV13" s="1106"/>
      <c r="AW13" s="1119"/>
      <c r="AX13" s="1120"/>
      <c r="AY13" s="1094"/>
      <c r="AZ13" s="1095" t="e">
        <f t="shared" si="2"/>
        <v>#REF!</v>
      </c>
      <c r="BA13" s="2"/>
    </row>
    <row r="14" spans="1:53" outlineLevel="1">
      <c r="A14" s="1027">
        <f t="shared" si="3"/>
        <v>1</v>
      </c>
      <c r="B14" s="1096"/>
      <c r="C14" s="1097" t="s">
        <v>19</v>
      </c>
      <c r="D14" s="1067">
        <f>Parametres!$D$11</f>
        <v>1.5</v>
      </c>
      <c r="E14" s="1068" t="e">
        <f>COUNTIFS(#REF!,"&gt;0",#REF!,"&gt;="&amp;B8,#REF!,"&lt;="&amp;EOMONTH(B8,0))</f>
        <v>#REF!</v>
      </c>
      <c r="F14" s="1069" t="e">
        <f>SUMIFS(#REF!,#REF!,"&lt;&gt;0",#REF!,"&gt;="&amp;B8,#REF!,"&lt;="&amp;EOMONTH(B8,0))</f>
        <v>#REF!</v>
      </c>
      <c r="G14" s="1098" t="e">
        <f t="shared" si="0"/>
        <v>#REF!</v>
      </c>
      <c r="H14" s="1113" t="e">
        <f ca="1">MINIFS(#REF!,#REF!,"&lt;&gt;0",#REF!,"&gt;="&amp;B8,#REF!,"&lt;="&amp;EOMONTH(B8,0))</f>
        <v>#NAME?</v>
      </c>
      <c r="I14" s="1078" t="e">
        <f ca="1">MAXIFS(#REF!,#REF!,"&lt;&gt;0",#REF!,"&gt;="&amp;B8,#REF!,"&lt;="&amp;EOMONTH(B8,0))</f>
        <v>#NAME?</v>
      </c>
      <c r="J14" s="1072" t="e">
        <f>COUNTIFS(#REF!,"&gt;="&amp;D14,#REF!,"&gt;="&amp;B8,#REF!,"&lt;="&amp;EOMONTH(B8,0))</f>
        <v>#REF!</v>
      </c>
      <c r="K14" s="1073" t="e">
        <f t="shared" si="1"/>
        <v>#REF!</v>
      </c>
      <c r="L14" s="1115"/>
      <c r="M14" s="1082"/>
      <c r="N14" s="1100"/>
      <c r="O14" s="1100"/>
      <c r="P14" s="1078"/>
      <c r="Q14" s="1078"/>
      <c r="R14" s="1078"/>
      <c r="S14" s="1078"/>
      <c r="T14" s="1101"/>
      <c r="U14" s="1101"/>
      <c r="V14" s="1082"/>
      <c r="W14" s="1129"/>
      <c r="X14" s="1129"/>
      <c r="Y14" s="1069"/>
      <c r="Z14" s="1069"/>
      <c r="AA14" s="1069"/>
      <c r="AB14" s="1069"/>
      <c r="AC14" s="1130"/>
      <c r="AD14" s="1131"/>
      <c r="AE14" s="1082"/>
      <c r="AF14" s="1105"/>
      <c r="AG14" s="1106"/>
      <c r="AH14" s="1106"/>
      <c r="AI14" s="1106"/>
      <c r="AJ14" s="1106"/>
      <c r="AK14" s="1082"/>
      <c r="AL14" s="1136"/>
      <c r="AM14" s="1137"/>
      <c r="AN14" s="1137"/>
      <c r="AO14" s="1137"/>
      <c r="AP14" s="1137"/>
      <c r="AQ14" s="1082"/>
      <c r="AR14" s="1118"/>
      <c r="AS14" s="1105"/>
      <c r="AT14" s="1106"/>
      <c r="AU14" s="1106"/>
      <c r="AV14" s="1106"/>
      <c r="AW14" s="1138"/>
      <c r="AX14" s="1120"/>
      <c r="AY14" s="1094"/>
      <c r="AZ14" s="1095" t="e">
        <f t="shared" si="2"/>
        <v>#REF!</v>
      </c>
      <c r="BA14" s="2"/>
    </row>
    <row r="15" spans="1:53" outlineLevel="1">
      <c r="A15" s="1027">
        <f t="shared" si="3"/>
        <v>1</v>
      </c>
      <c r="B15" s="1096"/>
      <c r="C15" s="1139" t="s">
        <v>42</v>
      </c>
      <c r="D15" s="1122">
        <f>Parametres!$D$12</f>
        <v>0.1</v>
      </c>
      <c r="E15" s="1068" t="e">
        <f>COUNTIFS(#REF!,"&gt;0",#REF!,"&gt;="&amp;B8,#REF!,"&lt;="&amp;EOMONTH(B8,0))</f>
        <v>#REF!</v>
      </c>
      <c r="F15" s="1069" t="e">
        <f>SUMIFS(#REF!,#REF!,"&lt;&gt;0",#REF!,"&gt;="&amp;B8,#REF!,"&lt;="&amp;EOMONTH(B8,0))</f>
        <v>#REF!</v>
      </c>
      <c r="G15" s="1098" t="e">
        <f t="shared" si="0"/>
        <v>#REF!</v>
      </c>
      <c r="H15" s="1113" t="e">
        <f ca="1">MINIFS(#REF!,#REF!,"&lt;&gt;0",#REF!,"&gt;="&amp;B8,#REF!,"&lt;="&amp;EOMONTH(B8,0))</f>
        <v>#NAME?</v>
      </c>
      <c r="I15" s="1078" t="e">
        <f ca="1">MAXIFS(#REF!,#REF!,"&lt;&gt;0",#REF!,"&gt;="&amp;B8,#REF!,"&lt;="&amp;EOMONTH(B8,0))</f>
        <v>#NAME?</v>
      </c>
      <c r="J15" s="1114" t="e">
        <f>COUNTIFS(#REF!,"&gt;="&amp;D15,#REF!,"&gt;="&amp;B8,#REF!,"&lt;="&amp;EOMONTH(B8,0))</f>
        <v>#REF!</v>
      </c>
      <c r="K15" s="1073" t="e">
        <f t="shared" si="1"/>
        <v>#REF!</v>
      </c>
      <c r="L15" s="1115"/>
      <c r="M15" s="1082"/>
      <c r="N15" s="1076">
        <f>Parametres!$L$12</f>
        <v>100000</v>
      </c>
      <c r="O15" s="1077">
        <f>COUNTIFS('Degrémont Entrée'!$AG$14:$AG$379,"&gt;0",'Degrémont Entrée'!$A$14:$A$379,"&gt;="&amp;B8,'Degrémont Entrée'!$A$14:$A$379,"&lt;="&amp;EOMONTH(B8,0))</f>
        <v>28</v>
      </c>
      <c r="P15" s="1078">
        <f>SUMIFS('Degrémont Entrée'!$AG$14:$AG$379,'Degrémont Entrée'!$AG$14:$AG$379,"&lt;&gt;0",'Degrémont Entrée'!$A$14:$A$379,"&gt;="&amp;B8,'Degrémont Entrée'!$A$14:$A$379,"&lt;="&amp;EOMONTH(B8,0))</f>
        <v>0.28000000000000008</v>
      </c>
      <c r="Q15" s="1078">
        <f>IF(O15=0,0,P15/O15)</f>
        <v>1.0000000000000004E-2</v>
      </c>
      <c r="R15" s="1078" t="e">
        <f ca="1">MINIFS('Degrémont Entrée'!$AG$14:$AG$379,'Degrémont Entrée'!$AG$14:$AG$379,"&lt;&gt;0",'Degrémont Entrée'!$A$14:$A$379,"&gt;="&amp;B8,'Degrémont Entrée'!$A$14:$A$379,"&lt;="&amp;EOMONTH(B8,0))</f>
        <v>#NAME?</v>
      </c>
      <c r="S15" s="1078" t="e">
        <f ca="1">MAXIFS('Degrémont Entrée'!$AG$14:$AG$379,'Degrémont Entrée'!$AG$14:$AG$379,"&lt;&gt;0",'Degrémont Entrée'!$A$14:$A$379,"&gt;="&amp;B8,'Degrémont Entrée'!$A$14:$A$379,"&lt;="&amp;EOMONTH(B8,0))</f>
        <v>#NAME?</v>
      </c>
      <c r="T15" s="1140" t="s">
        <v>153</v>
      </c>
      <c r="U15" s="1140" t="s">
        <v>153</v>
      </c>
      <c r="V15" s="1082"/>
      <c r="W15" s="1083">
        <f>Parametres!$T$12</f>
        <v>0.1</v>
      </c>
      <c r="X15" s="1142">
        <f>COUNTIFS('Degrémont sortie'!$AA$14:$AA$379,"&gt;0",'Degrémont sortie'!$A$14:$A$379,"&gt;="&amp;B8,'Degrémont sortie'!$A$14:$A$379,"&lt;="&amp;EOMONTH(B8,0))</f>
        <v>28</v>
      </c>
      <c r="Y15" s="1085">
        <f>SUMIFS('Degrémont sortie'!$AA$14:$AA$379,'Degrémont sortie'!$AA$14:$AA$379,"&lt;&gt;0",'Degrémont sortie'!$A$14:$A$379,"&gt;="&amp;B8,'Degrémont sortie'!$A$14:$A$379,"&lt;="&amp;EOMONTH(B8,0))</f>
        <v>0.28000000000000008</v>
      </c>
      <c r="Z15" s="1069">
        <f t="shared" ref="Z15:Z17" si="4">IF(X15=0,0,Y15/X15)</f>
        <v>1.0000000000000004E-2</v>
      </c>
      <c r="AA15" s="1069" t="e">
        <f ca="1">MINIFS('Degrémont sortie'!$AA$14:$AA$379,'Degrémont sortie'!$AA$14:$AA$379,"&lt;&gt;0",'Degrémont sortie'!$A$14:$A$379,"&gt;="&amp;B8,'Degrémont sortie'!$A$14:$A$379,"&lt;="&amp;EOMONTH(B8,0))</f>
        <v>#NAME?</v>
      </c>
      <c r="AB15" s="1069" t="e">
        <f ca="1">MAXIFS('Degrémont sortie'!$AA$14:$AA$379,'Degrémont sortie'!$AA$14:$AA$379,"&lt;&gt;0",'Degrémont sortie'!$A$14:$A$379,"&gt;="&amp;B8,'Degrémont sortie'!$A$14:$A$379,"&lt;="&amp;EOMONTH(B8,0))</f>
        <v>#NAME?</v>
      </c>
      <c r="AC15" s="1142">
        <f>COUNTIFS('Degrémont sortie'!$AA$14:$AA$379,"&gt;="&amp;W15,'Degrémont sortie'!$A$14:$A$379,"&gt;="&amp;B8,'Degrémont sortie'!$A$14:$A$379,"&lt;="&amp;EOMONTH(B8,0))</f>
        <v>0</v>
      </c>
      <c r="AD15" s="1087">
        <f t="shared" ref="AD15:AD17" si="5">AC15/X15</f>
        <v>0</v>
      </c>
      <c r="AE15" s="1082"/>
      <c r="AF15" s="1105"/>
      <c r="AG15" s="1106"/>
      <c r="AH15" s="1106"/>
      <c r="AI15" s="1106"/>
      <c r="AJ15" s="1106"/>
      <c r="AK15" s="1082"/>
      <c r="AL15" s="1116"/>
      <c r="AM15" s="1117"/>
      <c r="AN15" s="1117"/>
      <c r="AO15" s="1117"/>
      <c r="AP15" s="1117"/>
      <c r="AQ15" s="1082"/>
      <c r="AR15" s="1118"/>
      <c r="AS15" s="1105"/>
      <c r="AT15" s="1106"/>
      <c r="AU15" s="1106"/>
      <c r="AV15" s="1106"/>
      <c r="AW15" s="1119"/>
      <c r="AX15" s="1120"/>
      <c r="AY15" s="1094"/>
      <c r="AZ15" s="1095" t="e">
        <f t="shared" si="2"/>
        <v>#REF!</v>
      </c>
      <c r="BA15" s="2"/>
    </row>
    <row r="16" spans="1:53" outlineLevel="1">
      <c r="A16" s="1027">
        <f t="shared" si="3"/>
        <v>1</v>
      </c>
      <c r="B16" s="1096"/>
      <c r="C16" s="1139" t="s">
        <v>286</v>
      </c>
      <c r="D16" s="1122">
        <f>Parametres!$D$13</f>
        <v>0.5</v>
      </c>
      <c r="E16" s="1068" t="e">
        <f>COUNTIFS(#REF!,"&gt;0",#REF!,"&gt;="&amp;B8,#REF!,"&lt;="&amp;EOMONTH(B8,0))</f>
        <v>#REF!</v>
      </c>
      <c r="F16" s="1069" t="e">
        <f>SUMIFS(#REF!,#REF!,"&lt;&gt;0",#REF!,"&gt;="&amp;B8,#REF!,"&lt;="&amp;EOMONTH(B8,0))</f>
        <v>#REF!</v>
      </c>
      <c r="G16" s="1098" t="e">
        <f t="shared" si="0"/>
        <v>#REF!</v>
      </c>
      <c r="H16" s="1113" t="e">
        <f ca="1">MINIFS(#REF!,#REF!,"&lt;&gt;0",#REF!,"&gt;="&amp;B8,#REF!,"&lt;="&amp;EOMONTH(B8,0))</f>
        <v>#NAME?</v>
      </c>
      <c r="I16" s="1078" t="e">
        <f ca="1">MAXIFS(#REF!,#REF!,"&lt;&gt;0",#REF!,"&gt;="&amp;B8,#REF!,"&lt;="&amp;EOMONTH(B8,0))</f>
        <v>#NAME?</v>
      </c>
      <c r="J16" s="1114" t="e">
        <f>COUNTIFS(#REF!,"&gt;="&amp;D16,#REF!,"&gt;="&amp;B8,#REF!,"&lt;="&amp;EOMONTH(B8,0))</f>
        <v>#REF!</v>
      </c>
      <c r="K16" s="1073" t="e">
        <f t="shared" si="1"/>
        <v>#REF!</v>
      </c>
      <c r="L16" s="1115"/>
      <c r="M16" s="1082"/>
      <c r="N16" s="1129"/>
      <c r="O16" s="1129"/>
      <c r="P16" s="1069"/>
      <c r="Q16" s="1069"/>
      <c r="R16" s="1069"/>
      <c r="S16" s="1069"/>
      <c r="T16" s="1143"/>
      <c r="U16" s="1143"/>
      <c r="V16" s="1132"/>
      <c r="W16" s="1083">
        <f>Parametres!$T$13</f>
        <v>0.08</v>
      </c>
      <c r="X16" s="1142">
        <f>COUNTIFS('Degrémont sortie'!$AD$14:$AD$379,"&gt;0",'Degrémont sortie'!$A$14:$A$379,"&gt;="&amp;B8,'Degrémont sortie'!$A$14:$A$379,"&lt;="&amp;EOMONTH(B8,0))</f>
        <v>0</v>
      </c>
      <c r="Y16" s="1085">
        <f>SUMIFS('Degrémont sortie'!$AD$14:$AD$379,'Degrémont sortie'!$AD$14:$AD$379,"&lt;&gt;0",'Degrémont sortie'!$A$14:$A$379,"&gt;="&amp;B8,'Degrémont sortie'!$A$14:$A$379,"&lt;="&amp;EOMONTH(B8,0))</f>
        <v>0</v>
      </c>
      <c r="Z16" s="1069">
        <f t="shared" si="4"/>
        <v>0</v>
      </c>
      <c r="AA16" s="1069" t="e">
        <f ca="1">MINIFS('Degrémont sortie'!$AD$14:$AD$379,'Degrémont sortie'!$AD$14:$AD$379,"&lt;&gt;0",'Degrémont sortie'!$A$14:$A$379,"&gt;="&amp;B8,'Degrémont sortie'!$A$14:$A$379,"&lt;="&amp;EOMONTH(B8,0))</f>
        <v>#NAME?</v>
      </c>
      <c r="AB16" s="1069" t="e">
        <f ca="1">MAXIFS('Degrémont sortie'!$AD$14:$AD$379,'Degrémont sortie'!$AD$14:$AD$379,"&lt;&gt;0",'Degrémont sortie'!$A$14:$A$379,"&gt;="&amp;B8,'Degrémont sortie'!$A$14:$A$379,"&lt;="&amp;EOMONTH(B8,0))</f>
        <v>#NAME?</v>
      </c>
      <c r="AC16" s="1142">
        <f>COUNTIFS('Degrémont sortie'!$AD$14:$AD$379,"&gt;="&amp;W16,'Degrémont sortie'!$A$14:$A$379,"&gt;="&amp;B8,'Degrémont sortie'!$A$14:$A$379,"&lt;="&amp;EOMONTH(B8,0))</f>
        <v>0</v>
      </c>
      <c r="AD16" s="1087" t="e">
        <f t="shared" si="5"/>
        <v>#DIV/0!</v>
      </c>
      <c r="AE16" s="1132"/>
      <c r="AF16" s="1105"/>
      <c r="AG16" s="1106"/>
      <c r="AH16" s="1106"/>
      <c r="AI16" s="1106"/>
      <c r="AJ16" s="1106"/>
      <c r="AK16" s="1132"/>
      <c r="AL16" s="1105"/>
      <c r="AM16" s="1106"/>
      <c r="AN16" s="1106"/>
      <c r="AO16" s="1106"/>
      <c r="AP16" s="1106"/>
      <c r="AQ16" s="1133"/>
      <c r="AR16" s="1134"/>
      <c r="AS16" s="1135"/>
      <c r="AT16" s="1106"/>
      <c r="AU16" s="1106"/>
      <c r="AV16" s="1106"/>
      <c r="AW16" s="1119"/>
      <c r="AX16" s="1120"/>
      <c r="AY16" s="1094"/>
      <c r="AZ16" s="1095" t="e">
        <f t="shared" si="2"/>
        <v>#REF!</v>
      </c>
      <c r="BA16" s="2"/>
    </row>
    <row r="17" spans="1:53" ht="15" customHeight="1" outlineLevel="1">
      <c r="A17" s="1027">
        <f t="shared" si="3"/>
        <v>1</v>
      </c>
      <c r="B17" s="1096"/>
      <c r="C17" s="1139" t="s">
        <v>45</v>
      </c>
      <c r="D17" s="1122">
        <f>Parametres!$D$14</f>
        <v>0.5</v>
      </c>
      <c r="E17" s="1068" t="e">
        <f>COUNTIFS(#REF!,"&gt;0",#REF!,"&gt;="&amp;B8,#REF!,"&lt;="&amp;EOMONTH(B8,0))</f>
        <v>#REF!</v>
      </c>
      <c r="F17" s="1069" t="e">
        <f>SUMIFS(#REF!,#REF!,"&lt;&gt;0",#REF!,"&gt;="&amp;B8,#REF!,"&lt;="&amp;EOMONTH(B8,0))</f>
        <v>#REF!</v>
      </c>
      <c r="G17" s="1098" t="e">
        <f t="shared" si="0"/>
        <v>#REF!</v>
      </c>
      <c r="H17" s="1070" t="e">
        <f ca="1">MINIFS(#REF!,#REF!,"&lt;&gt;0",#REF!,"&gt;="&amp;B8,#REF!,"&lt;="&amp;EOMONTH(B8,0))</f>
        <v>#NAME?</v>
      </c>
      <c r="I17" s="1078" t="e">
        <f ca="1">MAXIFS(#REF!,#REF!,"&lt;&gt;0",#REF!,"&gt;="&amp;B8,#REF!,"&lt;="&amp;EOMONTH(B8,0))</f>
        <v>#NAME?</v>
      </c>
      <c r="J17" s="1114" t="e">
        <f>COUNTIFS(#REF!,"&gt;="&amp;D17,#REF!,"&gt;="&amp;B8,#REF!,"&lt;="&amp;EOMONTH(B8,0))</f>
        <v>#REF!</v>
      </c>
      <c r="K17" s="1073" t="e">
        <f t="shared" si="1"/>
        <v>#REF!</v>
      </c>
      <c r="L17" s="1115"/>
      <c r="M17" s="1082"/>
      <c r="N17" s="1144">
        <f>Parametres!$L$14</f>
        <v>3</v>
      </c>
      <c r="O17" s="1077">
        <f>COUNTIFS('Degrémont Entrée'!$AS$14:$AS$379,"&gt;0",'Degrémont Entrée'!$A$14:$A$379,"&gt;="&amp;B8,'Degrémont Entrée'!$A$14:$A$379,"&lt;="&amp;EOMONTH(B8,0))</f>
        <v>4</v>
      </c>
      <c r="P17" s="1078">
        <f>SUMIFS('Degrémont Entrée'!$AS$14:$AS$379,'Degrémont Entrée'!$AS$14:$AS$379,"&lt;&gt;0",'Degrémont Entrée'!$A$14:$A$379,"&gt;="&amp;B8,'Degrémont Entrée'!$A$14:$A$379,"&lt;="&amp;EOMONTH(B8,0))</f>
        <v>5.34</v>
      </c>
      <c r="Q17" s="1078">
        <f>IF(O17=0,0,P17/O17)</f>
        <v>1.335</v>
      </c>
      <c r="R17" s="1069" t="e">
        <f ca="1">MINIFS('Degrémont Entrée'!$AS$14:$AS$379,'Degrémont Entrée'!$AS$14:$AS$379,"&lt;&gt;0",'Degrémont Entrée'!$A$14:$A$379,"&gt;="&amp;B8,'Degrémont Entrée'!$A$14:$A$379,"&lt;="&amp;EOMONTH(B8,0))</f>
        <v>#NAME?</v>
      </c>
      <c r="S17" s="1069" t="e">
        <f ca="1">MAXIFS('Degrémont Entrée'!$AS$14:$AS$379,'Degrémont Entrée'!$AS$14:$AS$379,"&lt;&gt;0",'Degrémont Entrée'!$A$14:$A$379,"&gt;="&amp;B8,'Degrémont Entrée'!$A$14:$A$379,"&lt;="&amp;EOMONTH(B8,0))</f>
        <v>#NAME?</v>
      </c>
      <c r="T17" s="1145">
        <f>COUNTIFS('Degrémont Entrée'!$AS$14:$AS$379,"&gt;="&amp;N17,'Degrémont Entrée'!$A$14:$A$379,"&gt;="&amp;B8,'Degrémont Entrée'!$A$14:$A$379,"&lt;="&amp;EOMONTH(B8,0))</f>
        <v>0</v>
      </c>
      <c r="U17" s="1081">
        <f>T17/O17</f>
        <v>0</v>
      </c>
      <c r="V17" s="1132"/>
      <c r="W17" s="1083">
        <f>Parametres!$T$14</f>
        <v>0.12</v>
      </c>
      <c r="X17" s="1142">
        <f>COUNTIFS('Degrémont sortie'!$AM$14:$AM$379,"&gt;0",'Degrémont sortie'!$A$14:$A$379,"&gt;="&amp;B8,'Degrémont sortie'!$A$14:$A$379,"&lt;="&amp;EOMONTH(B8,0))</f>
        <v>4</v>
      </c>
      <c r="Y17" s="1085">
        <f>SUMIFS('Degrémont sortie'!$AM$14:$AM$379,'Degrémont sortie'!$AM$14:$AM$379,"&lt;&gt;0",'Degrémont sortie'!$A$14:$A$379,"&gt;="&amp;B8,'Degrémont sortie'!$A$14:$A$379,"&lt;="&amp;EOMONTH(B8,0))</f>
        <v>0.12</v>
      </c>
      <c r="Z17" s="1069">
        <f t="shared" si="4"/>
        <v>0.03</v>
      </c>
      <c r="AA17" s="1069" t="e">
        <f ca="1">MINIFS('Degrémont sortie'!$AM$14:$AM$379,'Degrémont sortie'!$AM$14:$AM$379,"&lt;&gt;0",'Degrémont sortie'!$A$14:$A$379,"&gt;="&amp;B8,'Degrémont sortie'!$A$14:$A$379,"&lt;="&amp;EOMONTH(B8,0))</f>
        <v>#NAME?</v>
      </c>
      <c r="AB17" s="1069" t="e">
        <f ca="1">MAXIFS('Degrémont sortie'!$AM$14:$AM$379,'Degrémont sortie'!$AM$14:$AM$379,"&lt;&gt;0",'Degrémont sortie'!$A$14:$A$379,"&gt;="&amp;B8,'Degrémont sortie'!$A$14:$A$379,"&lt;="&amp;EOMONTH(B8,0))</f>
        <v>#NAME?</v>
      </c>
      <c r="AC17" s="1142">
        <f>COUNTIFS('Degrémont sortie'!$AM$14:$AM$379,"&gt;="&amp;W17,'Degrémont sortie'!$A$14:$A$379,"&gt;="&amp;B8,'Degrémont sortie'!$A$14:$A$379,"&lt;="&amp;EOMONTH(B8,0))</f>
        <v>0</v>
      </c>
      <c r="AD17" s="1087">
        <f t="shared" si="5"/>
        <v>0</v>
      </c>
      <c r="AE17" s="1132"/>
      <c r="AF17" s="1105"/>
      <c r="AG17" s="1106"/>
      <c r="AH17" s="1106"/>
      <c r="AI17" s="1106"/>
      <c r="AJ17" s="1106"/>
      <c r="AK17" s="1132"/>
      <c r="AL17" s="1105"/>
      <c r="AM17" s="1106"/>
      <c r="AN17" s="1106"/>
      <c r="AO17" s="1106"/>
      <c r="AP17" s="1106"/>
      <c r="AQ17" s="1132"/>
      <c r="AR17" s="1148"/>
      <c r="AS17" s="1105"/>
      <c r="AT17" s="1106"/>
      <c r="AU17" s="1106"/>
      <c r="AV17" s="1106"/>
      <c r="AW17" s="1138"/>
      <c r="AX17" s="1120"/>
      <c r="AY17" s="1094"/>
      <c r="AZ17" s="1095" t="e">
        <f t="shared" si="2"/>
        <v>#REF!</v>
      </c>
      <c r="BA17" s="2"/>
    </row>
    <row r="18" spans="1:53" ht="15" customHeight="1" outlineLevel="1">
      <c r="A18" s="1027">
        <f t="shared" si="3"/>
        <v>1</v>
      </c>
      <c r="B18" s="1096"/>
      <c r="C18" s="1121" t="s">
        <v>20</v>
      </c>
      <c r="D18" s="1122">
        <f>Parametres!$D$15</f>
        <v>0.1</v>
      </c>
      <c r="E18" s="1068" t="e">
        <f>COUNTIFS(#REF!,"&gt;0",#REF!,"&gt;="&amp;B8,#REF!,"&lt;="&amp;EOMONTH(B8,0))</f>
        <v>#REF!</v>
      </c>
      <c r="F18" s="1069" t="e">
        <f>SUMIFS(#REF!,#REF!,"&lt;&gt;0",#REF!,"&gt;="&amp;B8,#REF!,"&lt;="&amp;EOMONTH(B8,0))</f>
        <v>#REF!</v>
      </c>
      <c r="G18" s="1098" t="e">
        <f t="shared" si="0"/>
        <v>#REF!</v>
      </c>
      <c r="H18" s="1070" t="e">
        <f ca="1">MINIFS(#REF!,#REF!,"&lt;&gt;0",#REF!,"&gt;="&amp;B8,#REF!,"&lt;="&amp;EOMONTH(B8,0))</f>
        <v>#NAME?</v>
      </c>
      <c r="I18" s="1078" t="e">
        <f ca="1">MAXIFS(#REF!,#REF!,"&lt;&gt;0",#REF!,"&gt;="&amp;B8,#REF!,"&lt;="&amp;EOMONTH(B8,0))</f>
        <v>#NAME?</v>
      </c>
      <c r="J18" s="1072" t="e">
        <f>COUNTIFS(#REF!,"&gt;="&amp;D18,#REF!,"&gt;="&amp;B8,#REF!,"&lt;="&amp;EOMONTH(B8,0))</f>
        <v>#REF!</v>
      </c>
      <c r="K18" s="1073" t="e">
        <f t="shared" si="1"/>
        <v>#REF!</v>
      </c>
      <c r="L18" s="1115"/>
      <c r="M18" s="1082"/>
      <c r="N18" s="1129"/>
      <c r="O18" s="1129"/>
      <c r="P18" s="1069"/>
      <c r="Q18" s="1069"/>
      <c r="R18" s="1069"/>
      <c r="S18" s="1069"/>
      <c r="T18" s="1143"/>
      <c r="U18" s="1143"/>
      <c r="V18" s="1132"/>
      <c r="W18" s="1129"/>
      <c r="X18" s="1129"/>
      <c r="Y18" s="1069"/>
      <c r="Z18" s="1069"/>
      <c r="AA18" s="1069"/>
      <c r="AB18" s="1069"/>
      <c r="AC18" s="1130"/>
      <c r="AD18" s="1131"/>
      <c r="AE18" s="1132"/>
      <c r="AF18" s="1105"/>
      <c r="AG18" s="1106"/>
      <c r="AH18" s="1106"/>
      <c r="AI18" s="1106"/>
      <c r="AJ18" s="1106"/>
      <c r="AK18" s="1132"/>
      <c r="AL18" s="1105"/>
      <c r="AM18" s="1106"/>
      <c r="AN18" s="1106"/>
      <c r="AO18" s="1106"/>
      <c r="AP18" s="1106"/>
      <c r="AQ18" s="1132"/>
      <c r="AR18" s="1148"/>
      <c r="AS18" s="1105"/>
      <c r="AT18" s="1106"/>
      <c r="AU18" s="1106"/>
      <c r="AV18" s="1106"/>
      <c r="AW18" s="1119"/>
      <c r="AX18" s="1120"/>
      <c r="AY18" s="1094"/>
      <c r="AZ18" s="1095" t="e">
        <f t="shared" si="2"/>
        <v>#REF!</v>
      </c>
      <c r="BA18" s="2"/>
    </row>
    <row r="19" spans="1:53" ht="15" customHeight="1" outlineLevel="1">
      <c r="A19" s="1027">
        <f t="shared" si="3"/>
        <v>1</v>
      </c>
      <c r="B19" s="1096"/>
      <c r="C19" s="1121" t="s">
        <v>14</v>
      </c>
      <c r="D19" s="1122">
        <f>Parametres!$D$16</f>
        <v>10000000</v>
      </c>
      <c r="E19" s="1068" t="e">
        <f>COUNTIFS(#REF!,"&gt;0",#REF!,"&gt;="&amp;B8,#REF!,"&lt;="&amp;EOMONTH(B8,0))</f>
        <v>#REF!</v>
      </c>
      <c r="F19" s="1069" t="e">
        <f>SUMIFS(#REF!,#REF!,"&lt;&gt;0",#REF!,"&gt;="&amp;B8,#REF!,"&lt;="&amp;EOMONTH(B8,0))</f>
        <v>#REF!</v>
      </c>
      <c r="G19" s="1098" t="e">
        <f t="shared" si="0"/>
        <v>#REF!</v>
      </c>
      <c r="H19" s="1070" t="e">
        <f ca="1">MINIFS(#REF!,#REF!,"&lt;&gt;0",#REF!,"&gt;="&amp;B8,#REF!,"&lt;="&amp;EOMONTH(B8,0))</f>
        <v>#NAME?</v>
      </c>
      <c r="I19" s="1078" t="e">
        <f ca="1">MAXIFS(#REF!,#REF!,"&lt;&gt;0",#REF!,"&gt;="&amp;B8,#REF!,"&lt;="&amp;EOMONTH(B8,0))</f>
        <v>#NAME?</v>
      </c>
      <c r="J19" s="1072" t="e">
        <f>COUNTIFS(#REF!,"&gt;="&amp;D19,#REF!,"&gt;="&amp;B8,#REF!,"&lt;="&amp;EOMONTH(B8,0))</f>
        <v>#REF!</v>
      </c>
      <c r="K19" s="1073" t="e">
        <f t="shared" si="1"/>
        <v>#REF!</v>
      </c>
      <c r="L19" s="1115"/>
      <c r="M19" s="1082"/>
      <c r="N19" s="1129"/>
      <c r="O19" s="1129"/>
      <c r="P19" s="1069"/>
      <c r="Q19" s="1069"/>
      <c r="R19" s="1069"/>
      <c r="S19" s="1069"/>
      <c r="T19" s="1143"/>
      <c r="U19" s="1143"/>
      <c r="V19" s="1132"/>
      <c r="W19" s="1129"/>
      <c r="X19" s="1129"/>
      <c r="Y19" s="1069"/>
      <c r="Z19" s="1069"/>
      <c r="AA19" s="1069"/>
      <c r="AB19" s="1069"/>
      <c r="AC19" s="1130"/>
      <c r="AD19" s="1131"/>
      <c r="AE19" s="1132"/>
      <c r="AF19" s="1105"/>
      <c r="AG19" s="1106"/>
      <c r="AH19" s="1106"/>
      <c r="AI19" s="1106"/>
      <c r="AJ19" s="1106"/>
      <c r="AK19" s="1082"/>
      <c r="AL19" s="1136"/>
      <c r="AM19" s="1137"/>
      <c r="AN19" s="1137"/>
      <c r="AO19" s="1137"/>
      <c r="AP19" s="1137"/>
      <c r="AQ19" s="1082"/>
      <c r="AR19" s="1118"/>
      <c r="AS19" s="1105"/>
      <c r="AT19" s="1106"/>
      <c r="AU19" s="1106"/>
      <c r="AV19" s="1106"/>
      <c r="AW19" s="1138"/>
      <c r="AX19" s="1120"/>
      <c r="AY19" s="1094"/>
      <c r="AZ19" s="1095" t="e">
        <f t="shared" si="2"/>
        <v>#REF!</v>
      </c>
      <c r="BA19" s="2"/>
    </row>
    <row r="20" spans="1:53" ht="15" customHeight="1" outlineLevel="1">
      <c r="A20" s="1027">
        <f t="shared" si="3"/>
        <v>1</v>
      </c>
      <c r="B20" s="1096"/>
      <c r="C20" s="1139" t="s">
        <v>284</v>
      </c>
      <c r="D20" s="1122">
        <f>Parametres!$D$17</f>
        <v>450</v>
      </c>
      <c r="E20" s="1068" t="e">
        <f>COUNTIFS(#REF!,"&gt;0",#REF!,"&gt;="&amp;B8,#REF!,"&lt;="&amp;EOMONTH(B8,0))</f>
        <v>#REF!</v>
      </c>
      <c r="F20" s="1069" t="e">
        <f>SUMIFS(#REF!,#REF!,"&lt;&gt;0",#REF!,"&gt;="&amp;B8,#REF!,"&lt;="&amp;EOMONTH(B8,0))</f>
        <v>#REF!</v>
      </c>
      <c r="G20" s="1069" t="e">
        <f t="shared" si="0"/>
        <v>#REF!</v>
      </c>
      <c r="H20" s="1070" t="e">
        <f ca="1">MINIFS(#REF!,#REF!,"&lt;&gt;0",#REF!,"&gt;="&amp;B8,#REF!,"&lt;="&amp;EOMONTH(B8,0))</f>
        <v>#NAME?</v>
      </c>
      <c r="I20" s="1078" t="e">
        <f ca="1">MAXIFS(#REF!,#REF!,"&lt;&gt;0",#REF!,"&gt;="&amp;B8,#REF!,"&lt;="&amp;EOMONTH(B8,0))</f>
        <v>#NAME?</v>
      </c>
      <c r="J20" s="1114" t="e">
        <f>COUNTIFS(#REF!,"&gt;="&amp;D20,#REF!,"&gt;="&amp;B8,#REF!,"&lt;="&amp;EOMONTH(B8,0))</f>
        <v>#REF!</v>
      </c>
      <c r="K20" s="1073" t="e">
        <f t="shared" si="1"/>
        <v>#REF!</v>
      </c>
      <c r="L20" s="1115"/>
      <c r="M20" s="1082"/>
      <c r="N20" s="1171"/>
      <c r="O20" s="1171"/>
      <c r="P20" s="1173"/>
      <c r="Q20" s="1173"/>
      <c r="R20" s="1173"/>
      <c r="S20" s="1173"/>
      <c r="T20" s="1175"/>
      <c r="U20" s="1175"/>
      <c r="V20" s="1177"/>
      <c r="W20" s="1129"/>
      <c r="X20" s="1129"/>
      <c r="Y20" s="1069"/>
      <c r="Z20" s="1069"/>
      <c r="AA20" s="1069"/>
      <c r="AB20" s="1069"/>
      <c r="AC20" s="1130"/>
      <c r="AD20" s="1131"/>
      <c r="AE20" s="1082"/>
      <c r="AF20" s="1105"/>
      <c r="AG20" s="1106"/>
      <c r="AH20" s="1106"/>
      <c r="AI20" s="1106"/>
      <c r="AJ20" s="1106"/>
      <c r="AK20" s="1132"/>
      <c r="AL20" s="1105"/>
      <c r="AM20" s="1106"/>
      <c r="AN20" s="1106"/>
      <c r="AO20" s="1106"/>
      <c r="AP20" s="1119"/>
      <c r="AQ20" s="1132"/>
      <c r="AR20" s="1148"/>
      <c r="AS20" s="1105"/>
      <c r="AT20" s="1106"/>
      <c r="AU20" s="1106"/>
      <c r="AV20" s="1106"/>
      <c r="AW20" s="1119"/>
      <c r="AX20" s="1120"/>
      <c r="AY20" s="1094"/>
      <c r="AZ20" s="1095" t="e">
        <f t="shared" si="2"/>
        <v>#REF!</v>
      </c>
      <c r="BA20" s="2"/>
    </row>
    <row r="21" spans="1:53" ht="15" customHeight="1" outlineLevel="1">
      <c r="A21" s="1027">
        <f t="shared" si="3"/>
        <v>1</v>
      </c>
      <c r="B21" s="1096"/>
      <c r="C21" s="1182" t="s">
        <v>35</v>
      </c>
      <c r="D21" s="1122">
        <f>Parametres!$D$18</f>
        <v>1750</v>
      </c>
      <c r="E21" s="1068" t="e">
        <f>COUNTIFS(#REF!,"&gt;0",#REF!,"&gt;="&amp;B8,#REF!,"&lt;="&amp;EOMONTH(B8,0))</f>
        <v>#REF!</v>
      </c>
      <c r="F21" s="1069" t="e">
        <f>SUMIFS(#REF!,#REF!,"&lt;&gt;0",#REF!,"&gt;="&amp;B8,#REF!,"&lt;="&amp;EOMONTH(B8,0))</f>
        <v>#REF!</v>
      </c>
      <c r="G21" s="1069" t="e">
        <f t="shared" si="0"/>
        <v>#REF!</v>
      </c>
      <c r="H21" s="1070" t="e">
        <f ca="1">MINIFS(#REF!,#REF!,"&lt;&gt;0",#REF!,"&gt;="&amp;B8,#REF!,"&lt;="&amp;EOMONTH(B8,0))</f>
        <v>#NAME?</v>
      </c>
      <c r="I21" s="1078" t="e">
        <f ca="1">MAXIFS(#REF!,#REF!,"&lt;&gt;0",#REF!,"&gt;="&amp;B8,#REF!,"&lt;="&amp;EOMONTH(B8,0))</f>
        <v>#NAME?</v>
      </c>
      <c r="J21" s="1114" t="e">
        <f>COUNTIFS(#REF!,"&gt;="&amp;D21,#REF!,"&gt;="&amp;B8,#REF!,"&lt;="&amp;EOMONTH(B8,0))</f>
        <v>#REF!</v>
      </c>
      <c r="K21" s="1073" t="e">
        <f t="shared" si="1"/>
        <v>#REF!</v>
      </c>
      <c r="L21" s="1115"/>
      <c r="M21" s="1082"/>
      <c r="N21" s="1144">
        <f>Parametres!$L$18</f>
        <v>5000</v>
      </c>
      <c r="O21" s="1077">
        <f>COUNTIFS('Degrémont Entrée'!$K$14:$K$379,"&gt;0",'Degrémont Entrée'!$A$14:$A$379,"&gt;="&amp;B8,'Degrémont Entrée'!$A$14:$A$379,"&lt;="&amp;EOMONTH(B8,0))</f>
        <v>28</v>
      </c>
      <c r="P21" s="1078">
        <f>SUMIFS('Degrémont Entrée'!$K$14:$K$379,'Degrémont Entrée'!$K$14:$K$379,"&lt;&gt;0",'Degrémont Entrée'!$A$14:$A$379,"&gt;="&amp;B8,'Degrémont Entrée'!$A$14:$A$379,"&lt;="&amp;EOMONTH(B8,0))</f>
        <v>215947</v>
      </c>
      <c r="Q21" s="1078">
        <f t="shared" ref="Q21:Q23" si="6">IF(O21=0,0,P21/O21)</f>
        <v>7712.3928571428569</v>
      </c>
      <c r="R21" s="1078" t="e">
        <f ca="1">MINIFS('Degrémont Entrée'!$K$14:$K$379,'Degrémont Entrée'!$K$14:$K$379,"&lt;&gt;0",'Degrémont Entrée'!$A$14:$A$379,"&gt;="&amp;B8,'Degrémont Entrée'!$A$14:$A$379,"&lt;="&amp;EOMONTH(B8,0))</f>
        <v>#NAME?</v>
      </c>
      <c r="S21" s="1078" t="e">
        <f ca="1">MAXIFS('Degrémont Entrée'!$K$14:$K$379,'Degrémont Entrée'!$K$14:$K$379,"&lt;&gt;0",'Degrémont Entrée'!$A$14:$A$379,"&gt;="&amp;B8,'Degrémont Entrée'!$A$14:$A$379,"&lt;="&amp;EOMONTH(B8,0))</f>
        <v>#NAME?</v>
      </c>
      <c r="T21" s="1080">
        <f>COUNTIFS('Degrémont Entrée'!$K$14:$K$379,"&gt;="&amp;N21,'Degrémont Entrée'!$A$14:$A$379,"&gt;="&amp;B8,'Degrémont Entrée'!$A$14:$A$379,"&lt;="&amp;EOMONTH(B8,0))</f>
        <v>21</v>
      </c>
      <c r="U21" s="1081">
        <f>T21/O21</f>
        <v>0.75</v>
      </c>
      <c r="V21" s="1082"/>
      <c r="W21" s="1083">
        <f>Parametres!$T$18</f>
        <v>2000</v>
      </c>
      <c r="X21" s="1142">
        <f>COUNTIFS('Degrémont sortie'!$I$14:$I$379,"&gt;0",'Degrémont sortie'!$A$14:$A$379,"&gt;="&amp;B8,'Degrémont sortie'!$A$14:$A$379,"&lt;="&amp;EOMONTH(B8,0))</f>
        <v>28</v>
      </c>
      <c r="Y21" s="1085">
        <f>SUMIFS('Degrémont sortie'!$I$14:$I$379,'Degrémont sortie'!$I$14:$I$379,"&lt;&gt;0",'Degrémont sortie'!$A$14:$A$379,"&gt;="&amp;B8,'Degrémont sortie'!$A$14:$A$379,"&lt;="&amp;EOMONTH(B8,0))</f>
        <v>22560</v>
      </c>
      <c r="Z21" s="1069">
        <f>IF(X21=0,0,Y21/X21)</f>
        <v>805.71428571428567</v>
      </c>
      <c r="AA21" s="1069" t="e">
        <f ca="1">MINIFS('Degrémont sortie'!$I$14:$I$379,'Degrémont sortie'!$I$14:$I$379,"&lt;&gt;0",'Degrémont sortie'!$A$14:$A$379,"&gt;="&amp;B8,'Degrémont sortie'!$A$14:$A$379,"&lt;="&amp;EOMONTH(B8,0))</f>
        <v>#NAME?</v>
      </c>
      <c r="AB21" s="1069" t="e">
        <f ca="1">MAXIFS('Degrémont sortie'!$I$14:$I$379,'Degrémont sortie'!$I$14:$I$379,"&lt;&gt;0",'Degrémont sortie'!$A$14:$A$379,"&gt;="&amp;B8,'Degrémont sortie'!$A$14:$A$379,"&lt;="&amp;EOMONTH(B8,0))</f>
        <v>#NAME?</v>
      </c>
      <c r="AC21" s="1142">
        <f>COUNTIFS('Degrémont sortie'!$I$14:$I$379,"&gt;="&amp;W21,'Degrémont sortie'!$A$14:$A$379,"&gt;="&amp;B8,'Degrémont sortie'!$A$14:$A$379,"&lt;="&amp;EOMONTH(B8,0))</f>
        <v>0</v>
      </c>
      <c r="AD21" s="1087">
        <f>AC21/X21</f>
        <v>0</v>
      </c>
      <c r="AE21" s="1082"/>
      <c r="AF21" s="1205" t="e">
        <f>COUNTIFS(#REF!,"&gt;0",#REF!,"&gt;="&amp;B8,#REF!,"&lt;="&amp;EOMONTH(B8,0))</f>
        <v>#REF!</v>
      </c>
      <c r="AG21" s="1208" t="e">
        <f>SUMIFS(#REF!,#REF!,"&lt;&gt;0",#REF!,"&gt;="&amp;B8,#REF!,"&lt;="&amp;EOMONTH(B8,0))</f>
        <v>#REF!</v>
      </c>
      <c r="AH21" s="1208" t="e">
        <f>IF(AF21=0,0,AG21/AF21)</f>
        <v>#REF!</v>
      </c>
      <c r="AI21" s="1208" t="e">
        <f ca="1">MINIFS(#REF!,#REF!,"&lt;&gt;0",#REF!,"&gt;="&amp;B8,#REF!,"&lt;="&amp;EOMONTH(B8,0))</f>
        <v>#NAME?</v>
      </c>
      <c r="AJ21" s="1211" t="e">
        <f ca="1">MAXIFS(#REF!,#REF!,"&lt;&gt;0",#REF!,"&gt;="&amp;B8,#REF!,"&lt;="&amp;EOMONTH(B8,0))</f>
        <v>#NAME?</v>
      </c>
      <c r="AK21" s="1132"/>
      <c r="AL21" s="1205" t="e">
        <f>COUNTIFS(#REF!,"&gt;0",#REF!,"&gt;="&amp;B8,#REF!,"&lt;="&amp;EOMONTH(B8,0))</f>
        <v>#REF!</v>
      </c>
      <c r="AM21" s="1208" t="e">
        <f>SUMIFS(#REF!,#REF!,"&lt;&gt;0",#REF!,"&gt;="&amp;B8,#REF!,"&lt;="&amp;EOMONTH(B8,0))</f>
        <v>#REF!</v>
      </c>
      <c r="AN21" s="1208" t="e">
        <f>IF(AL21=0,0,AM21/AL21)</f>
        <v>#REF!</v>
      </c>
      <c r="AO21" s="1208" t="e">
        <f ca="1">MINIFS(#REF!,#REF!,"&lt;&gt;0",#REF!,"&gt;="&amp;B8,#REF!,"&lt;="&amp;EOMONTH(B8,0))</f>
        <v>#NAME?</v>
      </c>
      <c r="AP21" s="1218" t="e">
        <f ca="1">MAXIFS(#REF!,#REF!,"&lt;&gt;0",#REF!,"&gt;="&amp;B8,#REF!,"&lt;="&amp;EOMONTH(B8,0))</f>
        <v>#NAME?</v>
      </c>
      <c r="AQ21" s="1132"/>
      <c r="AR21" s="1220">
        <f>Parametres!$AM$18</f>
        <v>17000</v>
      </c>
      <c r="AS21" s="1205" t="e">
        <f>COUNTIFS(#REF!,"&gt;0",#REF!,"&gt;="&amp;B8,#REF!,"&lt;="&amp;EOMONTH(B8,0))</f>
        <v>#REF!</v>
      </c>
      <c r="AT21" s="1208" t="e">
        <f>SUMIFS(#REF!,#REF!,"&lt;&gt;0",#REF!,"&gt;="&amp;B8,#REF!,"&lt;="&amp;EOMONTH(B8,0))</f>
        <v>#REF!</v>
      </c>
      <c r="AU21" s="1208" t="e">
        <f>IF(AS21=0,0,AT21/AS21)</f>
        <v>#REF!</v>
      </c>
      <c r="AV21" s="1208" t="e">
        <f ca="1">MINIFS(#REF!,#REF!,"&lt;&gt;0",#REF!,"&gt;="&amp;B8,#REF!,"&lt;="&amp;EOMONTH(B8,0))</f>
        <v>#NAME?</v>
      </c>
      <c r="AW21" s="1222" t="e">
        <f ca="1">MAXIFS(#REF!,#REF!,"&lt;&gt;0",#REF!,"&gt;="&amp;B8,#REF!,"&lt;="&amp;EOMONTH(B8,0))</f>
        <v>#NAME?</v>
      </c>
      <c r="AX21" s="1223" t="e">
        <f>COUNTIFS(#REF!,"&gt;="&amp;AR21,#REF!,"&gt;="&amp;B8,#REF!,"&lt;="&amp;EOMONTH(B8,0))</f>
        <v>#REF!</v>
      </c>
      <c r="AY21" s="1224" t="e">
        <f>AX21/AS21</f>
        <v>#REF!</v>
      </c>
      <c r="AZ21" s="1095" t="e">
        <f t="shared" si="2"/>
        <v>#REF!</v>
      </c>
      <c r="BA21" s="2"/>
    </row>
    <row r="22" spans="1:53" ht="15" customHeight="1" outlineLevel="1">
      <c r="A22" s="1027">
        <f t="shared" si="3"/>
        <v>1</v>
      </c>
      <c r="B22" s="1096"/>
      <c r="C22" s="1139" t="s">
        <v>36</v>
      </c>
      <c r="D22" s="1122">
        <f>Parametres!$D$19</f>
        <v>100000</v>
      </c>
      <c r="E22" s="1068" t="e">
        <f>COUNTIFS(#REF!,"&gt;0",#REF!,"&gt;="&amp;B8,#REF!,"&lt;="&amp;EOMONTH(B8,0))</f>
        <v>#REF!</v>
      </c>
      <c r="F22" s="1069" t="e">
        <f>SUMIFS(#REF!,#REF!,"&lt;&gt;0",#REF!,"&gt;="&amp;B8,#REF!,"&lt;="&amp;EOMONTH(B8,0))</f>
        <v>#REF!</v>
      </c>
      <c r="G22" s="1069" t="e">
        <f t="shared" si="0"/>
        <v>#REF!</v>
      </c>
      <c r="H22" s="1070" t="e">
        <f ca="1">MINIFS(#REF!,#REF!,"&lt;&gt;0",#REF!,"&gt;="&amp;B8,#REF!,"&lt;="&amp;EOMONTH(B8,0))</f>
        <v>#NAME?</v>
      </c>
      <c r="I22" s="1078" t="e">
        <f ca="1">MAXIFS(#REF!,#REF!,"&lt;&gt;0",#REF!,"&gt;="&amp;B8,#REF!,"&lt;="&amp;EOMONTH(B8,0))</f>
        <v>#NAME?</v>
      </c>
      <c r="J22" s="1072" t="s">
        <v>153</v>
      </c>
      <c r="K22" s="1073" t="e">
        <f t="shared" si="1"/>
        <v>#REF!</v>
      </c>
      <c r="L22" s="1115"/>
      <c r="M22" s="1082"/>
      <c r="N22" s="1144">
        <f>Parametres!$L$19</f>
        <v>100000</v>
      </c>
      <c r="O22" s="1077">
        <f>COUNTIFS('Degrémont Entrée'!$O$14:$O$379,"&gt;0",'Degrémont Entrée'!$A$14:$A$379,"&gt;="&amp;B8,'Degrémont Entrée'!$A$14:$A$379,"&lt;="&amp;EOMONTH(B8,0))</f>
        <v>28</v>
      </c>
      <c r="P22" s="1078">
        <f>SUMIFS('Degrémont Entrée'!$O$14:$O$379,'Degrémont Entrée'!$O$14:$O$379,"&lt;&gt;0",'Degrémont Entrée'!$A$14:$A$379,"&gt;="&amp;B8,'Degrémont Entrée'!$A$14:$A$379,"&lt;="&amp;EOMONTH(B8,0))</f>
        <v>25166</v>
      </c>
      <c r="Q22" s="1078">
        <f t="shared" si="6"/>
        <v>898.78571428571433</v>
      </c>
      <c r="R22" s="1173" t="e">
        <f ca="1">MINIFS('Degrémont Entrée'!$O$14:$O$379,'Degrémont Entrée'!$O$14:$O$379,"&lt;&gt;0",'Degrémont Entrée'!$A$14:$A$379,"&gt;="&amp;B8,'Degrémont Entrée'!$A$14:$A$379,"&lt;="&amp;EOMONTH(B8,0))</f>
        <v>#NAME?</v>
      </c>
      <c r="S22" s="1227" t="e">
        <f ca="1">MAXIFS('Degrémont Entrée'!$O$14:$O$379,'Degrémont Entrée'!$O$14:$O$379,"&lt;&gt;0",'Degrémont Entrée'!$A$14:$A$379,"&gt;="&amp;B8,'Degrémont Entrée'!$A$14:$A$379,"&lt;="&amp;EOMONTH(B8,0))</f>
        <v>#NAME?</v>
      </c>
      <c r="T22" s="1228" t="s">
        <v>153</v>
      </c>
      <c r="U22" s="1228" t="s">
        <v>153</v>
      </c>
      <c r="V22" s="1177"/>
      <c r="W22" s="1129"/>
      <c r="X22" s="1129"/>
      <c r="Y22" s="1069"/>
      <c r="Z22" s="1069"/>
      <c r="AA22" s="1069"/>
      <c r="AB22" s="1069"/>
      <c r="AC22" s="1130"/>
      <c r="AD22" s="1131"/>
      <c r="AE22" s="1082"/>
      <c r="AF22" s="1106"/>
      <c r="AG22" s="1106"/>
      <c r="AH22" s="1106"/>
      <c r="AI22" s="1106"/>
      <c r="AJ22" s="1106"/>
      <c r="AK22" s="1132"/>
      <c r="AL22" s="1106"/>
      <c r="AM22" s="1106"/>
      <c r="AN22" s="1106"/>
      <c r="AO22" s="1106"/>
      <c r="AP22" s="1119"/>
      <c r="AQ22" s="1132"/>
      <c r="AR22" s="1106"/>
      <c r="AS22" s="1106"/>
      <c r="AT22" s="1106"/>
      <c r="AU22" s="1106"/>
      <c r="AV22" s="1106"/>
      <c r="AW22" s="1119"/>
      <c r="AX22" s="1120"/>
      <c r="AY22" s="1094"/>
      <c r="AZ22" s="1095" t="e">
        <f t="shared" si="2"/>
        <v>#REF!</v>
      </c>
      <c r="BA22" s="2"/>
    </row>
    <row r="23" spans="1:53" ht="15" customHeight="1" outlineLevel="1">
      <c r="A23" s="1027">
        <f t="shared" si="3"/>
        <v>1</v>
      </c>
      <c r="B23" s="1096"/>
      <c r="C23" s="1139" t="s">
        <v>32</v>
      </c>
      <c r="D23" s="1122">
        <f>Parametres!$D$20</f>
        <v>4800</v>
      </c>
      <c r="E23" s="1068" t="e">
        <f>COUNTIFS(#REF!,"&gt;0",#REF!,"&gt;="&amp;B8,#REF!,"&lt;="&amp;EOMONTH(B8,0))</f>
        <v>#REF!</v>
      </c>
      <c r="F23" s="1069" t="e">
        <f>SUMIFS(#REF!,#REF!,"&lt;&gt;0",#REF!,"&gt;="&amp;B8,#REF!,"&lt;="&amp;EOMONTH(B8,0))</f>
        <v>#REF!</v>
      </c>
      <c r="G23" s="1069" t="e">
        <f t="shared" si="0"/>
        <v>#REF!</v>
      </c>
      <c r="H23" s="1070" t="e">
        <f ca="1">MINIFS(#REF!,#REF!,"&lt;&gt;0",#REF!,"&gt;="&amp;B8,#REF!,"&lt;="&amp;EOMONTH(B8,0))</f>
        <v>#NAME?</v>
      </c>
      <c r="I23" s="1078" t="e">
        <f ca="1">MAXIFS(#REF!,#REF!,"&lt;&gt;0",#REF!,"&gt;="&amp;B8,#REF!,"&lt;="&amp;EOMONTH(B8,0))</f>
        <v>#NAME?</v>
      </c>
      <c r="J23" s="1072" t="e">
        <f>COUNTIFS(#REF!,"&gt;="&amp;D23,#REF!,"&gt;="&amp;B8,#REF!,"&lt;="&amp;EOMONTH(B8,0))</f>
        <v>#REF!</v>
      </c>
      <c r="K23" s="1073" t="e">
        <f t="shared" si="1"/>
        <v>#REF!</v>
      </c>
      <c r="L23" s="1115"/>
      <c r="M23" s="1082"/>
      <c r="N23" s="1144">
        <f>Parametres!$L$20</f>
        <v>1000</v>
      </c>
      <c r="O23" s="1077">
        <f>COUNTIFS('Degrémont Entrée'!$B$14:$B$379,"&gt;0",'Degrémont Entrée'!$A$14:$A$379,"&gt;="&amp;B8,'Degrémont Entrée'!$A$14:$A$379,"&lt;="&amp;EOMONTH(B8,0))</f>
        <v>28</v>
      </c>
      <c r="P23" s="1078">
        <f>SUMIFS('Degrémont Entrée'!$B$14:$B$379,'Degrémont Entrée'!$B$14:$B$379,"&lt;&gt;0",'Degrémont Entrée'!$A$14:$A$379,"&gt;="&amp;B8,'Degrémont Entrée'!$A$14:$A$379,"&lt;="&amp;EOMONTH(B8,0))</f>
        <v>21719</v>
      </c>
      <c r="Q23" s="1078">
        <f t="shared" si="6"/>
        <v>775.67857142857144</v>
      </c>
      <c r="R23" s="1173" t="e">
        <f ca="1">MINIFS('Degrémont Entrée'!$B$14:$B$379,'Degrémont Entrée'!$B$14:$B$379,"&lt;&gt;0",'Degrémont Entrée'!$A$14:$A$379,"&gt;="&amp;B8,'Degrémont Entrée'!$A$14:$A$379,"&lt;="&amp;EOMONTH(B8,0))</f>
        <v>#NAME?</v>
      </c>
      <c r="S23" s="1078" t="e">
        <f ca="1">MAXIFS('Degrémont Entrée'!$B$14:$B$379,'Degrémont Entrée'!$B$14:$B$379,"&lt;&gt;0",'Degrémont Entrée'!$A$14:$A$379,"&gt;="&amp;B8,'Degrémont Entrée'!$A$14:$A$379,"&lt;="&amp;EOMONTH(B8,0))</f>
        <v>#NAME?</v>
      </c>
      <c r="T23" s="1236">
        <f>COUNTIFS('Degrémont Entrée'!$B$14:$B$379,"&gt;="&amp;N23,'Degrémont Entrée'!$A$14:$A$379,"&gt;="&amp;B8,'Degrémont Entrée'!$A$14:$A$379,"&lt;="&amp;EOMONTH(B8,0))</f>
        <v>1</v>
      </c>
      <c r="U23" s="1081">
        <f>T23/O23</f>
        <v>3.5714285714285712E-2</v>
      </c>
      <c r="V23" s="1177"/>
      <c r="W23" s="1083">
        <f>Parametres!$T$20</f>
        <v>1000</v>
      </c>
      <c r="X23" s="1142">
        <f>COUNTIFS('Degrémont sortie'!$B$14:$B$379,"&gt;0",'Degrémont sortie'!$A$14:$A$379,"&gt;="&amp;B8,'Degrémont sortie'!$A$14:$A$379,"&lt;="&amp;EOMONTH(B8,0))</f>
        <v>28</v>
      </c>
      <c r="Y23" s="1085">
        <f>SUMIFS('Degrémont sortie'!$B$14:$B$379,'Degrémont sortie'!$B$14:$B$379,"&lt;&gt;0",'Degrémont sortie'!$A$14:$A$379,"&gt;="&amp;B8,'Degrémont sortie'!$A$14:$A$379,"&lt;="&amp;EOMONTH(B8,0))</f>
        <v>21719</v>
      </c>
      <c r="Z23" s="1069">
        <f>IF(X23=0,0,Y23/X23)</f>
        <v>775.67857142857144</v>
      </c>
      <c r="AA23" s="1069" t="e">
        <f ca="1">MINIFS('Degrémont sortie'!$B$14:$B$379,'Degrémont sortie'!$B$14:$B$379,"&lt;&gt;0",'Degrémont sortie'!$A$14:$A$379,"&gt;="&amp;B8,'Degrémont sortie'!$A$14:$A$379,"&lt;="&amp;EOMONTH(B8,0))</f>
        <v>#NAME?</v>
      </c>
      <c r="AB23" s="1069" t="e">
        <f ca="1">MAXIFS('Degrémont sortie'!$B$14:$B$379,'Degrémont sortie'!$B$14:$B$379,"&lt;&gt;0",'Degrémont sortie'!$A$14:$A$379,"&gt;="&amp;B8,'Degrémont sortie'!$A$14:$A$379,"&lt;="&amp;EOMONTH(B8,0))</f>
        <v>#NAME?</v>
      </c>
      <c r="AC23" s="1142">
        <f>COUNTIFS('Degrémont sortie'!$B$14:$B$379,"&gt;="&amp;W23,'Degrémont sortie'!$A$14:$A$379,"&gt;="&amp;B8,'Degrémont sortie'!$A$14:$A$379,"&lt;="&amp;EOMONTH(B8,0))</f>
        <v>1</v>
      </c>
      <c r="AD23" s="1087">
        <f>AC23/X23</f>
        <v>3.5714285714285712E-2</v>
      </c>
      <c r="AE23" s="1082"/>
      <c r="AF23" s="1205" t="e">
        <f>COUNTIFS(#REF!,"&gt;0",#REF!,"&gt;="&amp;B8,#REF!,"&lt;="&amp;EOMONTH(B8,0))</f>
        <v>#REF!</v>
      </c>
      <c r="AG23" s="1208" t="e">
        <f>SUMIFS(#REF!,#REF!,"&lt;&gt;0",#REF!,"&gt;="&amp;B8,#REF!,"&lt;="&amp;EOMONTH(B8,0))</f>
        <v>#REF!</v>
      </c>
      <c r="AH23" s="1208" t="e">
        <f>IF(AF23=0,0,AG23/AF23)</f>
        <v>#REF!</v>
      </c>
      <c r="AI23" s="1208" t="e">
        <f ca="1">MINIFS(#REF!,#REF!,"&lt;&gt;0",#REF!,"&gt;="&amp;B8,#REF!,"&lt;="&amp;EOMONTH(B8,0))</f>
        <v>#NAME?</v>
      </c>
      <c r="AJ23" s="1208" t="e">
        <f ca="1">MAXIFS(#REF!,#REF!,"&lt;&gt;0",#REF!,"&gt;="&amp;B8,#REF!,"&lt;="&amp;EOMONTH(B8,0))</f>
        <v>#NAME?</v>
      </c>
      <c r="AK23" s="1132"/>
      <c r="AL23" s="1106"/>
      <c r="AM23" s="1106"/>
      <c r="AN23" s="1106"/>
      <c r="AO23" s="1106"/>
      <c r="AP23" s="1119"/>
      <c r="AQ23" s="1132"/>
      <c r="AR23" s="1220">
        <f>Parametres!$AM$20</f>
        <v>1000000</v>
      </c>
      <c r="AS23" s="1205" t="e">
        <f>COUNTIFS(#REF!,"&gt;0",#REF!,"&gt;="&amp;B8,#REF!,"&lt;="&amp;EOMONTH(B8,0))</f>
        <v>#REF!</v>
      </c>
      <c r="AT23" s="1208" t="e">
        <f>SUMIFS(#REF!,#REF!,"&lt;&gt;0",#REF!,"&gt;="&amp;B8,#REF!,"&lt;="&amp;EOMONTH(B8,0))</f>
        <v>#REF!</v>
      </c>
      <c r="AU23" s="1208" t="e">
        <f>IF(AS23=0,0,AT23/AS23)</f>
        <v>#REF!</v>
      </c>
      <c r="AV23" s="1208" t="e">
        <f ca="1">MINIFS(#REF!,#REF!,"&lt;&gt;0",#REF!,"&gt;="&amp;B8,#REF!,"&lt;="&amp;EOMONTH(B8,0))</f>
        <v>#NAME?</v>
      </c>
      <c r="AW23" s="1222" t="e">
        <f ca="1">MAXIFS(#REF!,#REF!,"&lt;&gt;0",#REF!,"&gt;="&amp;B8,#REF!,"&lt;="&amp;EOMONTH(B8,0))</f>
        <v>#NAME?</v>
      </c>
      <c r="AX23" s="1243" t="s">
        <v>153</v>
      </c>
      <c r="AY23" s="1224" t="e">
        <f>AX23/AS23</f>
        <v>#VALUE!</v>
      </c>
      <c r="AZ23" s="1095" t="e">
        <f t="shared" si="2"/>
        <v>#REF!</v>
      </c>
      <c r="BA23" s="2"/>
    </row>
    <row r="24" spans="1:53" ht="15" customHeight="1" outlineLevel="1">
      <c r="A24" s="1027">
        <f t="shared" si="3"/>
        <v>1</v>
      </c>
      <c r="B24" s="1096"/>
      <c r="C24" s="1121" t="s">
        <v>21</v>
      </c>
      <c r="D24" s="1122">
        <f>Parametres!$D$22</f>
        <v>2</v>
      </c>
      <c r="E24" s="1068" t="e">
        <f>COUNTIFS(#REF!,"&gt;0",#REF!,"&gt;="&amp;B8,#REF!,"&lt;="&amp;EOMONTH(B8,0))</f>
        <v>#REF!</v>
      </c>
      <c r="F24" s="1069" t="e">
        <f>SUMIFS(#REF!,#REF!,"&lt;&gt;0",#REF!,"&gt;="&amp;B8,#REF!,"&lt;="&amp;EOMONTH(B8,0))</f>
        <v>#REF!</v>
      </c>
      <c r="G24" s="1069" t="e">
        <f t="shared" si="0"/>
        <v>#REF!</v>
      </c>
      <c r="H24" s="1070" t="e">
        <f ca="1">MINIFS(#REF!,#REF!,"&lt;&gt;0",#REF!,"&gt;="&amp;B8,#REF!,"&lt;="&amp;EOMONTH(B8,0))</f>
        <v>#NAME?</v>
      </c>
      <c r="I24" s="1078" t="e">
        <f ca="1">MAXIFS(#REF!,#REF!,"&lt;&gt;0",#REF!,"&gt;="&amp;B8,#REF!,"&lt;="&amp;EOMONTH(B8,0))</f>
        <v>#NAME?</v>
      </c>
      <c r="J24" s="1072" t="e">
        <f>COUNTIFS(#REF!,"&gt;="&amp;D24,#REF!,"&gt;="&amp;B8,#REF!,"&lt;="&amp;EOMONTH(B8,0))</f>
        <v>#REF!</v>
      </c>
      <c r="K24" s="1073" t="e">
        <f t="shared" si="1"/>
        <v>#REF!</v>
      </c>
      <c r="L24" s="1115"/>
      <c r="M24" s="1082"/>
      <c r="N24" s="1171"/>
      <c r="O24" s="1171"/>
      <c r="P24" s="1173"/>
      <c r="Q24" s="1173"/>
      <c r="R24" s="1173"/>
      <c r="S24" s="1173"/>
      <c r="T24" s="1175"/>
      <c r="U24" s="1175"/>
      <c r="V24" s="1082"/>
      <c r="W24" s="1106"/>
      <c r="X24" s="1106"/>
      <c r="Y24" s="1069"/>
      <c r="Z24" s="1069"/>
      <c r="AA24" s="1069"/>
      <c r="AB24" s="1069"/>
      <c r="AC24" s="1248"/>
      <c r="AD24" s="1249"/>
      <c r="AE24" s="1082"/>
      <c r="AF24" s="1106"/>
      <c r="AG24" s="1106"/>
      <c r="AH24" s="1106"/>
      <c r="AI24" s="1106"/>
      <c r="AJ24" s="1106"/>
      <c r="AK24" s="1132"/>
      <c r="AL24" s="1106"/>
      <c r="AM24" s="1106"/>
      <c r="AN24" s="1106"/>
      <c r="AO24" s="1106"/>
      <c r="AP24" s="1119"/>
      <c r="AQ24" s="1132"/>
      <c r="AR24" s="1106"/>
      <c r="AS24" s="1106"/>
      <c r="AT24" s="1106"/>
      <c r="AU24" s="1106"/>
      <c r="AV24" s="1106"/>
      <c r="AW24" s="1119"/>
      <c r="AX24" s="1120"/>
      <c r="AY24" s="1094"/>
      <c r="AZ24" s="1095" t="e">
        <f t="shared" si="2"/>
        <v>#REF!</v>
      </c>
      <c r="BA24" s="2"/>
    </row>
    <row r="25" spans="1:53" ht="15" customHeight="1" outlineLevel="1">
      <c r="A25" s="1027">
        <f t="shared" si="3"/>
        <v>1</v>
      </c>
      <c r="B25" s="1096"/>
      <c r="C25" s="1121" t="s">
        <v>22</v>
      </c>
      <c r="D25" s="1122">
        <f>Parametres!$D$23</f>
        <v>1000000</v>
      </c>
      <c r="E25" s="1068" t="e">
        <f>COUNTIFS(#REF!,"&gt;0",#REF!,"&gt;="&amp;B8,#REF!,"&lt;="&amp;EOMONTH(B8,0))</f>
        <v>#REF!</v>
      </c>
      <c r="F25" s="1069" t="e">
        <f>SUMIFS(#REF!,#REF!,"&lt;&gt;0",#REF!,"&gt;="&amp;B8,#REF!,"&lt;="&amp;EOMONTH(B8,0))</f>
        <v>#REF!</v>
      </c>
      <c r="G25" s="1069" t="e">
        <f t="shared" si="0"/>
        <v>#REF!</v>
      </c>
      <c r="H25" s="1070" t="e">
        <f ca="1">MINIFS(#REF!,#REF!,"&lt;&gt;0",#REF!,"&gt;="&amp;B8,#REF!,"&lt;="&amp;EOMONTH(B8,0))</f>
        <v>#NAME?</v>
      </c>
      <c r="I25" s="1078" t="e">
        <f ca="1">MAXIFS(#REF!,#REF!,"&lt;&gt;0",#REF!,"&gt;="&amp;B8,#REF!,"&lt;="&amp;EOMONTH(B8,0))</f>
        <v>#NAME?</v>
      </c>
      <c r="J25" s="1072" t="s">
        <v>153</v>
      </c>
      <c r="K25" s="1073" t="e">
        <f t="shared" si="1"/>
        <v>#REF!</v>
      </c>
      <c r="L25" s="1115"/>
      <c r="M25" s="1082"/>
      <c r="N25" s="1171"/>
      <c r="O25" s="1171"/>
      <c r="P25" s="1173"/>
      <c r="Q25" s="1173"/>
      <c r="R25" s="1173"/>
      <c r="S25" s="1173"/>
      <c r="T25" s="1175"/>
      <c r="U25" s="1175"/>
      <c r="V25" s="1082"/>
      <c r="W25" s="1106"/>
      <c r="X25" s="1106"/>
      <c r="Y25" s="1069"/>
      <c r="Z25" s="1069"/>
      <c r="AA25" s="1069"/>
      <c r="AB25" s="1069"/>
      <c r="AC25" s="1248"/>
      <c r="AD25" s="1249"/>
      <c r="AE25" s="1082"/>
      <c r="AF25" s="1106"/>
      <c r="AG25" s="1106"/>
      <c r="AH25" s="1106"/>
      <c r="AI25" s="1106"/>
      <c r="AJ25" s="1106"/>
      <c r="AK25" s="1132"/>
      <c r="AL25" s="1106"/>
      <c r="AM25" s="1106"/>
      <c r="AN25" s="1106"/>
      <c r="AO25" s="1106"/>
      <c r="AP25" s="1119"/>
      <c r="AQ25" s="1132"/>
      <c r="AR25" s="1106"/>
      <c r="AS25" s="1106"/>
      <c r="AT25" s="1106"/>
      <c r="AU25" s="1106"/>
      <c r="AV25" s="1106"/>
      <c r="AW25" s="1119"/>
      <c r="AX25" s="1120"/>
      <c r="AY25" s="1094"/>
      <c r="AZ25" s="1095" t="e">
        <f t="shared" si="2"/>
        <v>#REF!</v>
      </c>
      <c r="BA25" s="2"/>
    </row>
    <row r="26" spans="1:53" ht="15" customHeight="1" outlineLevel="1">
      <c r="A26" s="1027">
        <f t="shared" si="3"/>
        <v>1</v>
      </c>
      <c r="B26" s="1096"/>
      <c r="C26" s="1139" t="s">
        <v>44</v>
      </c>
      <c r="D26" s="1122">
        <f>Parametres!$D$24</f>
        <v>5</v>
      </c>
      <c r="E26" s="1068" t="e">
        <f>COUNTIFS(#REF!,"&gt;0",#REF!,"&gt;="&amp;B8,#REF!,"&lt;="&amp;EOMONTH(B8,0))</f>
        <v>#REF!</v>
      </c>
      <c r="F26" s="1069" t="e">
        <f>SUMIFS(#REF!,#REF!,"&lt;&gt;0",#REF!,"&gt;="&amp;B8,#REF!,"&lt;="&amp;EOMONTH(B8,0))</f>
        <v>#REF!</v>
      </c>
      <c r="G26" s="1069" t="e">
        <f t="shared" si="0"/>
        <v>#REF!</v>
      </c>
      <c r="H26" s="1070" t="e">
        <f ca="1">MINIFS(#REF!,#REF!,"&lt;&gt;0",#REF!,"&gt;="&amp;B8,#REF!,"&lt;="&amp;EOMONTH(B8,0))</f>
        <v>#NAME?</v>
      </c>
      <c r="I26" s="1078" t="e">
        <f ca="1">MAXIFS(#REF!,#REF!,"&lt;&gt;0",#REF!,"&gt;="&amp;B8,#REF!,"&lt;="&amp;EOMONTH(B8,0))</f>
        <v>#NAME?</v>
      </c>
      <c r="J26" s="1072" t="e">
        <f>COUNTIFS(#REF!,"&gt;="&amp;D26,#REF!,"&gt;="&amp;B8,#REF!,"&lt;="&amp;EOMONTH(B8,0))</f>
        <v>#REF!</v>
      </c>
      <c r="K26" s="1073" t="e">
        <f t="shared" si="1"/>
        <v>#REF!</v>
      </c>
      <c r="L26" s="1115"/>
      <c r="M26" s="1082"/>
      <c r="N26" s="1144">
        <f>Parametres!$L$24</f>
        <v>60</v>
      </c>
      <c r="O26" s="1077">
        <f>COUNTIFS('Degrémont Entrée'!$AP$14:$AP$379,"&gt;0",'Degrémont Entrée'!$A$14:$A$379,"&gt;="&amp;B8,'Degrémont Entrée'!$A$14:$A$379,"&lt;="&amp;EOMONTH(B8,0))</f>
        <v>4</v>
      </c>
      <c r="P26" s="1078">
        <f>SUMIFS('Degrémont Entrée'!$AP$14:$AP$379,'Degrémont Entrée'!$AP$14:$AP$379,"&lt;&gt;0",'Degrémont Entrée'!$A$14:$A$379,"&gt;="&amp;B8,'Degrémont Entrée'!$A$14:$A$379,"&lt;="&amp;EOMONTH(B8,0))</f>
        <v>939.94999999999993</v>
      </c>
      <c r="Q26" s="1078">
        <f>IF(O26=0,0,P26/O26)</f>
        <v>234.98749999999998</v>
      </c>
      <c r="R26" s="1078" t="e">
        <f ca="1">MINIFS('Degrémont Entrée'!$AP$14:$AP$379,'Degrémont Entrée'!$AP$14:$AP$379,"&lt;&gt;0",'Degrémont Entrée'!$A$14:$A$379,"&gt;="&amp;B8,'Degrémont Entrée'!$A$14:$A$379,"&lt;="&amp;EOMONTH(B8,0))</f>
        <v>#NAME?</v>
      </c>
      <c r="S26" s="1078" t="e">
        <f ca="1">MAXIFS('Degrémont Entrée'!$AP$14:$AP$379,'Degrémont Entrée'!$AP$14:$AP$379,"&lt;&gt;0",'Degrémont Entrée'!$A$14:$A$379,"&gt;="&amp;B8,'Degrémont Entrée'!$A$14:$A$379,"&lt;="&amp;EOMONTH(B8,0))</f>
        <v>#NAME?</v>
      </c>
      <c r="T26" s="1080">
        <f>COUNTIFS('Degrémont Entrée'!$AP$14:$AP$379,"&gt;="&amp;N26,'Degrémont Entrée'!$A$14:$A$379,"&gt;="&amp;B8,'Degrémont Entrée'!$A$14:$A$379,"&lt;="&amp;EOMONTH(B8,0))</f>
        <v>4</v>
      </c>
      <c r="U26" s="1081">
        <f>T26/O26</f>
        <v>1</v>
      </c>
      <c r="V26" s="1082"/>
      <c r="W26" s="1083">
        <f>Parametres!$T$24</f>
        <v>1.6</v>
      </c>
      <c r="X26" s="1142">
        <f>COUNTIFS('Degrémont sortie'!$AJ$14:$AJ$379,"&gt;0",'Degrémont sortie'!$A$14:$A$379,"&gt;="&amp;B8,'Degrémont sortie'!$A$14:$A$379,"&lt;="&amp;EOMONTH(B8,0))</f>
        <v>4</v>
      </c>
      <c r="Y26" s="1085">
        <f>SUMIFS('Degrémont sortie'!$AJ$14:$AJ$379,'Degrémont sortie'!$AJ$14:$AJ$379,"&lt;&gt;0",'Degrémont sortie'!$A$14:$A$379,"&gt;="&amp;B8,'Degrémont sortie'!$A$14:$A$379,"&lt;="&amp;EOMONTH(B8,0))</f>
        <v>2.94</v>
      </c>
      <c r="Z26" s="1069">
        <f>IF(X26=0,0,Y26/X26)</f>
        <v>0.73499999999999999</v>
      </c>
      <c r="AA26" s="1069" t="e">
        <f ca="1">MINIFS('Degrémont sortie'!$AJ$14:$AJ$379,'Degrémont sortie'!$AJ$14:$AJ$379,"&lt;&gt;0",'Degrémont sortie'!$A$14:$A$379,"&gt;="&amp;B8,'Degrémont sortie'!$A$14:$A$379,"&lt;="&amp;EOMONTH(B8,0))</f>
        <v>#NAME?</v>
      </c>
      <c r="AB26" s="1069" t="e">
        <f ca="1">MAXIFS('Degrémont sortie'!$AJ$14:$AJ$379,'Degrémont sortie'!$AJ$14:$AJ$379,"&lt;&gt;0",'Degrémont sortie'!$A$14:$A$379,"&gt;="&amp;B8,'Degrémont sortie'!$A$14:$A$379,"&lt;="&amp;EOMONTH(B8,0))</f>
        <v>#NAME?</v>
      </c>
      <c r="AC26" s="1142">
        <f>COUNTIFS('Degrémont sortie'!$AJ$14:$AJ$379,"&gt;="&amp;W26,'Degrémont sortie'!$A$14:$A$379,"&gt;="&amp;B8,'Degrémont sortie'!$A$14:$A$379,"&lt;="&amp;EOMONTH(B8,0))</f>
        <v>0</v>
      </c>
      <c r="AD26" s="1087">
        <f>AC26/X26</f>
        <v>0</v>
      </c>
      <c r="AE26" s="1082"/>
      <c r="AF26" s="1106"/>
      <c r="AG26" s="1106"/>
      <c r="AH26" s="1106"/>
      <c r="AI26" s="1106"/>
      <c r="AJ26" s="1106"/>
      <c r="AK26" s="1132"/>
      <c r="AL26" s="1106"/>
      <c r="AM26" s="1106"/>
      <c r="AN26" s="1106"/>
      <c r="AO26" s="1106"/>
      <c r="AP26" s="1119"/>
      <c r="AQ26" s="1132"/>
      <c r="AR26" s="1106"/>
      <c r="AS26" s="1106"/>
      <c r="AT26" s="1106"/>
      <c r="AU26" s="1106"/>
      <c r="AV26" s="1106"/>
      <c r="AW26" s="1119"/>
      <c r="AX26" s="1120"/>
      <c r="AY26" s="1094"/>
      <c r="AZ26" s="1095" t="e">
        <f t="shared" si="2"/>
        <v>#REF!</v>
      </c>
      <c r="BA26" s="2"/>
    </row>
    <row r="27" spans="1:53" ht="15" customHeight="1" outlineLevel="1">
      <c r="A27" s="1027">
        <f t="shared" si="3"/>
        <v>1</v>
      </c>
      <c r="B27" s="1096"/>
      <c r="C27" s="1261" t="s">
        <v>169</v>
      </c>
      <c r="D27" s="1122">
        <f>Parametres!$D$25</f>
        <v>4</v>
      </c>
      <c r="E27" s="1068" t="e">
        <f>COUNTIFS(#REF!,"&gt;0",#REF!,"&gt;="&amp;B8,#REF!,"&lt;="&amp;EOMONTH(B8,0))</f>
        <v>#REF!</v>
      </c>
      <c r="F27" s="1069" t="e">
        <f>SUMIFS(#REF!,#REF!,"&lt;&gt;0",#REF!,"&gt;="&amp;B8,#REF!,"&lt;="&amp;EOMONTH(B8,0))</f>
        <v>#REF!</v>
      </c>
      <c r="G27" s="1069" t="e">
        <f t="shared" si="0"/>
        <v>#REF!</v>
      </c>
      <c r="H27" s="1070" t="e">
        <f ca="1">MINIFS(#REF!,#REF!,"&lt;&gt;0",#REF!,"&gt;="&amp;B8,#REF!,"&lt;="&amp;EOMONTH(B8,0))</f>
        <v>#NAME?</v>
      </c>
      <c r="I27" s="1078" t="e">
        <f ca="1">MAXIFS(#REF!,#REF!,"&lt;&gt;0",#REF!,"&gt;="&amp;B8,#REF!,"&lt;="&amp;EOMONTH(B8,0))</f>
        <v>#NAME?</v>
      </c>
      <c r="J27" s="1072" t="e">
        <f>COUNTIFS(#REF!,"&gt;="&amp;D27,#REF!,"&gt;="&amp;B8,#REF!,"&lt;="&amp;EOMONTH(B8,0))</f>
        <v>#REF!</v>
      </c>
      <c r="K27" s="1073" t="e">
        <f t="shared" si="1"/>
        <v>#REF!</v>
      </c>
      <c r="L27" s="1115"/>
      <c r="M27" s="1082"/>
      <c r="N27" s="1263"/>
      <c r="O27" s="1263"/>
      <c r="P27" s="1078"/>
      <c r="Q27" s="1078"/>
      <c r="R27" s="1078"/>
      <c r="S27" s="1078"/>
      <c r="T27" s="1264"/>
      <c r="U27" s="1264"/>
      <c r="V27" s="1082"/>
      <c r="W27" s="1106"/>
      <c r="X27" s="1106"/>
      <c r="Y27" s="1069"/>
      <c r="Z27" s="1069"/>
      <c r="AA27" s="1069"/>
      <c r="AB27" s="1069"/>
      <c r="AC27" s="1248"/>
      <c r="AD27" s="1249"/>
      <c r="AE27" s="1082"/>
      <c r="AF27" s="1106"/>
      <c r="AG27" s="1106"/>
      <c r="AH27" s="1106"/>
      <c r="AI27" s="1106"/>
      <c r="AJ27" s="1106"/>
      <c r="AK27" s="1132"/>
      <c r="AL27" s="1106"/>
      <c r="AM27" s="1106"/>
      <c r="AN27" s="1106"/>
      <c r="AO27" s="1106"/>
      <c r="AP27" s="1138"/>
      <c r="AQ27" s="1132"/>
      <c r="AR27" s="1106"/>
      <c r="AS27" s="1106"/>
      <c r="AT27" s="1106"/>
      <c r="AU27" s="1106"/>
      <c r="AV27" s="1106"/>
      <c r="AW27" s="1119"/>
      <c r="AX27" s="1120"/>
      <c r="AY27" s="1094"/>
      <c r="AZ27" s="1095" t="e">
        <f t="shared" si="2"/>
        <v>#REF!</v>
      </c>
      <c r="BA27" s="2"/>
    </row>
    <row r="28" spans="1:53" ht="15" customHeight="1" outlineLevel="1">
      <c r="A28" s="1027">
        <f t="shared" si="3"/>
        <v>1</v>
      </c>
      <c r="B28" s="1096"/>
      <c r="C28" s="1139" t="s">
        <v>165</v>
      </c>
      <c r="D28" s="1122">
        <f>Parametres!$D$26</f>
        <v>10</v>
      </c>
      <c r="E28" s="1068" t="e">
        <f>COUNTIFS(#REF!,"&gt;0",#REF!,"&gt;="&amp;B8,#REF!,"&lt;="&amp;EOMONTH(B8,0))</f>
        <v>#REF!</v>
      </c>
      <c r="F28" s="1069" t="e">
        <f>SUMIFS(#REF!,#REF!,"&lt;&gt;0",#REF!,"&gt;="&amp;B8,#REF!,"&lt;="&amp;EOMONTH(B8,0))</f>
        <v>#REF!</v>
      </c>
      <c r="G28" s="1069" t="e">
        <f t="shared" si="0"/>
        <v>#REF!</v>
      </c>
      <c r="H28" s="1070" t="e">
        <f ca="1">MINIFS(#REF!,#REF!,"&lt;&gt;0",#REF!,"&gt;="&amp;B8,#REF!,"&lt;="&amp;EOMONTH(B8,0))</f>
        <v>#NAME?</v>
      </c>
      <c r="I28" s="1078" t="e">
        <f ca="1">MAXIFS(#REF!,#REF!,"&lt;&gt;0",#REF!,"&gt;="&amp;B8,#REF!,"&lt;="&amp;EOMONTH(B8,0))</f>
        <v>#NAME?</v>
      </c>
      <c r="J28" s="1114" t="e">
        <f>COUNTIFS(#REF!,"&gt;="&amp;D28,#REF!,"&gt;="&amp;B8,#REF!,"&lt;="&amp;EOMONTH(B8,0))</f>
        <v>#REF!</v>
      </c>
      <c r="K28" s="1073" t="e">
        <f t="shared" si="1"/>
        <v>#REF!</v>
      </c>
      <c r="L28" s="1115"/>
      <c r="M28" s="1075"/>
      <c r="N28" s="1265"/>
      <c r="O28" s="1265"/>
      <c r="P28" s="1266"/>
      <c r="Q28" s="1266"/>
      <c r="R28" s="1266"/>
      <c r="S28" s="1266"/>
      <c r="T28" s="1267"/>
      <c r="U28" s="1267"/>
      <c r="V28" s="1075"/>
      <c r="W28" s="1106"/>
      <c r="X28" s="1106"/>
      <c r="Y28" s="1069"/>
      <c r="Z28" s="1069"/>
      <c r="AA28" s="1069"/>
      <c r="AB28" s="1069"/>
      <c r="AC28" s="1248"/>
      <c r="AD28" s="1249"/>
      <c r="AE28" s="1082"/>
      <c r="AF28" s="1106"/>
      <c r="AG28" s="1106"/>
      <c r="AH28" s="1106"/>
      <c r="AI28" s="1106"/>
      <c r="AJ28" s="1106"/>
      <c r="AK28" s="1132"/>
      <c r="AL28" s="1106"/>
      <c r="AM28" s="1106"/>
      <c r="AN28" s="1106"/>
      <c r="AO28" s="1106"/>
      <c r="AP28" s="1138"/>
      <c r="AQ28" s="1132"/>
      <c r="AR28" s="1106"/>
      <c r="AS28" s="1106"/>
      <c r="AT28" s="1106"/>
      <c r="AU28" s="1106"/>
      <c r="AV28" s="1106"/>
      <c r="AW28" s="1119"/>
      <c r="AX28" s="1120"/>
      <c r="AY28" s="1094"/>
      <c r="AZ28" s="1095" t="e">
        <f t="shared" si="2"/>
        <v>#REF!</v>
      </c>
      <c r="BA28" s="2"/>
    </row>
    <row r="29" spans="1:53" ht="15" customHeight="1" outlineLevel="1">
      <c r="A29" s="1027">
        <f t="shared" si="3"/>
        <v>1</v>
      </c>
      <c r="B29" s="1096"/>
      <c r="C29" s="1121" t="s">
        <v>23</v>
      </c>
      <c r="D29" s="1122">
        <f>Parametres!$D$27</f>
        <v>0.05</v>
      </c>
      <c r="E29" s="1068" t="e">
        <f>COUNTIFS(#REF!,"&gt;0",#REF!,"&gt;="&amp;B8,#REF!,"&lt;="&amp;EOMONTH(B8,0))</f>
        <v>#REF!</v>
      </c>
      <c r="F29" s="1069" t="e">
        <f>SUMIFS(#REF!,#REF!,"&lt;&gt;0",#REF!,"&gt;="&amp;B8,#REF!,"&lt;="&amp;EOMONTH(B8,0))</f>
        <v>#REF!</v>
      </c>
      <c r="G29" s="1069" t="e">
        <f t="shared" si="0"/>
        <v>#REF!</v>
      </c>
      <c r="H29" s="1070" t="e">
        <f ca="1">MINIFS(#REF!,#REF!,"&lt;&gt;0",#REF!,"&gt;="&amp;B8,#REF!,"&lt;="&amp;EOMONTH(B8,0))</f>
        <v>#NAME?</v>
      </c>
      <c r="I29" s="1078" t="e">
        <f ca="1">MAXIFS(#REF!,#REF!,"&lt;&gt;0",#REF!,"&gt;="&amp;B8,#REF!,"&lt;="&amp;EOMONTH(B8,0))</f>
        <v>#NAME?</v>
      </c>
      <c r="J29" s="1072" t="e">
        <f>COUNTIFS(#REF!,"&gt;="&amp;D29,#REF!,"&gt;="&amp;B8,#REF!,"&lt;="&amp;EOMONTH(B8,0))</f>
        <v>#REF!</v>
      </c>
      <c r="K29" s="1073" t="e">
        <f t="shared" si="1"/>
        <v>#REF!</v>
      </c>
      <c r="L29" s="1115"/>
      <c r="M29" s="1082"/>
      <c r="N29" s="1129"/>
      <c r="O29" s="1129"/>
      <c r="P29" s="1069"/>
      <c r="Q29" s="1069"/>
      <c r="R29" s="1069"/>
      <c r="S29" s="1069"/>
      <c r="T29" s="1143"/>
      <c r="U29" s="1143"/>
      <c r="V29" s="1132"/>
      <c r="W29" s="1106"/>
      <c r="X29" s="1106"/>
      <c r="Y29" s="1069"/>
      <c r="Z29" s="1069"/>
      <c r="AA29" s="1069"/>
      <c r="AB29" s="1069"/>
      <c r="AC29" s="1248"/>
      <c r="AD29" s="1249"/>
      <c r="AE29" s="1132"/>
      <c r="AF29" s="1106"/>
      <c r="AG29" s="1106"/>
      <c r="AH29" s="1106"/>
      <c r="AI29" s="1106"/>
      <c r="AJ29" s="1106"/>
      <c r="AK29" s="1132"/>
      <c r="AL29" s="1106"/>
      <c r="AM29" s="1106"/>
      <c r="AN29" s="1106"/>
      <c r="AO29" s="1106"/>
      <c r="AP29" s="1138"/>
      <c r="AQ29" s="1132"/>
      <c r="AR29" s="1106"/>
      <c r="AS29" s="1106"/>
      <c r="AT29" s="1106"/>
      <c r="AU29" s="1106"/>
      <c r="AV29" s="1106"/>
      <c r="AW29" s="1119"/>
      <c r="AX29" s="1120"/>
      <c r="AY29" s="1094"/>
      <c r="AZ29" s="1095" t="e">
        <f t="shared" si="2"/>
        <v>#REF!</v>
      </c>
      <c r="BA29" s="2"/>
    </row>
    <row r="30" spans="1:53" ht="15" customHeight="1" outlineLevel="1">
      <c r="A30" s="1027">
        <f t="shared" si="3"/>
        <v>1</v>
      </c>
      <c r="B30" s="1096"/>
      <c r="C30" s="1139" t="s">
        <v>201</v>
      </c>
      <c r="D30" s="1122">
        <f>Parametres!$D$28</f>
        <v>8</v>
      </c>
      <c r="E30" s="1068" t="e">
        <f>COUNTIFS(#REF!,"&gt;0",#REF!,"&gt;="&amp;B8,#REF!,"&lt;="&amp;EOMONTH(B8,0))</f>
        <v>#REF!</v>
      </c>
      <c r="F30" s="1069" t="e">
        <f>SUMIFS(#REF!,#REF!,"&lt;&gt;0",#REF!,"&gt;="&amp;B8,#REF!,"&lt;="&amp;EOMONTH(B8,0))</f>
        <v>#REF!</v>
      </c>
      <c r="G30" s="1069" t="e">
        <f t="shared" si="0"/>
        <v>#REF!</v>
      </c>
      <c r="H30" s="1070" t="e">
        <f ca="1">MINIFS(#REF!,#REF!,"&lt;&gt;0",#REF!,"&gt;="&amp;B8,#REF!,"&lt;="&amp;EOMONTH(B8,0))</f>
        <v>#NAME?</v>
      </c>
      <c r="I30" s="1078" t="e">
        <f ca="1">MAXIFS(#REF!,#REF!,"&lt;&gt;0",#REF!,"&gt;="&amp;B8,#REF!,"&lt;="&amp;EOMONTH(B8,0))</f>
        <v>#NAME?</v>
      </c>
      <c r="J30" s="1114" t="e">
        <f>COUNTIFS(#REF!,"&gt;="&amp;D30,#REF!,"&gt;="&amp;B8,#REF!,"&lt;="&amp;EOMONTH(B8,0))</f>
        <v>#REF!</v>
      </c>
      <c r="K30" s="1073" t="e">
        <f t="shared" si="1"/>
        <v>#REF!</v>
      </c>
      <c r="L30" s="1115"/>
      <c r="M30" s="1082"/>
      <c r="N30" s="1171"/>
      <c r="O30" s="1171"/>
      <c r="P30" s="1173"/>
      <c r="Q30" s="1173"/>
      <c r="R30" s="1173"/>
      <c r="S30" s="1173"/>
      <c r="T30" s="1175"/>
      <c r="U30" s="1175"/>
      <c r="V30" s="1177"/>
      <c r="W30" s="1106"/>
      <c r="X30" s="1106"/>
      <c r="Y30" s="1069"/>
      <c r="Z30" s="1069"/>
      <c r="AA30" s="1069"/>
      <c r="AB30" s="1069"/>
      <c r="AC30" s="1248"/>
      <c r="AD30" s="1249"/>
      <c r="AE30" s="1082"/>
      <c r="AF30" s="1106"/>
      <c r="AG30" s="1106"/>
      <c r="AH30" s="1106"/>
      <c r="AI30" s="1106"/>
      <c r="AJ30" s="1106"/>
      <c r="AK30" s="1082"/>
      <c r="AL30" s="1205" t="e">
        <f>COUNTIFS(#REF!,"&gt;0",#REF!,"&gt;="&amp;B8,#REF!,"&lt;="&amp;EOMONTH(B8,0))</f>
        <v>#REF!</v>
      </c>
      <c r="AM30" s="1208" t="e">
        <f>SUMIFS(#REF!,#REF!,"&lt;&gt;0",#REF!,"&gt;="&amp;B8,#REF!,"&lt;="&amp;EOMONTH(B8,0))</f>
        <v>#REF!</v>
      </c>
      <c r="AN30" s="1208" t="e">
        <f>IF(AL30=0,0,AM30/AL30)</f>
        <v>#REF!</v>
      </c>
      <c r="AO30" s="1269" t="e">
        <f ca="1">MINIFS(#REF!,#REF!,"&lt;&gt;0",#REF!,"&gt;="&amp;B8,#REF!,"&lt;="&amp;EOMONTH(B8,0))</f>
        <v>#NAME?</v>
      </c>
      <c r="AP30" s="1269" t="e">
        <f ca="1">MAXIFS(#REF!,#REF!,"&lt;&gt;0",#REF!,"&gt;="&amp;B8,#REF!,"&lt;="&amp;EOMONTH(B8,0))</f>
        <v>#NAME?</v>
      </c>
      <c r="AQ30" s="1082"/>
      <c r="AR30" s="1220">
        <f>Parametres!$AM$28</f>
        <v>500</v>
      </c>
      <c r="AS30" s="1205" t="e">
        <f>COUNTIFS(#REF!,"&gt;0",#REF!,"&gt;="&amp;B8,#REF!,"&lt;="&amp;EOMONTH(B8,0))</f>
        <v>#REF!</v>
      </c>
      <c r="AT30" s="1208" t="e">
        <f>SUMIFS(#REF!,#REF!,"&lt;&gt;0",#REF!,"&gt;="&amp;B8,#REF!,"&lt;="&amp;EOMONTH(B8,0))</f>
        <v>#REF!</v>
      </c>
      <c r="AU30" s="1208" t="e">
        <f>IF(AS30=0,0,AT30/AS30)</f>
        <v>#REF!</v>
      </c>
      <c r="AV30" s="1208" t="e">
        <f ca="1">MINIFS(#REF!,#REF!,"&lt;&gt;0",#REF!,"&gt;="&amp;B8,#REF!,"&lt;="&amp;EOMONTH(B8,0))</f>
        <v>#NAME?</v>
      </c>
      <c r="AW30" s="1222" t="e">
        <f ca="1">MAXIFS(#REF!,#REF!,"&lt;&gt;0",#REF!,"&gt;="&amp;B8,#REF!,"&lt;="&amp;EOMONTH(B8,0))</f>
        <v>#NAME?</v>
      </c>
      <c r="AX30" s="1223" t="e">
        <f>COUNTIFS(#REF!,"&gt;="&amp;AR30,#REF!,"&gt;="&amp;B8,#REF!,"&lt;="&amp;EOMONTH(B8,0))</f>
        <v>#REF!</v>
      </c>
      <c r="AY30" s="1224" t="e">
        <f>AX30/AS30</f>
        <v>#REF!</v>
      </c>
      <c r="AZ30" s="1095" t="e">
        <f t="shared" si="2"/>
        <v>#REF!</v>
      </c>
      <c r="BA30" s="2"/>
    </row>
    <row r="31" spans="1:53" ht="15" customHeight="1" outlineLevel="1">
      <c r="A31" s="1027">
        <f t="shared" si="3"/>
        <v>1</v>
      </c>
      <c r="B31" s="1096"/>
      <c r="C31" s="1121" t="s">
        <v>333</v>
      </c>
      <c r="D31" s="1122">
        <f>Parametres!$D$29</f>
        <v>0.3</v>
      </c>
      <c r="E31" s="1068" t="e">
        <f>COUNTIFS(#REF!,"&gt;0",#REF!,"&gt;="&amp;B8,#REF!,"&lt;="&amp;EOMONTH(B8,0))</f>
        <v>#REF!</v>
      </c>
      <c r="F31" s="1069" t="e">
        <f>SUMIFS(#REF!,#REF!,"&lt;&gt;0",#REF!,"&gt;="&amp;B8,#REF!,"&lt;="&amp;EOMONTH(B8,0))</f>
        <v>#REF!</v>
      </c>
      <c r="G31" s="1069" t="e">
        <f t="shared" si="0"/>
        <v>#REF!</v>
      </c>
      <c r="H31" s="1070" t="e">
        <f ca="1">MINIFS(#REF!,#REF!,"&lt;&gt;0",#REF!,"&gt;="&amp;B8,#REF!,"&lt;="&amp;EOMONTH(B8,0))</f>
        <v>#NAME?</v>
      </c>
      <c r="I31" s="1069" t="e">
        <f ca="1">MAXIFS(#REF!,#REF!,"&lt;&gt;0",#REF!,"&gt;="&amp;B8,#REF!,"&lt;="&amp;EOMONTH(B8,0))</f>
        <v>#NAME?</v>
      </c>
      <c r="J31" s="1072" t="e">
        <f>COUNTIFS(#REF!,"&gt;="&amp;D31,#REF!,"&gt;="&amp;B8,#REF!,"&lt;="&amp;EOMONTH(B8,0))</f>
        <v>#REF!</v>
      </c>
      <c r="K31" s="1073" t="e">
        <f t="shared" si="1"/>
        <v>#REF!</v>
      </c>
      <c r="L31" s="1099"/>
      <c r="M31" s="1132"/>
      <c r="N31" s="1102"/>
      <c r="O31" s="1102"/>
      <c r="P31" s="1069"/>
      <c r="Q31" s="1069"/>
      <c r="R31" s="1069"/>
      <c r="S31" s="1069"/>
      <c r="T31" s="1270"/>
      <c r="U31" s="1270"/>
      <c r="V31" s="1132"/>
      <c r="W31" s="1106"/>
      <c r="X31" s="1106"/>
      <c r="Y31" s="1069"/>
      <c r="Z31" s="1069"/>
      <c r="AA31" s="1069"/>
      <c r="AB31" s="1069"/>
      <c r="AC31" s="1248"/>
      <c r="AD31" s="1249"/>
      <c r="AE31" s="1132"/>
      <c r="AF31" s="1106"/>
      <c r="AG31" s="1106"/>
      <c r="AH31" s="1106"/>
      <c r="AI31" s="1106"/>
      <c r="AJ31" s="1106"/>
      <c r="AK31" s="1082"/>
      <c r="AL31" s="1117"/>
      <c r="AM31" s="1117"/>
      <c r="AN31" s="1117"/>
      <c r="AO31" s="1117"/>
      <c r="AP31" s="1117"/>
      <c r="AQ31" s="1082"/>
      <c r="AR31" s="1106"/>
      <c r="AS31" s="1106"/>
      <c r="AT31" s="1106"/>
      <c r="AU31" s="1106"/>
      <c r="AV31" s="1106"/>
      <c r="AW31" s="1119"/>
      <c r="AX31" s="1120"/>
      <c r="AY31" s="1094"/>
      <c r="AZ31" s="1095" t="e">
        <f t="shared" si="2"/>
        <v>#REF!</v>
      </c>
      <c r="BA31" s="2"/>
    </row>
    <row r="32" spans="1:53" ht="15" customHeight="1" outlineLevel="1">
      <c r="A32" s="1027">
        <f t="shared" si="3"/>
        <v>1</v>
      </c>
      <c r="B32" s="1096"/>
      <c r="C32" s="1139" t="s">
        <v>46</v>
      </c>
      <c r="D32" s="1122">
        <f>Parametres!$D$30</f>
        <v>1</v>
      </c>
      <c r="E32" s="1068" t="e">
        <f>COUNTIFS(#REF!,"&gt;0",#REF!,"&gt;="&amp;B8,#REF!,"&lt;="&amp;EOMONTH(B8,0))</f>
        <v>#REF!</v>
      </c>
      <c r="F32" s="1069" t="e">
        <f>SUMIFS(#REF!,#REF!,"&lt;&gt;0",#REF!,"&gt;="&amp;B8,#REF!,"&lt;="&amp;EOMONTH(B8,0))</f>
        <v>#REF!</v>
      </c>
      <c r="G32" s="1069" t="e">
        <f t="shared" si="0"/>
        <v>#REF!</v>
      </c>
      <c r="H32" s="1070" t="e">
        <f ca="1">MINIFS(#REF!,#REF!,"&lt;&gt;0",#REF!,"&gt;="&amp;B8,#REF!,"&lt;="&amp;EOMONTH(B8,0))</f>
        <v>#NAME?</v>
      </c>
      <c r="I32" s="1266" t="e">
        <f ca="1">MAXIFS(#REF!,#REF!,"&lt;&gt;0",#REF!,"&gt;="&amp;B8,#REF!,"&lt;="&amp;EOMONTH(B8,0))</f>
        <v>#NAME?</v>
      </c>
      <c r="J32" s="1072" t="e">
        <f>COUNTIFS(#REF!,"&gt;="&amp;D32,#REF!,"&gt;="&amp;B8,#REF!,"&lt;="&amp;EOMONTH(B8,0))</f>
        <v>#REF!</v>
      </c>
      <c r="K32" s="1073" t="e">
        <f t="shared" si="1"/>
        <v>#REF!</v>
      </c>
      <c r="L32" s="1273"/>
      <c r="M32" s="1274"/>
      <c r="N32" s="1144">
        <f>Parametres!$L$30</f>
        <v>40</v>
      </c>
      <c r="O32" s="1077">
        <f>COUNTIFS('Degrémont Entrée'!$AV$14:$AV$379,"&gt;0",'Degrémont Entrée'!$A$14:$A$379,"&gt;="&amp;B8,'Degrémont Entrée'!$A$14:$A$379,"&lt;="&amp;EOMONTH(B8,0))</f>
        <v>4</v>
      </c>
      <c r="P32" s="1078">
        <f>SUMIFS('Degrémont Entrée'!$AV$14:$AV$379,'Degrémont Entrée'!$AV$14:$AV$379,"&lt;&gt;0",'Degrémont Entrée'!$A$14:$A$379,"&gt;="&amp;B8,'Degrémont Entrée'!$A$14:$A$379,"&lt;="&amp;EOMONTH(B8,0))</f>
        <v>120.38999999999999</v>
      </c>
      <c r="Q32" s="1266">
        <f t="shared" ref="Q32:Q33" si="7">IF(O32=0,0,P32/O32)</f>
        <v>30.097499999999997</v>
      </c>
      <c r="R32" s="1266" t="e">
        <f ca="1">MINIFS('Degrémont Entrée'!$AV$14:$AV$379,'Degrémont Entrée'!$AV$14:$AV$379,"&lt;&gt;0",'Degrémont Entrée'!$A$14:$A$379,"&gt;="&amp;B8,'Degrémont Entrée'!$A$14:$A$379,"&lt;="&amp;EOMONTH(B8,0))</f>
        <v>#NAME?</v>
      </c>
      <c r="S32" s="1266" t="e">
        <f ca="1">MAXIFS('Degrémont Entrée'!$AV$14:$AV$379,'Degrémont Entrée'!$AV$14:$AV$379,"&lt;&gt;0",'Degrémont Entrée'!$A$14:$A$379,"&gt;="&amp;B8,'Degrémont Entrée'!$A$14:$A$379,"&lt;="&amp;EOMONTH(B8,0))</f>
        <v>#NAME?</v>
      </c>
      <c r="T32" s="1276">
        <f>COUNTIFS('Degrémont Entrée'!$AV$14:$AV$379,"&gt;="&amp;N32,'Degrémont Entrée'!$A$14:$A$379,"&gt;="&amp;B8,'Degrémont Entrée'!$A$14:$A$379,"&lt;="&amp;EOMONTH(B8,0))</f>
        <v>0</v>
      </c>
      <c r="U32" s="1081">
        <f t="shared" ref="U32:U33" si="8">T32/O32</f>
        <v>0</v>
      </c>
      <c r="V32" s="1075"/>
      <c r="W32" s="1083">
        <f>Parametres!$T$30</f>
        <v>0.8</v>
      </c>
      <c r="X32" s="1142">
        <f>COUNTIFS('Degrémont sortie'!$AP$14:$AP$379,"&gt;0",'Degrémont sortie'!$A$14:$A$379,"&gt;="&amp;B8,'Degrémont sortie'!$A$14:$A$379,"&lt;="&amp;EOMONTH(B8,0))</f>
        <v>4</v>
      </c>
      <c r="Y32" s="1085">
        <f>SUMIFS('Degrémont sortie'!$AP$14:$AP$379,'Degrémont sortie'!$AP$14:$AP$379,"&lt;&gt;0",'Degrémont sortie'!$A$14:$A$379,"&gt;="&amp;B8,'Degrémont sortie'!$A$14:$A$379,"&lt;="&amp;EOMONTH(B8,0))</f>
        <v>0.76</v>
      </c>
      <c r="Z32" s="1069">
        <f t="shared" ref="Z32:Z34" si="9">IF(X32=0,0,Y32/X32)</f>
        <v>0.19</v>
      </c>
      <c r="AA32" s="1277" t="e">
        <f ca="1">MINIFS('Degrémont sortie'!$AP$14:$AP$379,'Degrémont sortie'!$AP$14:$AP$379,"&lt;&gt;0",'Degrémont sortie'!$A$14:$A$379,"&gt;="&amp;B8,'Degrémont sortie'!$A$14:$A$379,"&lt;="&amp;EOMONTH(B8,0))</f>
        <v>#NAME?</v>
      </c>
      <c r="AB32" s="1069" t="e">
        <f ca="1">MAXIFS('Degrémont sortie'!$AP$14:$AP$379,'Degrémont sortie'!$AP$14:$AP$379,"&lt;&gt;0",'Degrémont sortie'!$A$14:$A$379,"&gt;="&amp;B8,'Degrémont sortie'!$A$14:$A$379,"&lt;="&amp;EOMONTH(B8,0))</f>
        <v>#NAME?</v>
      </c>
      <c r="AC32" s="1142">
        <f>COUNTIFS('Degrémont sortie'!$AP$14:$AP$379,"&gt;="&amp;W32,'Degrémont sortie'!$A$14:$A$379,"&gt;="&amp;B8,'Degrémont sortie'!$A$14:$A$379,"&lt;="&amp;EOMONTH(B8,0))</f>
        <v>0</v>
      </c>
      <c r="AD32" s="1087">
        <f t="shared" ref="AD32:AD33" si="10">AC32/X32</f>
        <v>0</v>
      </c>
      <c r="AE32" s="1075"/>
      <c r="AF32" s="1278"/>
      <c r="AG32" s="1278"/>
      <c r="AH32" s="1278"/>
      <c r="AI32" s="1278"/>
      <c r="AJ32" s="1278"/>
      <c r="AK32" s="1279"/>
      <c r="AL32" s="1278"/>
      <c r="AM32" s="1278"/>
      <c r="AN32" s="1278"/>
      <c r="AO32" s="1278"/>
      <c r="AP32" s="1278"/>
      <c r="AQ32" s="1279"/>
      <c r="AR32" s="1278"/>
      <c r="AS32" s="1278"/>
      <c r="AT32" s="1278"/>
      <c r="AU32" s="1278"/>
      <c r="AV32" s="1278"/>
      <c r="AW32" s="1278"/>
      <c r="AX32" s="1280"/>
      <c r="AY32" s="1094"/>
      <c r="AZ32" s="1095" t="e">
        <f t="shared" si="2"/>
        <v>#REF!</v>
      </c>
      <c r="BA32" s="2"/>
    </row>
    <row r="33" spans="1:53" ht="15" customHeight="1" outlineLevel="1">
      <c r="A33" s="1027"/>
      <c r="B33" s="1096"/>
      <c r="C33" s="1139" t="s">
        <v>34</v>
      </c>
      <c r="D33" s="1122">
        <f>Parametres!$D$32</f>
        <v>400</v>
      </c>
      <c r="E33" s="1068" t="e">
        <f>COUNTIFS(#REF!,"&gt;0",#REF!,"&gt;="&amp;B8,#REF!,"&lt;="&amp;EOMONTH(B8,0))</f>
        <v>#REF!</v>
      </c>
      <c r="F33" s="1069" t="e">
        <f>SUMIFS(#REF!,#REF!,"&lt;&gt;0",#REF!,"&gt;="&amp;B8,#REF!,"&lt;="&amp;EOMONTH(B8,0))</f>
        <v>#REF!</v>
      </c>
      <c r="G33" s="1069" t="e">
        <f t="shared" si="0"/>
        <v>#REF!</v>
      </c>
      <c r="H33" s="1070" t="e">
        <f ca="1">MINIFS(#REF!,#REF!,"&lt;&gt;0",#REF!,"&gt;="&amp;B8,#REF!,"&lt;="&amp;EOMONTH(B8,0))</f>
        <v>#NAME?</v>
      </c>
      <c r="I33" s="1069" t="e">
        <f ca="1">MAXIFS(#REF!,#REF!,"&lt;&gt;0",#REF!,"&gt;="&amp;B8,#REF!,"&lt;="&amp;EOMONTH(B8,0))</f>
        <v>#NAME?</v>
      </c>
      <c r="J33" s="1114" t="e">
        <f>COUNTIFS(#REF!,"&gt;="&amp;D33,#REF!,"&gt;="&amp;B8,#REF!,"&lt;="&amp;EOMONTH(B8,0))</f>
        <v>#REF!</v>
      </c>
      <c r="K33" s="1073" t="e">
        <f t="shared" si="1"/>
        <v>#REF!</v>
      </c>
      <c r="L33" s="1281"/>
      <c r="M33" s="1282"/>
      <c r="N33" s="1144">
        <f>Parametres!$L$32</f>
        <v>4000</v>
      </c>
      <c r="O33" s="1077">
        <f>COUNTIFS('Degrémont Entrée'!$G$14:$G$379,"&gt;0",'Degrémont Entrée'!$A$14:$A$379,"&gt;="&amp;B8,'Degrémont Entrée'!$A$14:$A$379,"&lt;="&amp;EOMONTH(B8,0))</f>
        <v>28</v>
      </c>
      <c r="P33" s="1078">
        <f>SUMIFS('Degrémont Entrée'!$G$14:$G$379,'Degrémont Entrée'!$G$14:$G$379,"&lt;&gt;0",'Degrémont Entrée'!$A$14:$A$379,"&gt;="&amp;B8,'Degrémont Entrée'!$A$14:$A$379,"&lt;="&amp;EOMONTH(B8,0))</f>
        <v>213772.6027628794</v>
      </c>
      <c r="Q33" s="1283">
        <f t="shared" si="7"/>
        <v>7634.7358129599788</v>
      </c>
      <c r="R33" s="1069" t="e">
        <f ca="1">MINIFS('Degrémont Entrée'!$G$14:$G$379,'Degrémont Entrée'!$G$14:$G$379,"&lt;&gt;0",'Degrémont Entrée'!$A$14:$A$379,"&gt;="&amp;B8,'Degrémont Entrée'!$A$14:$A$379,"&lt;="&amp;EOMONTH(B8,0))</f>
        <v>#NAME?</v>
      </c>
      <c r="S33" s="1284" t="e">
        <f ca="1">MAXIFS('Degrémont Entrée'!$G$14:$G$379,'Degrémont Entrée'!$G$14:$G$379,"&lt;&gt;0",'Degrémont Entrée'!$A$14:$A$379,"&gt;="&amp;B8,'Degrémont Entrée'!$A$14:$A$379,"&lt;="&amp;EOMONTH(B8,0))</f>
        <v>#NAME?</v>
      </c>
      <c r="T33" s="1141">
        <f>COUNTIFS('Degrémont Entrée'!$G$14:$G$379,"&gt;="&amp;N33,'Degrémont Entrée'!$A$14:$A$379,"&gt;="&amp;B8,'Degrémont Entrée'!$A$14:$A$379,"&lt;="&amp;EOMONTH(B8,0))</f>
        <v>21</v>
      </c>
      <c r="U33" s="1081">
        <f t="shared" si="8"/>
        <v>0.75</v>
      </c>
      <c r="V33" s="1285"/>
      <c r="W33" s="1083">
        <f>Parametres!$T$32</f>
        <v>55</v>
      </c>
      <c r="X33" s="1142">
        <f>COUNTIFS('Degrémont sortie'!$G$14:$G$379,"&gt;0",'Degrémont sortie'!$A$14:$A$379,"&gt;="&amp;B8,'Degrémont sortie'!$A$14:$A$379,"&lt;="&amp;EOMONTH(B8,0))</f>
        <v>28</v>
      </c>
      <c r="Y33" s="1085">
        <f>SUMIFS('Degrémont sortie'!$G$14:$G$379,'Degrémont sortie'!$G$14:$G$379,"&lt;&gt;0",'Degrémont sortie'!$A$14:$A$379,"&gt;="&amp;B8,'Degrémont sortie'!$A$14:$A$379,"&lt;="&amp;EOMONTH(B8,0))</f>
        <v>772.85193788813774</v>
      </c>
      <c r="Z33" s="1069">
        <f t="shared" si="9"/>
        <v>27.601854924576347</v>
      </c>
      <c r="AA33" s="1286" t="e">
        <f ca="1">MINIFS('Degrémont sortie'!$G$14:$G$379,'Degrémont sortie'!$G$14:G$379,"&lt;&gt;0",'Degrémont sortie'!$A$14:$A$379,"&gt;="&amp;B8,'Degrémont sortie'!$A$14:$A$379,"&lt;="&amp;EOMONTH(B8,0))</f>
        <v>#NAME?</v>
      </c>
      <c r="AB33" s="1286" t="e">
        <f ca="1">MAXIFS('Degrémont sortie'!$G$14:$G$379,'Degrémont sortie'!$G$14:$G$379,"&lt;&gt;0",'Degrémont sortie'!$A$14:$A$379,"&gt;="&amp;B8,'Degrémont sortie'!$A$14:$A$379,"&lt;="&amp;EOMONTH(B8,0))</f>
        <v>#NAME?</v>
      </c>
      <c r="AC33" s="1141">
        <f>COUNTIFS('Degrémont sortie'!$G$14:$G$379,"&gt;="&amp;W33,'Degrémont sortie'!$A$14:$A$379,"&gt;="&amp;B8,'Degrémont sortie'!$A$14:$A$379,"&lt;="&amp;EOMONTH(B8,0))</f>
        <v>2</v>
      </c>
      <c r="AD33" s="1087">
        <f t="shared" si="10"/>
        <v>7.1428571428571425E-2</v>
      </c>
      <c r="AE33" s="1285"/>
      <c r="AF33" s="1205" t="e">
        <f>COUNTIFS(#REF!,"&gt;0",#REF!,"&gt;="&amp;B8,#REF!,"&lt;="&amp;EOMONTH(B8,0))</f>
        <v>#REF!</v>
      </c>
      <c r="AG33" s="1208" t="e">
        <f>SUMIFS(#REF!,#REF!,"&lt;&gt;0",#REF!,"&gt;="&amp;B8,#REF!,"&lt;="&amp;EOMONTH(B8,0))</f>
        <v>#REF!</v>
      </c>
      <c r="AH33" s="1208" t="e">
        <f>IF(AF33=0,0,AG33/AF33)</f>
        <v>#REF!</v>
      </c>
      <c r="AI33" s="1208" t="e">
        <f ca="1">MINIFS(#REF!,#REF!,"&lt;&gt;0",#REF!,"&gt;="&amp;B8,#REF!,"&lt;="&amp;EOMONTH(B8,0))</f>
        <v>#NAME?</v>
      </c>
      <c r="AJ33" s="1208" t="e">
        <f ca="1">MAXIFS(#REF!,#REF!,"&lt;&gt;0",#REF!,"&gt;="&amp;B8,#REF!,"&lt;="&amp;EOMONTH(B8,0))</f>
        <v>#NAME?</v>
      </c>
      <c r="AK33" s="1285"/>
      <c r="AL33" s="1205" t="e">
        <f>COUNTIFS(#REF!,"&gt;0",#REF!,"&gt;="&amp;B8,#REF!,"&lt;="&amp;EOMONTH(B8,0))</f>
        <v>#REF!</v>
      </c>
      <c r="AM33" s="1208" t="e">
        <f>SUMIFS(#REF!,#REF!,"&lt;&gt;0",#REF!,"&gt;="&amp;B8,#REF!,"&lt;="&amp;EOMONTH(B8,0))</f>
        <v>#REF!</v>
      </c>
      <c r="AN33" s="1208" t="e">
        <f>IF(AL33=0,0,AM33/AL33)</f>
        <v>#REF!</v>
      </c>
      <c r="AO33" s="1141" t="e">
        <f ca="1">MINIFS(#REF!,#REF!,"&lt;&gt;0",#REF!,"&gt;="&amp;B8,#REF!,"&lt;="&amp;EOMONTH(B8,0))</f>
        <v>#NAME?</v>
      </c>
      <c r="AP33" s="1141" t="e">
        <f ca="1">MAXIFS(#REF!,#REF!,"&lt;&gt;0",#REF!,"&gt;="&amp;B8,#REF!,"&lt;="&amp;EOMONTH(B8,0))</f>
        <v>#NAME?</v>
      </c>
      <c r="AQ33" s="1285"/>
      <c r="AR33" s="1220">
        <f>Parametres!$AM$32</f>
        <v>2600</v>
      </c>
      <c r="AS33" s="1205" t="e">
        <f>COUNTIFS(#REF!,"&gt;0",#REF!,"&gt;="&amp;B8,#REF!,"&lt;="&amp;EOMONTH(B8,0))</f>
        <v>#REF!</v>
      </c>
      <c r="AT33" s="1208" t="e">
        <f>SUMIFS(#REF!,#REF!,"&lt;&gt;0",#REF!,"&gt;="&amp;B8,#REF!,"&lt;="&amp;EOMONTH(B8,0))</f>
        <v>#REF!</v>
      </c>
      <c r="AU33" s="1208" t="e">
        <f>IF(AS33=0,0,AT33/AS33)</f>
        <v>#REF!</v>
      </c>
      <c r="AV33" s="1287" t="e">
        <f ca="1">MINIFS(#REF!,#REF!,"&lt;&gt;0",#REF!,"&gt;="&amp;B8,#REF!,"&lt;="&amp;EOMONTH(B8,0))</f>
        <v>#NAME?</v>
      </c>
      <c r="AW33" s="1141" t="e">
        <f ca="1">MAXIFS(#REF!,#REF!,"&lt;&gt;0",#REF!,"&gt;="&amp;B8,#REF!,"&lt;="&amp;EOMONTH(B8,0))</f>
        <v>#NAME?</v>
      </c>
      <c r="AX33" s="1288" t="e">
        <f>COUNTIFS(#REF!,"&gt;="&amp;AR33,#REF!,"&gt;="&amp;B8,#REF!,"&lt;="&amp;EOMONTH(B8,0))</f>
        <v>#REF!</v>
      </c>
      <c r="AY33" s="1224" t="e">
        <f>AX33/AS33</f>
        <v>#REF!</v>
      </c>
      <c r="AZ33" s="1095" t="e">
        <f t="shared" si="2"/>
        <v>#REF!</v>
      </c>
      <c r="BA33" s="2"/>
    </row>
    <row r="34" spans="1:53" ht="15.75" customHeight="1" outlineLevel="1">
      <c r="A34" s="1027"/>
      <c r="B34" s="1096"/>
      <c r="C34" s="1139" t="s">
        <v>118</v>
      </c>
      <c r="D34" s="1122">
        <f>Parametres!$D$33</f>
        <v>75</v>
      </c>
      <c r="E34" s="1068" t="e">
        <f>COUNTIFS(#REF!,"&gt;0",#REF!,"&gt;="&amp;B8,#REF!,"&lt;="&amp;EOMONTH(B8,0))</f>
        <v>#REF!</v>
      </c>
      <c r="F34" s="1069" t="e">
        <f>SUMIFS(#REF!,#REF!,"&lt;&gt;0",#REF!,"&gt;="&amp;B8,#REF!,"&lt;="&amp;EOMONTH(B8,0))</f>
        <v>#REF!</v>
      </c>
      <c r="G34" s="1069" t="e">
        <f t="shared" si="0"/>
        <v>#REF!</v>
      </c>
      <c r="H34" s="1070" t="e">
        <f ca="1">MINIFS(#REF!,#REF!,"&lt;&gt;0",#REF!,"&gt;="&amp;B8,#REF!,"&lt;="&amp;EOMONTH(B8,0))</f>
        <v>#NAME?</v>
      </c>
      <c r="I34" s="1069" t="e">
        <f ca="1">MAXIFS(#REF!,#REF!,"&lt;&gt;0",#REF!,"&gt;="&amp;B8,#REF!,"&lt;="&amp;EOMONTH(B8,0))</f>
        <v>#NAME?</v>
      </c>
      <c r="J34" s="1114" t="e">
        <f>COUNTIFS(#REF!,"&gt;="&amp;D34,#REF!,"&gt;="&amp;B8,#REF!,"&lt;="&amp;EOMONTH(B8,0))</f>
        <v>#REF!</v>
      </c>
      <c r="K34" s="1073" t="e">
        <f t="shared" si="1"/>
        <v>#REF!</v>
      </c>
      <c r="L34" s="1281"/>
      <c r="M34" s="1289"/>
      <c r="N34" s="1290"/>
      <c r="O34" s="1290"/>
      <c r="P34" s="1286"/>
      <c r="Q34" s="1283"/>
      <c r="R34" s="1286"/>
      <c r="S34" s="1286"/>
      <c r="T34" s="1290"/>
      <c r="U34" s="1290"/>
      <c r="V34" s="1285"/>
      <c r="W34" s="1083">
        <f>Parametres!$T$33</f>
        <v>150</v>
      </c>
      <c r="X34" s="1142">
        <f>COUNTIFS('Degrémont sortie'!$X$14:$X$379,"&gt;0",'Degrémont sortie'!$A$14:$A$379,"&gt;="&amp;B8,'Degrémont sortie'!$A$14:$A$379,"&lt;="&amp;EOMONTH(B8,0))</f>
        <v>4</v>
      </c>
      <c r="Y34" s="1085">
        <f>SUMIFS('Degrémont sortie'!$X$14:$X$379,'Degrémont sortie'!$X$14:$X$379,"&lt;&gt;0",'Degrémont sortie'!$A$14:$A$379,"&gt;="&amp;B8,'Degrémont sortie'!$A$14:$A$379,"&lt;="&amp;EOMONTH(B8,0))</f>
        <v>48.8</v>
      </c>
      <c r="Z34" s="1069">
        <f t="shared" si="9"/>
        <v>12.2</v>
      </c>
      <c r="AA34" s="1286" t="e">
        <f ca="1">MINIFS('Degrémont sortie'!$X$14:$X$379,'Degrémont sortie'!$X$14:$X$379,"&lt;&gt;0",'Degrémont sortie'!$A$14:$A$379,"&gt;="&amp;B8,'Degrémont sortie'!$A$14:$A$379,"&lt;="&amp;EOMONTH(B8,0))</f>
        <v>#NAME?</v>
      </c>
      <c r="AB34" s="1286" t="e">
        <f ca="1">MAXIFS('Degrémont sortie'!$X$14:$X$379,'Degrémont sortie'!$X$14:$X$379,"&lt;&gt;0",'Degrémont sortie'!$A$14:$A$379,"&gt;="&amp;B8,'Degrémont sortie'!$A$14:$A$379,"&lt;="&amp;EOMONTH(B8,0))</f>
        <v>#NAME?</v>
      </c>
      <c r="AC34" s="1291" t="s">
        <v>153</v>
      </c>
      <c r="AD34" s="1292" t="s">
        <v>153</v>
      </c>
      <c r="AE34" s="1285"/>
      <c r="AF34" s="1293"/>
      <c r="AG34" s="1293"/>
      <c r="AH34" s="1293"/>
      <c r="AI34" s="1293"/>
      <c r="AJ34" s="1293"/>
      <c r="AK34" s="1285"/>
      <c r="AL34" s="1293"/>
      <c r="AM34" s="1293"/>
      <c r="AN34" s="1293"/>
      <c r="AO34" s="1293"/>
      <c r="AP34" s="1293"/>
      <c r="AQ34" s="1285"/>
      <c r="AR34" s="1293"/>
      <c r="AS34" s="1293"/>
      <c r="AT34" s="1293"/>
      <c r="AU34" s="1293"/>
      <c r="AV34" s="1293"/>
      <c r="AW34" s="1293"/>
      <c r="AX34" s="1294"/>
      <c r="AY34" s="1295"/>
      <c r="AZ34" s="1095" t="e">
        <f t="shared" si="2"/>
        <v>#REF!</v>
      </c>
      <c r="BA34" s="2"/>
    </row>
    <row r="35" spans="1:53" ht="15.75" customHeight="1" outlineLevel="1">
      <c r="A35" s="1027"/>
      <c r="B35" s="1096"/>
      <c r="C35" s="1139" t="s">
        <v>285</v>
      </c>
      <c r="D35" s="1122">
        <f>Parametres!$D$34</f>
        <v>10000000</v>
      </c>
      <c r="E35" s="1068" t="e">
        <f>COUNTIFS(#REF!,"&gt;0",#REF!,"&gt;="&amp;B8,#REF!,"&lt;="&amp;EOMONTH(B8,0))</f>
        <v>#REF!</v>
      </c>
      <c r="F35" s="1069" t="e">
        <f>SUMIFS(#REF!,#REF!,"&lt;&gt;0",#REF!,"&gt;="&amp;B8,#REF!,"&lt;="&amp;EOMONTH(B8,0))</f>
        <v>#REF!</v>
      </c>
      <c r="G35" s="1069" t="e">
        <f t="shared" si="0"/>
        <v>#REF!</v>
      </c>
      <c r="H35" s="1070" t="e">
        <f ca="1">MINIFS(#REF!,#REF!,"&lt;&gt;0",#REF!,"&gt;="&amp;B8,#REF!,"&lt;="&amp;EOMONTH(B8,0))</f>
        <v>#NAME?</v>
      </c>
      <c r="I35" s="1069" t="e">
        <f ca="1">MAXIFS(#REF!,#REF!,"&lt;&gt;0",#REF!,"&gt;="&amp;B8,#REF!,"&lt;="&amp;EOMONTH(B8,0))</f>
        <v>#NAME?</v>
      </c>
      <c r="J35" s="1072" t="s">
        <v>153</v>
      </c>
      <c r="K35" s="1073" t="e">
        <f t="shared" si="1"/>
        <v>#REF!</v>
      </c>
      <c r="L35" s="1281"/>
      <c r="M35" s="1289"/>
      <c r="N35" s="1290"/>
      <c r="O35" s="1290"/>
      <c r="P35" s="1286"/>
      <c r="Q35" s="1283"/>
      <c r="R35" s="1286"/>
      <c r="S35" s="1286"/>
      <c r="T35" s="1290"/>
      <c r="U35" s="1290"/>
      <c r="V35" s="1285"/>
      <c r="W35" s="1293"/>
      <c r="X35" s="1293"/>
      <c r="Y35" s="1286"/>
      <c r="Z35" s="1286"/>
      <c r="AA35" s="1286"/>
      <c r="AB35" s="1286"/>
      <c r="AC35" s="1293"/>
      <c r="AD35" s="1249"/>
      <c r="AE35" s="1285"/>
      <c r="AF35" s="1293"/>
      <c r="AG35" s="1293"/>
      <c r="AH35" s="1293"/>
      <c r="AI35" s="1293"/>
      <c r="AJ35" s="1293"/>
      <c r="AK35" s="1285"/>
      <c r="AL35" s="1293"/>
      <c r="AM35" s="1293"/>
      <c r="AN35" s="1293"/>
      <c r="AO35" s="1293"/>
      <c r="AP35" s="1293"/>
      <c r="AQ35" s="1285"/>
      <c r="AR35" s="1293"/>
      <c r="AS35" s="1293"/>
      <c r="AT35" s="1293"/>
      <c r="AU35" s="1293"/>
      <c r="AV35" s="1293"/>
      <c r="AW35" s="1293"/>
      <c r="AX35" s="1294"/>
      <c r="AY35" s="1295"/>
      <c r="AZ35" s="1095" t="e">
        <f t="shared" si="2"/>
        <v>#REF!</v>
      </c>
      <c r="BA35" s="2"/>
    </row>
    <row r="36" spans="1:53" ht="15.75" customHeight="1" outlineLevel="1">
      <c r="A36" s="1027"/>
      <c r="B36" s="1096"/>
      <c r="C36" s="1139" t="s">
        <v>48</v>
      </c>
      <c r="D36" s="1122">
        <f>Parametres!$D$35</f>
        <v>0.5</v>
      </c>
      <c r="E36" s="1068" t="e">
        <f>COUNTIFS(#REF!,"&gt;0",#REF!,"&gt;="&amp;B8,#REF!,"&lt;="&amp;EOMONTH(B8,0))</f>
        <v>#REF!</v>
      </c>
      <c r="F36" s="1069" t="e">
        <f>SUMIFS(#REF!,#REF!,"&lt;&gt;0",#REF!,"&gt;="&amp;B8,#REF!,"&lt;="&amp;EOMONTH(B8,0))</f>
        <v>#REF!</v>
      </c>
      <c r="G36" s="1069" t="e">
        <f t="shared" si="0"/>
        <v>#REF!</v>
      </c>
      <c r="H36" s="1070" t="e">
        <f ca="1">MINIFS(#REF!,#REF!,"&lt;&gt;0",#REF!,"&gt;="&amp;B8,#REF!,"&lt;="&amp;EOMONTH(B8,0))</f>
        <v>#NAME?</v>
      </c>
      <c r="I36" s="1069" t="e">
        <f ca="1">MAXIFS(#REF!,#REF!,"&lt;&gt;0",#REF!,"&gt;="&amp;B8,#REF!,"&lt;="&amp;EOMONTH(B8,0))</f>
        <v>#NAME?</v>
      </c>
      <c r="J36" s="1114" t="e">
        <f>COUNTIFS(#REF!,"&gt;="&amp;D36,#REF!,"&gt;="&amp;B8,#REF!,"&lt;="&amp;EOMONTH(B8,0))</f>
        <v>#REF!</v>
      </c>
      <c r="K36" s="1073" t="e">
        <f t="shared" si="1"/>
        <v>#REF!</v>
      </c>
      <c r="L36" s="1281"/>
      <c r="M36" s="1289"/>
      <c r="N36" s="1144">
        <f>Parametres!$L$35</f>
        <v>30</v>
      </c>
      <c r="O36" s="1077">
        <f>COUNTIFS('Degrémont Entrée'!$BB$14:$BB$379,"&gt;0",'Degrémont Entrée'!$A$14:$A$379,"&gt;="&amp;B8,'Degrémont Entrée'!$A$14:$A$379,"&lt;="&amp;EOMONTH(B8,0))</f>
        <v>4</v>
      </c>
      <c r="P36" s="1078">
        <f>SUMIFS('Degrémont Entrée'!$BB$14:$BB$379,'Degrémont Entrée'!$BB$14:$BB$379,"&lt;&gt;0",'Degrémont Entrée'!$A$14:$A$379,"&gt;="&amp;B8,'Degrémont Entrée'!$A$14:$A$379,"&lt;="&amp;EOMONTH(B8,0))</f>
        <v>23.6</v>
      </c>
      <c r="Q36" s="1283">
        <f>IF(O36=0,0,P36/O36)</f>
        <v>5.9</v>
      </c>
      <c r="R36" s="1286" t="e">
        <f ca="1">MINIFS('Degrémont Entrée'!$BB$14:$BB$379,'Degrémont Entrée'!$BB$14:$BB$379,"&lt;&gt;0",'Degrémont Entrée'!$A$14:$A$379,"&gt;="&amp;B8,'Degrémont Entrée'!$A$14:$A$379,"&lt;="&amp;EOMONTH(B8,0))</f>
        <v>#NAME?</v>
      </c>
      <c r="S36" s="1286" t="e">
        <f ca="1">MAXIFS('Degrémont Entrée'!$BB$14:$BB$379,'Degrémont Entrée'!$BB$14:$BB$379,"&lt;&gt;0",'Degrémont Entrée'!$A$14:$A$379,"&gt;="&amp;B8,'Degrémont Entrée'!$A$14:$A$379,"&lt;="&amp;EOMONTH(B8,0))</f>
        <v>#NAME?</v>
      </c>
      <c r="T36" s="1141">
        <f>COUNTIFS('Degrémont Entrée'!$BB$14:$BB$379,"&gt;="&amp;N36,'Degrémont Entrée'!$A$14:$A$379,"&gt;="&amp;B8,'Degrémont Entrée'!$A$14:$A$379,"&lt;="&amp;EOMONTH(B8,0))</f>
        <v>0</v>
      </c>
      <c r="U36" s="1081">
        <f>T36/O36</f>
        <v>0</v>
      </c>
      <c r="V36" s="1285"/>
      <c r="W36" s="1083">
        <f>Parametres!$T$35</f>
        <v>0.16</v>
      </c>
      <c r="X36" s="1142">
        <f>COUNTIFS('Degrémont sortie'!$AV$14:$AV$379,"&gt;0",'Degrémont sortie'!$A$14:$A$379,"&gt;="&amp;B8,'Degrémont sortie'!$A$14:$A$379,"&lt;="&amp;EOMONTH(B8,0))</f>
        <v>4</v>
      </c>
      <c r="Y36" s="1085">
        <f>SUMIFS('Degrémont sortie'!$AV$14:$AV$379,'Degrémont sortie'!$AV$14:$AV$379,"&lt;&gt;0",'Degrémont sortie'!$A$14:$A$379,"&gt;="&amp;B8,'Degrémont sortie'!$A$14:$A$379,"&lt;="&amp;EOMONTH(B8,0))</f>
        <v>0.62</v>
      </c>
      <c r="Z36" s="1069">
        <f t="shared" ref="Z36:Z38" si="11">IF(X36=0,0,Y36/X36)</f>
        <v>0.155</v>
      </c>
      <c r="AA36" s="1286" t="e">
        <f ca="1">MINIFS('Degrémont sortie'!$AV$14:$AV$379,'Degrémont sortie'!$AV$14:$AV$379,"&lt;&gt;0",'Degrémont sortie'!$A$14:$A$379,"&gt;="&amp;B8,'Degrémont sortie'!$A$14:$A$379,"&lt;="&amp;EOMONTH(B8,0))</f>
        <v>#NAME?</v>
      </c>
      <c r="AB36" s="1286" t="e">
        <f ca="1">MAXIFS('Degrémont sortie'!$AV$14:$AV$379,'Degrémont sortie'!$AV$14:$AV$379,"&lt;&gt;0",'Degrémont sortie'!$A$14:$A$379,"&gt;="&amp;B8,'Degrémont sortie'!$A$14:$A$379,"&lt;="&amp;EOMONTH(B8,0))</f>
        <v>#NAME?</v>
      </c>
      <c r="AC36" s="1141">
        <f>COUNTIFS('Degrémont sortie'!$AV$14:$AV$379,"&gt;="&amp;W36,'Degrémont sortie'!$A$14:$A$379,"&gt;="&amp;B8,'Degrémont sortie'!$A$14:$A$379,"&lt;="&amp;EOMONTH(B8,0))</f>
        <v>1</v>
      </c>
      <c r="AD36" s="1087">
        <f>AC36/X36</f>
        <v>0.25</v>
      </c>
      <c r="AE36" s="1285"/>
      <c r="AF36" s="1293"/>
      <c r="AG36" s="1293"/>
      <c r="AH36" s="1293"/>
      <c r="AI36" s="1293"/>
      <c r="AJ36" s="1293"/>
      <c r="AK36" s="1285"/>
      <c r="AL36" s="1293"/>
      <c r="AM36" s="1293"/>
      <c r="AN36" s="1293"/>
      <c r="AO36" s="1293"/>
      <c r="AP36" s="1293"/>
      <c r="AQ36" s="1285"/>
      <c r="AR36" s="1293"/>
      <c r="AS36" s="1293"/>
      <c r="AT36" s="1293"/>
      <c r="AU36" s="1293"/>
      <c r="AV36" s="1293"/>
      <c r="AW36" s="1293"/>
      <c r="AX36" s="1294"/>
      <c r="AY36" s="1295"/>
      <c r="AZ36" s="1095" t="e">
        <f t="shared" si="2"/>
        <v>#REF!</v>
      </c>
      <c r="BA36" s="2"/>
    </row>
    <row r="37" spans="1:53" ht="15.75" customHeight="1" outlineLevel="1">
      <c r="A37" s="1027"/>
      <c r="B37" s="1096"/>
      <c r="C37" s="1139" t="s">
        <v>39</v>
      </c>
      <c r="D37" s="1122">
        <f>Parametres!$D$36</f>
        <v>10000000</v>
      </c>
      <c r="E37" s="1068" t="e">
        <f>COUNTIFS(#REF!,"&gt;0",#REF!,"&gt;="&amp;B8,#REF!,"&lt;="&amp;EOMONTH(B8,0))</f>
        <v>#REF!</v>
      </c>
      <c r="F37" s="1069" t="e">
        <f>SUMIFS(#REF!,#REF!,"&lt;&gt;0",#REF!,"&gt;="&amp;B8,#REF!,"&lt;="&amp;EOMONTH(B8,0))</f>
        <v>#REF!</v>
      </c>
      <c r="G37" s="1069" t="e">
        <f t="shared" si="0"/>
        <v>#REF!</v>
      </c>
      <c r="H37" s="1070" t="e">
        <f ca="1">MINIFS(#REF!,#REF!,"&lt;&gt;0",#REF!,"&gt;="&amp;B8,#REF!,"&lt;="&amp;EOMONTH(B8,0))</f>
        <v>#NAME?</v>
      </c>
      <c r="I37" s="1277" t="e">
        <f ca="1">MAXIFS(#REF!,#REF!,"&lt;&gt;0",#REF!,"&gt;="&amp;B8,#REF!,"&lt;="&amp;EOMONTH(B8,0))</f>
        <v>#NAME?</v>
      </c>
      <c r="J37" s="1072" t="s">
        <v>153</v>
      </c>
      <c r="K37" s="1073" t="e">
        <f t="shared" si="1"/>
        <v>#REF!</v>
      </c>
      <c r="L37" s="1281"/>
      <c r="M37" s="1289"/>
      <c r="N37" s="1290"/>
      <c r="O37" s="1290"/>
      <c r="P37" s="1286"/>
      <c r="Q37" s="1286"/>
      <c r="R37" s="1286"/>
      <c r="S37" s="1286"/>
      <c r="T37" s="1290"/>
      <c r="U37" s="1290"/>
      <c r="V37" s="1285"/>
      <c r="W37" s="1083">
        <f>Parametres!$T$36</f>
        <v>100000000</v>
      </c>
      <c r="X37" s="1142">
        <f>COUNTIFS('Degrémont sortie'!$R$14:$R$379,"&gt;0",'Degrémont sortie'!$A$14:$A$379,"&gt;="&amp;B8,'Degrémont sortie'!$A$14:$A$379,"&lt;="&amp;EOMONTH(B8,0))</f>
        <v>0</v>
      </c>
      <c r="Y37" s="1085">
        <f>SUMIFS('Degrémont sortie'!$R$14:$R$379,'Degrémont sortie'!$R$14:$R$379,"&lt;&gt;0",'Degrémont sortie'!$A$14:$A$379,"&gt;="&amp;B8,'Degrémont sortie'!$A$14:$A$379,"&lt;="&amp;EOMONTH(B8,0))</f>
        <v>0</v>
      </c>
      <c r="Z37" s="1069">
        <f t="shared" si="11"/>
        <v>0</v>
      </c>
      <c r="AA37" s="1286" t="e">
        <f ca="1">MINIFS('Degrémont sortie'!$R$14:$R$379,'Degrémont sortie'!$R$14:$R$379,"&lt;&gt;0",'Degrémont sortie'!$A$14:$A$379,"&gt;="&amp;B8,'Degrémont sortie'!$A$14:$A$379,"&lt;="&amp;EOMONTH(B8,0))</f>
        <v>#NAME?</v>
      </c>
      <c r="AB37" s="1286" t="e">
        <f ca="1">MAXIFS('Degrémont sortie'!$R$14:$R$379,'Degrémont sortie'!$R$14:$R$379,"&lt;&gt;0",'Degrémont sortie'!$A$14:$A$379,"&gt;="&amp;B8,'Degrémont sortie'!$A$14:$A$379,"&lt;="&amp;EOMONTH(B8,0))</f>
        <v>#NAME?</v>
      </c>
      <c r="AC37" s="1291" t="s">
        <v>153</v>
      </c>
      <c r="AD37" s="1292" t="s">
        <v>153</v>
      </c>
      <c r="AE37" s="1285"/>
      <c r="AF37" s="1293"/>
      <c r="AG37" s="1293"/>
      <c r="AH37" s="1293"/>
      <c r="AI37" s="1293"/>
      <c r="AJ37" s="1293"/>
      <c r="AK37" s="1285"/>
      <c r="AL37" s="1293"/>
      <c r="AM37" s="1293"/>
      <c r="AN37" s="1293"/>
      <c r="AO37" s="1293"/>
      <c r="AP37" s="1293"/>
      <c r="AQ37" s="1285"/>
      <c r="AR37" s="1293"/>
      <c r="AS37" s="1293"/>
      <c r="AT37" s="1293"/>
      <c r="AU37" s="1293"/>
      <c r="AV37" s="1293"/>
      <c r="AW37" s="1293"/>
      <c r="AX37" s="1294"/>
      <c r="AY37" s="1295"/>
      <c r="AZ37" s="1095" t="e">
        <f t="shared" si="2"/>
        <v>#REF!</v>
      </c>
      <c r="BA37" s="2"/>
    </row>
    <row r="38" spans="1:53" ht="15.75" customHeight="1" outlineLevel="1">
      <c r="A38" s="1027"/>
      <c r="B38" s="1096"/>
      <c r="C38" s="1139" t="s">
        <v>40</v>
      </c>
      <c r="D38" s="1122">
        <f>Parametres!$D$37</f>
        <v>10000000</v>
      </c>
      <c r="E38" s="1068" t="e">
        <f>COUNTIFS(#REF!,"&gt;0",#REF!,"&gt;="&amp;B8,#REF!,"&lt;="&amp;EOMONTH(B8,0))</f>
        <v>#REF!</v>
      </c>
      <c r="F38" s="1069" t="e">
        <f>SUMIFS(#REF!,#REF!,"&lt;&gt;0",#REF!,"&gt;="&amp;B8,#REF!,"&lt;="&amp;EOMONTH(B8,0))</f>
        <v>#REF!</v>
      </c>
      <c r="G38" s="1069" t="e">
        <f t="shared" si="0"/>
        <v>#REF!</v>
      </c>
      <c r="H38" s="1070" t="e">
        <f ca="1">MINIFS(#REF!,#REF!,"&lt;&gt;0",#REF!,"&gt;="&amp;B8,#REF!,"&lt;="&amp;EOMONTH(B8,0))</f>
        <v>#NAME?</v>
      </c>
      <c r="I38" s="1069" t="e">
        <f ca="1">MAXIFS(#REF!,#REF!,"&lt;&gt;0",#REF!,"&gt;="&amp;B8,#REF!,"&lt;="&amp;EOMONTH(B8,0))</f>
        <v>#NAME?</v>
      </c>
      <c r="J38" s="1072" t="s">
        <v>153</v>
      </c>
      <c r="K38" s="1073" t="e">
        <f t="shared" si="1"/>
        <v>#REF!</v>
      </c>
      <c r="L38" s="1281"/>
      <c r="M38" s="1289"/>
      <c r="N38" s="1290"/>
      <c r="O38" s="1290"/>
      <c r="P38" s="1286"/>
      <c r="Q38" s="1286"/>
      <c r="R38" s="1286"/>
      <c r="S38" s="1286"/>
      <c r="T38" s="1290"/>
      <c r="U38" s="1290"/>
      <c r="V38" s="1285"/>
      <c r="W38" s="1083">
        <f>Parametres!$T$37</f>
        <v>100000000</v>
      </c>
      <c r="X38" s="1142">
        <f>COUNTIFS('Degrémont sortie'!$U$14:$U$379,"&gt;0",'Degrémont sortie'!$A$14:$A$379,"&gt;="&amp;B8,'Degrémont sortie'!$A$14:$A$379,"&lt;="&amp;EOMONTH(B8,0))</f>
        <v>0</v>
      </c>
      <c r="Y38" s="1085">
        <f>SUMIFS('Degrémont sortie'!$U$14:$U$379,'Degrémont sortie'!$U$14:$U$379,"&lt;&gt;0",'Degrémont sortie'!$A$14:$A$379,"&gt;="&amp;B8,'Degrémont sortie'!$A$14:$A$379,"&lt;="&amp;EOMONTH(B8,0))</f>
        <v>0</v>
      </c>
      <c r="Z38" s="1069">
        <f t="shared" si="11"/>
        <v>0</v>
      </c>
      <c r="AA38" s="1286" t="e">
        <f ca="1">MINIFS('Degrémont sortie'!$U$14:$U$379,'Degrémont sortie'!$U$14:$U$379,"&lt;&gt;0",'Degrémont sortie'!$A$14:$A$379,"&gt;="&amp;B8,'Degrémont sortie'!$A$14:$A$379,"&lt;="&amp;EOMONTH(B8,0))</f>
        <v>#NAME?</v>
      </c>
      <c r="AB38" s="1286" t="e">
        <f ca="1">MAXIFS('Degrémont sortie'!$U$14:$U$379,'Degrémont sortie'!$U$14:$U$379,"&lt;&gt;0",'Degrémont sortie'!$A$14:$A$379,"&gt;="&amp;B8,'Degrémont sortie'!$A$14:$A$379,"&lt;="&amp;EOMONTH(B8,0))</f>
        <v>#NAME?</v>
      </c>
      <c r="AC38" s="1291" t="s">
        <v>153</v>
      </c>
      <c r="AD38" s="1292" t="s">
        <v>153</v>
      </c>
      <c r="AE38" s="1285"/>
      <c r="AF38" s="1293"/>
      <c r="AG38" s="1293"/>
      <c r="AH38" s="1293"/>
      <c r="AI38" s="1293"/>
      <c r="AJ38" s="1293"/>
      <c r="AK38" s="1285"/>
      <c r="AL38" s="1293"/>
      <c r="AM38" s="1293"/>
      <c r="AN38" s="1293"/>
      <c r="AO38" s="1293"/>
      <c r="AP38" s="1293"/>
      <c r="AQ38" s="1285"/>
      <c r="AR38" s="1293"/>
      <c r="AS38" s="1293"/>
      <c r="AT38" s="1293"/>
      <c r="AU38" s="1293"/>
      <c r="AV38" s="1293"/>
      <c r="AW38" s="1293"/>
      <c r="AX38" s="1294"/>
      <c r="AY38" s="1295"/>
      <c r="AZ38" s="1095" t="e">
        <f t="shared" si="2"/>
        <v>#REF!</v>
      </c>
      <c r="BA38" s="2"/>
    </row>
    <row r="39" spans="1:53" ht="15.75" customHeight="1" outlineLevel="1">
      <c r="A39" s="1027"/>
      <c r="B39" s="1096"/>
      <c r="C39" s="1121" t="s">
        <v>15</v>
      </c>
      <c r="D39" s="1122">
        <f>Parametres!$D$38</f>
        <v>1000000</v>
      </c>
      <c r="E39" s="1068" t="e">
        <f>COUNTIFS(#REF!,"&gt;0",#REF!,"&gt;="&amp;B8,#REF!,"&lt;="&amp;EOMONTH(B8,0))</f>
        <v>#REF!</v>
      </c>
      <c r="F39" s="1069" t="e">
        <f>SUMIFS(#REF!,#REF!,"&lt;&gt;0",#REF!,"&gt;="&amp;B8,#REF!,"&lt;="&amp;EOMONTH(B8,0))</f>
        <v>#REF!</v>
      </c>
      <c r="G39" s="1069" t="e">
        <f t="shared" si="0"/>
        <v>#REF!</v>
      </c>
      <c r="H39" s="1070" t="e">
        <f ca="1">MINIFS(#REF!,#REF!,"&lt;&gt;0",#REF!,"&gt;="&amp;B8,#REF!,"&lt;="&amp;EOMONTH(B8,0))</f>
        <v>#NAME?</v>
      </c>
      <c r="I39" s="1069" t="e">
        <f ca="1">MAXIFS(#REF!,#REF!,"&lt;&gt;0",#REF!,"&gt;="&amp;B8,#REF!,"&lt;="&amp;EOMONTH(B8,0))</f>
        <v>#NAME?</v>
      </c>
      <c r="J39" s="1072" t="e">
        <f>COUNTIFS(#REF!,"&gt;="&amp;D39,#REF!,"&gt;="&amp;B8,#REF!,"&lt;="&amp;EOMONTH(B8,0))</f>
        <v>#REF!</v>
      </c>
      <c r="K39" s="1073" t="e">
        <f t="shared" si="1"/>
        <v>#REF!</v>
      </c>
      <c r="L39" s="1281"/>
      <c r="M39" s="1289"/>
      <c r="N39" s="1290"/>
      <c r="O39" s="1290"/>
      <c r="P39" s="1286"/>
      <c r="Q39" s="1286"/>
      <c r="R39" s="1286"/>
      <c r="S39" s="1286"/>
      <c r="T39" s="1290"/>
      <c r="U39" s="1290"/>
      <c r="V39" s="1285"/>
      <c r="W39" s="1293"/>
      <c r="X39" s="1293"/>
      <c r="Y39" s="1286"/>
      <c r="Z39" s="1286"/>
      <c r="AA39" s="1286"/>
      <c r="AB39" s="1286"/>
      <c r="AC39" s="1293"/>
      <c r="AD39" s="1249"/>
      <c r="AE39" s="1285"/>
      <c r="AF39" s="1293"/>
      <c r="AG39" s="1293"/>
      <c r="AH39" s="1293"/>
      <c r="AI39" s="1293"/>
      <c r="AJ39" s="1293"/>
      <c r="AK39" s="1285"/>
      <c r="AL39" s="1293"/>
      <c r="AM39" s="1293"/>
      <c r="AN39" s="1293"/>
      <c r="AO39" s="1293"/>
      <c r="AP39" s="1293"/>
      <c r="AQ39" s="1285"/>
      <c r="AR39" s="1293"/>
      <c r="AS39" s="1293"/>
      <c r="AT39" s="1293"/>
      <c r="AU39" s="1293"/>
      <c r="AV39" s="1293"/>
      <c r="AW39" s="1293"/>
      <c r="AX39" s="1294"/>
      <c r="AY39" s="1295"/>
      <c r="AZ39" s="1095" t="e">
        <f t="shared" si="2"/>
        <v>#REF!</v>
      </c>
      <c r="BA39" s="2"/>
    </row>
    <row r="40" spans="1:53" ht="15.75" customHeight="1" outlineLevel="1">
      <c r="A40" s="1027"/>
      <c r="B40" s="1096"/>
      <c r="C40" s="1121" t="s">
        <v>170</v>
      </c>
      <c r="D40" s="1122">
        <f>Parametres!$D$40</f>
        <v>10000000</v>
      </c>
      <c r="E40" s="1068" t="e">
        <f>COUNTIFS(#REF!,"&gt;0",#REF!,"&gt;="&amp;B8,#REF!,"&lt;="&amp;EOMONTH(B8,0))</f>
        <v>#REF!</v>
      </c>
      <c r="F40" s="1069" t="e">
        <f>SUMIFS(#REF!,#REF!,"&lt;&gt;0",#REF!,"&gt;="&amp;B8,#REF!,"&lt;="&amp;EOMONTH(B8,0))</f>
        <v>#REF!</v>
      </c>
      <c r="G40" s="1069" t="e">
        <f t="shared" si="0"/>
        <v>#REF!</v>
      </c>
      <c r="H40" s="1070" t="e">
        <f ca="1">MINIFS(#REF!,#REF!,"&lt;&gt;0",#REF!,"&gt;="&amp;B8,#REF!,"&lt;="&amp;EOMONTH(B8,0))</f>
        <v>#NAME?</v>
      </c>
      <c r="I40" s="1069" t="e">
        <f ca="1">MAXIFS(#REF!,#REF!,"&lt;&gt;0",#REF!,"&gt;="&amp;B8,#REF!,"&lt;="&amp;EOMONTH(B8,0))</f>
        <v>#NAME?</v>
      </c>
      <c r="J40" s="1114" t="e">
        <f>COUNTIFS(#REF!,"&gt;="&amp;D40,#REF!,"&gt;="&amp;B9,#REF!,"&lt;="&amp;EOMONTH(B9,0))</f>
        <v>#REF!</v>
      </c>
      <c r="K40" s="1073" t="e">
        <f t="shared" si="1"/>
        <v>#REF!</v>
      </c>
      <c r="L40" s="1281"/>
      <c r="M40" s="1289"/>
      <c r="N40" s="1313"/>
      <c r="O40" s="1313"/>
      <c r="P40" s="1315"/>
      <c r="Q40" s="1317"/>
      <c r="R40" s="1286"/>
      <c r="S40" s="1286"/>
      <c r="T40" s="1290"/>
      <c r="U40" s="1290"/>
      <c r="V40" s="1285"/>
      <c r="W40" s="1293"/>
      <c r="X40" s="1293"/>
      <c r="Y40" s="1315"/>
      <c r="Z40" s="1286"/>
      <c r="AA40" s="1286"/>
      <c r="AB40" s="1286"/>
      <c r="AC40" s="1293"/>
      <c r="AD40" s="1249"/>
      <c r="AE40" s="1285"/>
      <c r="AF40" s="1293"/>
      <c r="AG40" s="1293"/>
      <c r="AH40" s="1293"/>
      <c r="AI40" s="1293"/>
      <c r="AJ40" s="1293"/>
      <c r="AK40" s="1285"/>
      <c r="AL40" s="1321"/>
      <c r="AM40" s="1293"/>
      <c r="AN40" s="1293"/>
      <c r="AO40" s="1293"/>
      <c r="AP40" s="1293"/>
      <c r="AQ40" s="1285"/>
      <c r="AR40" s="1293"/>
      <c r="AS40" s="1293"/>
      <c r="AT40" s="1293"/>
      <c r="AU40" s="1293"/>
      <c r="AV40" s="1293"/>
      <c r="AW40" s="1293"/>
      <c r="AX40" s="1294"/>
      <c r="AY40" s="1295"/>
      <c r="AZ40" s="1095" t="e">
        <f t="shared" si="2"/>
        <v>#REF!</v>
      </c>
      <c r="BA40" s="2"/>
    </row>
    <row r="41" spans="1:53" ht="15.75" customHeight="1" outlineLevel="1">
      <c r="A41" s="1027"/>
      <c r="B41" s="1096"/>
      <c r="C41" s="1139" t="s">
        <v>38</v>
      </c>
      <c r="D41" s="1122">
        <f>Parametres!$D$39</f>
        <v>1000000</v>
      </c>
      <c r="E41" s="1068" t="e">
        <f>COUNTIFS(#REF!,"&gt;0",#REF!,"&gt;="&amp;B8,#REF!,"&lt;="&amp;EOMONTH(B8,0))</f>
        <v>#REF!</v>
      </c>
      <c r="F41" s="1069" t="e">
        <f>SUMIFS(#REF!,#REF!,"&lt;&gt;0",#REF!,"&gt;="&amp;B8,#REF!,"&lt;="&amp;EOMONTH(B8,0))</f>
        <v>#REF!</v>
      </c>
      <c r="G41" s="1069" t="e">
        <f t="shared" si="0"/>
        <v>#REF!</v>
      </c>
      <c r="H41" s="1070" t="e">
        <f ca="1">MINIFS(#REF!,#REF!,"&lt;&gt;0",#REF!,"&gt;="&amp;B8,#REF!,"&lt;="&amp;EOMONTH(B8,0))</f>
        <v>#NAME?</v>
      </c>
      <c r="I41" s="1069" t="e">
        <f ca="1">MAXIFS(#REF!,#REF!,"&lt;&gt;0",#REF!,"&gt;="&amp;B8,#REF!,"&lt;="&amp;EOMONTH(B8,0))</f>
        <v>#NAME?</v>
      </c>
      <c r="J41" s="1072" t="s">
        <v>153</v>
      </c>
      <c r="K41" s="1073" t="e">
        <f t="shared" si="1"/>
        <v>#REF!</v>
      </c>
      <c r="L41" s="1281"/>
      <c r="M41" s="1289"/>
      <c r="N41" s="1328">
        <f>Parametres!$L$39</f>
        <v>100000</v>
      </c>
      <c r="O41" s="1077">
        <f>COUNTIF('Degrémont Entrée'!$U$14:$U$44,"&gt;0")</f>
        <v>4</v>
      </c>
      <c r="P41" s="1078">
        <f>SUMIFS('Degrémont Entrée'!$U$14:$U$379,'Degrémont Entrée'!$U$14:$U$379,"&lt;&gt;0",'Degrémont Entrée'!$A$14:$A$379,"&gt;="&amp;B8,'Degrémont Entrée'!$A$14:$A$379,"&lt;="&amp;EOMONTH(B8,0))</f>
        <v>415</v>
      </c>
      <c r="Q41" s="1283">
        <f t="shared" ref="Q41:Q44" si="12">IF(O41=0,0,P41/O41)</f>
        <v>103.75</v>
      </c>
      <c r="R41" s="1286" t="e">
        <f ca="1">MINIFS('Degrémont Entrée'!$U$14:$U$379,'Degrémont Entrée'!$U$14:$U$379,"&lt;&gt;0",'Degrémont Entrée'!$A$14:$A$379,"&gt;="&amp;B8,'Degrémont Entrée'!$A$14:$A$379,"&lt;="&amp;EOMONTH(B8,0))</f>
        <v>#NAME?</v>
      </c>
      <c r="S41" s="1286" t="e">
        <f ca="1">MAXIFS('Degrémont Entrée'!$U$14:$U$379,'Degrémont Entrée'!$U$14:$U$379,"&lt;&gt;0",'Degrémont Entrée'!$A$14:$A$379,"&gt;="&amp;B8,'Degrémont Entrée'!$A$14:$A$379,"&lt;="&amp;EOMONTH(B8,0))</f>
        <v>#NAME?</v>
      </c>
      <c r="T41" s="1291" t="s">
        <v>153</v>
      </c>
      <c r="U41" s="1291" t="s">
        <v>153</v>
      </c>
      <c r="V41" s="1285"/>
      <c r="W41" s="1083">
        <f>Parametres!T39</f>
        <v>100000000</v>
      </c>
      <c r="X41" s="1142">
        <f>COUNTIFS('Degrémont sortie'!$O$14:$O$379,"&gt;0",'Degrémont sortie'!$A$14:$A$379,"&gt;="&amp;B8,'Degrémont sortie'!$A$14:$A$379,"&lt;="&amp;EOMONTH(B8,0))</f>
        <v>4</v>
      </c>
      <c r="Y41" s="1085">
        <f>SUMIFS('Degrémont sortie'!$O$14:$O$379,'Degrémont sortie'!$O$14:$O$379,"&lt;&gt;0",'Degrémont sortie'!$A$14:$A$379,"&gt;="&amp;B8,'Degrémont sortie'!$A$14:$A$379,"&lt;="&amp;EOMONTH(B8,0))</f>
        <v>48.8</v>
      </c>
      <c r="Z41" s="1069">
        <f t="shared" ref="Z41:Z47" si="13">IF(X41=0,0,Y41/X41)</f>
        <v>12.2</v>
      </c>
      <c r="AA41" s="1286" t="e">
        <f ca="1">MINIFS('Degrémont sortie'!$O$14:$O$379,'Degrémont sortie'!$O$14:$O$379,"&lt;&gt;0",'Degrémont sortie'!$A$14:$A$379,"&gt;="&amp;B8,'Degrémont sortie'!$A$14:$A$379,"&lt;="&amp;EOMONTH(B8,0))</f>
        <v>#NAME?</v>
      </c>
      <c r="AB41" s="1286" t="e">
        <f ca="1">MAXIFS('Degrémont sortie'!$O$14:$O$379,'Degrémont sortie'!$O$14:$O$379,"&lt;&gt;0",'Degrémont sortie'!$A$14:$A$379,"&gt;="&amp;B8,'Degrémont sortie'!$A$14:$A$379,"&lt;="&amp;EOMONTH(B8,0))</f>
        <v>#NAME?</v>
      </c>
      <c r="AC41" s="1291" t="s">
        <v>153</v>
      </c>
      <c r="AD41" s="1292" t="s">
        <v>153</v>
      </c>
      <c r="AE41" s="1285"/>
      <c r="AF41" s="1293"/>
      <c r="AG41" s="1293"/>
      <c r="AH41" s="1293"/>
      <c r="AI41" s="1293"/>
      <c r="AJ41" s="1293"/>
      <c r="AK41" s="1285"/>
      <c r="AL41" s="1205" t="e">
        <f>COUNTIFS(#REF!,"&gt;0",#REF!,"&gt;="&amp;B8,#REF!,"&lt;="&amp;EOMONTH(B8,0))</f>
        <v>#REF!</v>
      </c>
      <c r="AM41" s="1208" t="e">
        <f>SUMIFS(#REF!,#REF!,"&lt;&gt;0",#REF!,"&gt;="&amp;B8,#REF!,"&lt;="&amp;EOMONTH(B8,0))</f>
        <v>#REF!</v>
      </c>
      <c r="AN41" s="1208" t="e">
        <f>IF(AL41=0,0,AM41/AL41)</f>
        <v>#REF!</v>
      </c>
      <c r="AO41" s="1141" t="e">
        <f ca="1">MINIFS(#REF!,#REF!,"&lt;&gt;0",#REF!,"&gt;="&amp;B8,#REF!,"&lt;="&amp;EOMONTH(B8,0))</f>
        <v>#NAME?</v>
      </c>
      <c r="AP41" s="1141" t="e">
        <f ca="1">MAXIFS(#REF!,#REF!,"&lt;&gt;0",#REF!,"&gt;="&amp;B8,#REF!,"&lt;="&amp;EOMONTH(B8,0))</f>
        <v>#NAME?</v>
      </c>
      <c r="AQ41" s="1285"/>
      <c r="AR41" s="1293"/>
      <c r="AS41" s="1293"/>
      <c r="AT41" s="1293"/>
      <c r="AU41" s="1293"/>
      <c r="AV41" s="1293"/>
      <c r="AW41" s="1293"/>
      <c r="AX41" s="1294"/>
      <c r="AY41" s="1295"/>
      <c r="AZ41" s="1095" t="e">
        <f t="shared" si="2"/>
        <v>#REF!</v>
      </c>
      <c r="BA41" s="2"/>
    </row>
    <row r="42" spans="1:53" ht="15.75" customHeight="1" outlineLevel="1">
      <c r="A42" s="1027"/>
      <c r="B42" s="1096"/>
      <c r="C42" s="1139" t="s">
        <v>33</v>
      </c>
      <c r="D42" s="1122" t="str">
        <f>Parametres!$D$41</f>
        <v>5,5-8,5</v>
      </c>
      <c r="E42" s="1068" t="e">
        <f>COUNTIFS(#REF!,"&gt;0",#REF!,"&gt;="&amp;B8,#REF!,"&lt;="&amp;EOMONTH(B8,0))</f>
        <v>#REF!</v>
      </c>
      <c r="F42" s="1069" t="e">
        <f>SUMIFS(#REF!,#REF!,"&lt;&gt;0",#REF!,"&gt;="&amp;B8,#REF!,"&lt;="&amp;EOMONTH(B8,0))</f>
        <v>#REF!</v>
      </c>
      <c r="G42" s="1069" t="e">
        <f t="shared" si="0"/>
        <v>#REF!</v>
      </c>
      <c r="H42" s="1070" t="e">
        <f ca="1">MINIFS(#REF!,#REF!,"&lt;&gt;0",#REF!,"&gt;="&amp;B8,#REF!,"&lt;="&amp;EOMONTH(B8,0))</f>
        <v>#NAME?</v>
      </c>
      <c r="I42" s="1069" t="e">
        <f ca="1">MAXIFS(#REF!,#REF!,"&lt;&gt;0",#REF!,"&gt;="&amp;B8,#REF!,"&lt;="&amp;EOMONTH(B8,0))</f>
        <v>#NAME?</v>
      </c>
      <c r="J42" s="1114" t="e">
        <f>COUNTIFS(#REF!,"&lt;="&amp;D42,#REF!,"&gt;="&amp;B8,#REF!,"&lt;="&amp;EOMONTH(B8,0))</f>
        <v>#REF!</v>
      </c>
      <c r="K42" s="1073" t="e">
        <f t="shared" si="1"/>
        <v>#REF!</v>
      </c>
      <c r="L42" s="1281"/>
      <c r="M42" s="1289"/>
      <c r="N42" s="1144">
        <f>Parametres!$L$41</f>
        <v>100000000</v>
      </c>
      <c r="O42" s="1077">
        <f>COUNTIFS('Degrémont Entrée'!$C$14:$C$379,"&gt;0",'Degrémont Entrée'!$A$14:$A$379,"&gt;="&amp;B8,'Degrémont Entrée'!$A$14:$A$379,"&lt;="&amp;EOMONTH(B8,0))</f>
        <v>28</v>
      </c>
      <c r="P42" s="1078">
        <f>SUMIFS('Degrémont Entrée'!$C$14:$C$379,'Degrémont Entrée'!$C$14:$C$379,"&lt;&gt;0",'Degrémont Entrée'!$A$14:$A$379,"&gt;="&amp;B8,'Degrémont Entrée'!$A$14:$A$379,"&lt;="&amp;EOMONTH(B8,0))</f>
        <v>222</v>
      </c>
      <c r="Q42" s="1283">
        <f t="shared" si="12"/>
        <v>7.9285714285714288</v>
      </c>
      <c r="R42" s="1286" t="e">
        <f ca="1">MINIFS('Degrémont Entrée'!$C$14:$C$379,'Degrémont Entrée'!$C$14:$C$379,"&lt;&gt;0",'Degrémont Entrée'!$A$14:$A$379,"&gt;="&amp;B8,'Degrémont Entrée'!$A$14:$A$379,"&lt;="&amp;EOMONTH(B8,0))</f>
        <v>#NAME?</v>
      </c>
      <c r="S42" s="1286" t="e">
        <f ca="1">MAXIFS('Degrémont Entrée'!$C$14:$C$379,'Degrémont Entrée'!$C$14:$C$379,"&lt;&gt;0",'Degrémont Entrée'!$A$14:$A$379,"&gt;="&amp;B8,'Degrémont Entrée'!$A$14:$A$379,"&lt;="&amp;EOMONTH(B8,0))</f>
        <v>#NAME?</v>
      </c>
      <c r="T42" s="1291" t="s">
        <v>153</v>
      </c>
      <c r="U42" s="1291" t="s">
        <v>153</v>
      </c>
      <c r="V42" s="1285"/>
      <c r="W42" s="1083">
        <f>Parametres!$T$41</f>
        <v>100000000</v>
      </c>
      <c r="X42" s="1142">
        <f>COUNTIFS('Degrémont sortie'!$C$14:$C$379,"&gt;0",'Degrémont sortie'!$A$14:$A$379,"&gt;="&amp;B8,'Degrémont sortie'!$A$14:$A$379,"&lt;="&amp;EOMONTH(B8,0))</f>
        <v>28</v>
      </c>
      <c r="Y42" s="1085">
        <f>SUMIFS('Degrémont sortie'!$C$14:$C$379,'Degrémont sortie'!$C$14:$C$379,"&lt;&gt;0",'Degrémont sortie'!$A$14:$A$379,"&gt;="&amp;B8,'Degrémont sortie'!$A$14:$A$379,"&lt;="&amp;EOMONTH(B8,0))</f>
        <v>249.99999999999997</v>
      </c>
      <c r="Z42" s="1069">
        <f t="shared" si="13"/>
        <v>8.928571428571427</v>
      </c>
      <c r="AA42" s="1286" t="e">
        <f ca="1">MINIFS('Degrémont sortie'!$C$14:$C$379,'Degrémont sortie'!$C$14:$C$379,"&lt;&gt;0",'Degrémont sortie'!$A$14:$A$379,"&gt;="&amp;B8,'Degrémont sortie'!$A$14:$A$379,"&lt;="&amp;EOMONTH(B8,0))</f>
        <v>#NAME?</v>
      </c>
      <c r="AB42" s="1286" t="e">
        <f ca="1">MAXIFS('Degrémont sortie'!$C$14:$C$379,'Degrémont sortie'!$C$14:$C$379,"&lt;&gt;0",'Degrémont sortie'!$A$14:$A$379,"&gt;="&amp;B8,'Degrémont sortie'!$A$14:$A$379,"&lt;="&amp;EOMONTH(B8,0))</f>
        <v>#NAME?</v>
      </c>
      <c r="AC42" s="1291" t="s">
        <v>153</v>
      </c>
      <c r="AD42" s="1292" t="s">
        <v>153</v>
      </c>
      <c r="AE42" s="1285"/>
      <c r="AF42" s="1293"/>
      <c r="AG42" s="1293"/>
      <c r="AH42" s="1293"/>
      <c r="AI42" s="1293"/>
      <c r="AJ42" s="1293"/>
      <c r="AK42" s="1285"/>
      <c r="AL42" s="1293"/>
      <c r="AM42" s="1293"/>
      <c r="AN42" s="1293"/>
      <c r="AO42" s="1293"/>
      <c r="AP42" s="1293"/>
      <c r="AQ42" s="1285"/>
      <c r="AR42" s="1293"/>
      <c r="AS42" s="1293"/>
      <c r="AT42" s="1293"/>
      <c r="AU42" s="1293"/>
      <c r="AV42" s="1293"/>
      <c r="AW42" s="1293"/>
      <c r="AX42" s="1294"/>
      <c r="AY42" s="1295"/>
      <c r="AZ42" s="1095" t="e">
        <f t="shared" si="2"/>
        <v>#REF!</v>
      </c>
      <c r="BA42" s="2"/>
    </row>
    <row r="43" spans="1:53" ht="15.75" customHeight="1" outlineLevel="1">
      <c r="A43" s="1027"/>
      <c r="B43" s="1096"/>
      <c r="C43" s="1139" t="s">
        <v>49</v>
      </c>
      <c r="D43" s="1122">
        <f>Parametres!$D$42</f>
        <v>0.5</v>
      </c>
      <c r="E43" s="1068" t="e">
        <f>COUNTIFS(#REF!,"&gt;0",#REF!,"&gt;="&amp;B8,#REF!,"&lt;="&amp;EOMONTH(B8,0))</f>
        <v>#REF!</v>
      </c>
      <c r="F43" s="1069" t="e">
        <f>SUMIFS(#REF!,#REF!,"&lt;&gt;0",#REF!,"&gt;="&amp;B8,#REF!,"&lt;="&amp;EOMONTH(B8,0))</f>
        <v>#REF!</v>
      </c>
      <c r="G43" s="1069" t="e">
        <f t="shared" si="0"/>
        <v>#REF!</v>
      </c>
      <c r="H43" s="1070" t="e">
        <f ca="1">MINIFS(#REF!,#REF!,"&lt;&gt;0",#REF!,"&gt;="&amp;B8,#REF!,"&lt;="&amp;EOMONTH(B8,0))</f>
        <v>#NAME?</v>
      </c>
      <c r="I43" s="1069" t="e">
        <f ca="1">MAXIFS(#REF!,#REF!,"&lt;&gt;0",#REF!,"&gt;="&amp;B8,#REF!,"&lt;="&amp;EOMONTH(B8,0))</f>
        <v>#NAME?</v>
      </c>
      <c r="J43" s="1114" t="e">
        <f>COUNTIFS(#REF!,"&gt;="&amp;D43,#REF!,"&gt;="&amp;B8,#REF!,"&lt;="&amp;EOMONTH(B8,0))</f>
        <v>#REF!</v>
      </c>
      <c r="K43" s="1073" t="e">
        <f t="shared" si="1"/>
        <v>#REF!</v>
      </c>
      <c r="L43" s="1281"/>
      <c r="M43" s="1289"/>
      <c r="N43" s="1144">
        <f>Parametres!$L$42</f>
        <v>0.3</v>
      </c>
      <c r="O43" s="1077">
        <f>COUNTIFS('Degrémont Entrée'!$BE$14:$BE$379,"&gt;0",'Degrémont Entrée'!$A$14:$A$379,"&gt;="&amp;B8,'Degrémont Entrée'!$A$14:$A$379,"&lt;="&amp;EOMONTH(B8,0))</f>
        <v>4</v>
      </c>
      <c r="P43" s="1078">
        <f>SUMIFS('Degrémont Entrée'!$BE$14:$BE$379,'Degrémont Entrée'!$BE$14:$BE$379,"&lt;&gt;0",'Degrémont Entrée'!$A$14:$A$379,"&gt;="&amp;B8,'Degrémont Entrée'!$A$14:$A$379,"&lt;="&amp;EOMONTH(B8,0))</f>
        <v>0.60000000000000009</v>
      </c>
      <c r="Q43" s="1283">
        <f t="shared" si="12"/>
        <v>0.15000000000000002</v>
      </c>
      <c r="R43" s="1286" t="e">
        <f ca="1">MINIFS('Degrémont Entrée'!$BE$14:$BE$379,'Degrémont Entrée'!$BE$14:$BE$379,"&lt;&gt;0",'Degrémont Entrée'!$A$14:$A$379,"&gt;="&amp;B8,'Degrémont Entrée'!$A$14:$A$379,"&lt;="&amp;EOMONTH(B8,0))</f>
        <v>#NAME?</v>
      </c>
      <c r="S43" s="1286" t="e">
        <f ca="1">MAXIFS('Degrémont Entrée'!$BE$14:$BE$379,'Degrémont Entrée'!$BE$14:$BE$379,"&lt;&gt;0",'Degrémont Entrée'!$A$14:$A$379,"&gt;="&amp;B8,'Degrémont Entrée'!$A$14:$A$379,"&lt;="&amp;EOMONTH(B8,0))</f>
        <v>#NAME?</v>
      </c>
      <c r="T43" s="1141">
        <f>COUNTIFS('Degrémont Entrée'!$BE$14:$BE$379,"&gt;="&amp;N43,'Degrémont Entrée'!$A$14:$A$379,"&gt;="&amp;B8,'Degrémont Entrée'!$A$14:$A$379,"&lt;="&amp;EOMONTH(B8,0))</f>
        <v>0</v>
      </c>
      <c r="U43" s="1081">
        <f t="shared" ref="U43:U44" si="14">T43/O43</f>
        <v>0</v>
      </c>
      <c r="V43" s="1285"/>
      <c r="W43" s="1083">
        <f>Parametres!$T$42</f>
        <v>0.08</v>
      </c>
      <c r="X43" s="1142">
        <f>COUNTIFS('Degrémont sortie'!$AY$14:$AY$379,"&gt;0",'Degrémont sortie'!$A$14:$A$379,"&gt;="&amp;B8,'Degrémont sortie'!$A$14:$A$379,"&lt;="&amp;EOMONTH(B8,0))</f>
        <v>4</v>
      </c>
      <c r="Y43" s="1085">
        <f>SUMIFS('Degrémont sortie'!$AY$14:$AY$379,'Degrémont sortie'!$AY$14:$AY$379,"&lt;&gt;0",'Degrémont sortie'!$A$14:$A$379,"&gt;="&amp;B8,'Degrémont sortie'!$A$14:$A$379,"&lt;="&amp;EOMONTH(B8,0))</f>
        <v>0.52</v>
      </c>
      <c r="Z43" s="1069">
        <f t="shared" si="13"/>
        <v>0.13</v>
      </c>
      <c r="AA43" s="1286" t="e">
        <f ca="1">MINIFS('Degrémont sortie'!$AY$14:$AY$379,'Degrémont sortie'!$AY$14:$AY$379,"&lt;&gt;0",'Degrémont sortie'!$A$14:$A$379,"&gt;="&amp;B8,'Degrémont sortie'!$A$14:$A$379,"&lt;="&amp;EOMONTH(B8,0))</f>
        <v>#NAME?</v>
      </c>
      <c r="AB43" s="1286" t="e">
        <f ca="1">MAXIFS('Degrémont sortie'!$AY$14:$AY$379,'Degrémont sortie'!$AY$14:$AY$379,"&lt;&gt;0",'Degrémont sortie'!$A$14:$A$379,"&gt;="&amp;B8,'Degrémont sortie'!$A$14:$A$379,"&lt;="&amp;EOMONTH(B8,0))</f>
        <v>#NAME?</v>
      </c>
      <c r="AC43" s="1141">
        <f>COUNTIFS('Degrémont sortie'!$AY$14:$AY$379,"&gt;="&amp;W43,'Degrémont sortie'!$A$14:$A$379,"&gt;="&amp;B8,'Degrémont sortie'!$A$14:$A$379,"&lt;="&amp;EOMONTH(B8,0))</f>
        <v>4</v>
      </c>
      <c r="AD43" s="1087">
        <f t="shared" ref="AD43:AD44" si="15">AC43/X43</f>
        <v>1</v>
      </c>
      <c r="AE43" s="1285"/>
      <c r="AF43" s="1293"/>
      <c r="AG43" s="1293"/>
      <c r="AH43" s="1293"/>
      <c r="AI43" s="1293"/>
      <c r="AJ43" s="1293"/>
      <c r="AK43" s="1285"/>
      <c r="AL43" s="1293"/>
      <c r="AM43" s="1293"/>
      <c r="AN43" s="1293"/>
      <c r="AO43" s="1293"/>
      <c r="AP43" s="1293"/>
      <c r="AQ43" s="1285"/>
      <c r="AR43" s="1293"/>
      <c r="AS43" s="1293"/>
      <c r="AT43" s="1293"/>
      <c r="AU43" s="1293"/>
      <c r="AV43" s="1293"/>
      <c r="AW43" s="1293"/>
      <c r="AX43" s="1294"/>
      <c r="AY43" s="1295"/>
      <c r="AZ43" s="1095" t="e">
        <f t="shared" si="2"/>
        <v>#REF!</v>
      </c>
      <c r="BA43" s="2"/>
    </row>
    <row r="44" spans="1:53" ht="15.75" customHeight="1" outlineLevel="1">
      <c r="A44" s="1027"/>
      <c r="B44" s="1096"/>
      <c r="C44" s="1139" t="s">
        <v>37</v>
      </c>
      <c r="D44" s="1122">
        <f>Parametres!$D$43</f>
        <v>15</v>
      </c>
      <c r="E44" s="1068" t="e">
        <f>COUNTIFS(#REF!,"&gt;0",#REF!,"&gt;="&amp;B8,#REF!,"&lt;="&amp;EOMONTH(B8,0))</f>
        <v>#REF!</v>
      </c>
      <c r="F44" s="1069" t="e">
        <f>SUMIFS(#REF!,#REF!,"&lt;&gt;0",#REF!,"&gt;="&amp;B8,#REF!,"&lt;="&amp;EOMONTH(B8,0))</f>
        <v>#REF!</v>
      </c>
      <c r="G44" s="1069" t="e">
        <f t="shared" si="0"/>
        <v>#REF!</v>
      </c>
      <c r="H44" s="1070" t="e">
        <f ca="1">MINIFS(#REF!,#REF!,"&lt;&gt;0",#REF!,"&gt;="&amp;B8,#REF!,"&lt;="&amp;EOMONTH(B8,0))</f>
        <v>#NAME?</v>
      </c>
      <c r="I44" s="1069" t="e">
        <f ca="1">MAXIFS(#REF!,#REF!,"&lt;&gt;0",#REF!,"&gt;="&amp;B8,#REF!,"&lt;="&amp;EOMONTH(B8,0))</f>
        <v>#NAME?</v>
      </c>
      <c r="J44" s="1114" t="e">
        <f>COUNTIFS(#REF!,"&gt;="&amp;D44,#REF!,"&gt;="&amp;B9,#REF!,"&lt;="&amp;EOMONTH(B9,0))</f>
        <v>#REF!</v>
      </c>
      <c r="K44" s="1073" t="e">
        <f t="shared" si="1"/>
        <v>#REF!</v>
      </c>
      <c r="L44" s="1281"/>
      <c r="M44" s="1289"/>
      <c r="N44" s="1144">
        <f>Parametres!$L$43</f>
        <v>500</v>
      </c>
      <c r="O44" s="1077">
        <f>COUNTIFS('Degrémont Entrée'!$S$14:$S$379,"&gt;0",'Degrémont Entrée'!$A$14:$A$379,"&gt;="&amp;B8,'Degrémont Entrée'!$A$14:$A$379,"&lt;="&amp;EOMONTH(B8,0))</f>
        <v>28</v>
      </c>
      <c r="P44" s="1078">
        <f>SUMIFS('Degrémont Entrée'!$S$14:$S$379,'Degrémont Entrée'!$S$14:$S$379,"&lt;&gt;0",'Degrémont Entrée'!$A$14:$A$379,"&gt;="&amp;B8,'Degrémont Entrée'!$A$14:$A$379,"&lt;="&amp;EOMONTH(B8,0))</f>
        <v>11424.7</v>
      </c>
      <c r="Q44" s="1283">
        <f t="shared" si="12"/>
        <v>408.02500000000003</v>
      </c>
      <c r="R44" s="1286" t="e">
        <f ca="1">MINIFS('Degrémont Entrée'!$S$14:$S$379,'Degrémont Entrée'!$S$14:$S$379,"&lt;&gt;0",'Degrémont Entrée'!$A$14:$A$379,"&gt;="&amp;B8,'Degrémont Entrée'!$A$14:$A$379,"&lt;="&amp;EOMONTH(B8,0))</f>
        <v>#NAME?</v>
      </c>
      <c r="S44" s="1286" t="e">
        <f ca="1">MAXIFS('Degrémont Entrée'!$S$14:$S$379,'Degrémont Entrée'!$S$14:$S$379,"&lt;&gt;0",'Degrémont Entrée'!$A$14:$A$379,"&gt;="&amp;B8,'Degrémont Entrée'!$A$14:$A$379,"&lt;="&amp;EOMONTH(B8,0))</f>
        <v>#NAME?</v>
      </c>
      <c r="T44" s="1141">
        <f>COUNTIFS('Degrémont Entrée'!$S$14:$S$379,"&gt;="&amp;N44,'Degrémont Entrée'!$A$14:$A$379,"&gt;="&amp;B8,'Degrémont Entrée'!$A$14:$A$379,"&lt;="&amp;EOMONTH(B8,0))</f>
        <v>11</v>
      </c>
      <c r="U44" s="1081">
        <f t="shared" si="14"/>
        <v>0.39285714285714285</v>
      </c>
      <c r="V44" s="1285"/>
      <c r="W44" s="1083">
        <f>Parametres!$T$43</f>
        <v>20</v>
      </c>
      <c r="X44" s="1142">
        <f>COUNTIFS('Degrémont sortie'!$M$14:$M$379,"&gt;0",'Degrémont sortie'!$A$14:$A$379,"&gt;="&amp;B8,'Degrémont sortie'!$A$14:$A$379,"&lt;="&amp;EOMONTH(B8,0))</f>
        <v>28</v>
      </c>
      <c r="Y44" s="1085">
        <f>SUMIFS('Degrémont sortie'!$M$14:$M$379,'Degrémont sortie'!$M$14:$M$379,"&lt;&gt;0",'Degrémont sortie'!$A$14:$A$379,"&gt;="&amp;B8,'Degrémont sortie'!$A$14:$A$379,"&lt;="&amp;EOMONTH(B8,0))</f>
        <v>46.410000000000011</v>
      </c>
      <c r="Z44" s="1069">
        <f t="shared" si="13"/>
        <v>1.6575000000000004</v>
      </c>
      <c r="AA44" s="1286" t="e">
        <f ca="1">MINIFS('Degrémont sortie'!$M$14:$M$379,'Degrémont sortie'!$M$14:$M$379,"&lt;&gt;0",'Degrémont sortie'!$A$14:$A$379,"&gt;="&amp;B8,'Degrémont sortie'!$A$14:$A$379,"&lt;="&amp;EOMONTH(B8,0))</f>
        <v>#NAME?</v>
      </c>
      <c r="AB44" s="1286" t="e">
        <f ca="1">MAXIFS('Degrémont sortie'!$M$14:$M$379,'Degrémont sortie'!$M$14:$M$379,"&lt;&gt;0",'Degrémont sortie'!$A$14:$A$379,"&gt;="&amp;B8,'Degrémont sortie'!$A$14:$A$379,"&lt;="&amp;EOMONTH(B8,0))</f>
        <v>#NAME?</v>
      </c>
      <c r="AC44" s="1141">
        <f>COUNTIFS('Degrémont sortie'!$M$14:$M$379,"&gt;="&amp;W44,'Degrémont sortie'!$A$14:$A$379,"&gt;="&amp;B8,'Degrémont sortie'!$A$14:$A$379,"&lt;="&amp;EOMONTH(B8,0))</f>
        <v>0</v>
      </c>
      <c r="AD44" s="1087">
        <f t="shared" si="15"/>
        <v>0</v>
      </c>
      <c r="AE44" s="1285"/>
      <c r="AF44" s="1293"/>
      <c r="AG44" s="1293"/>
      <c r="AH44" s="1293"/>
      <c r="AI44" s="1293"/>
      <c r="AJ44" s="1293"/>
      <c r="AK44" s="1285"/>
      <c r="AL44" s="1205" t="e">
        <f>COUNTIFS(#REF!,"&gt;0",#REF!,"&gt;="&amp;B8,#REF!,"&lt;="&amp;EOMONTH(B8,0))</f>
        <v>#REF!</v>
      </c>
      <c r="AM44" s="1208" t="e">
        <f>SUMIFS(#REF!,#REF!,"&lt;&gt;0",#REF!,"&gt;="&amp;B8,#REF!,"&lt;="&amp;EOMONTH(B8,0))</f>
        <v>#REF!</v>
      </c>
      <c r="AN44" s="1208" t="e">
        <f t="shared" ref="AN44:AN46" si="16">IF(AL44=0,0,AM44/AL44)</f>
        <v>#REF!</v>
      </c>
      <c r="AO44" s="1141" t="e">
        <f ca="1">MINIFS(#REF!,#REF!,"&lt;&gt;0",#REF!,"&gt;="&amp;B8,#REF!,"&lt;="&amp;EOMONTH(B8,0))</f>
        <v>#NAME?</v>
      </c>
      <c r="AP44" s="1141" t="e">
        <f ca="1">MAXIFS(#REF!,#REF!,"&lt;&gt;0",#REF!,"&gt;="&amp;B8,#REF!,"&lt;="&amp;EOMONTH(B8,0))</f>
        <v>#NAME?</v>
      </c>
      <c r="AQ44" s="1285"/>
      <c r="AR44" s="1293"/>
      <c r="AS44" s="1293"/>
      <c r="AT44" s="1293"/>
      <c r="AU44" s="1293"/>
      <c r="AV44" s="1293"/>
      <c r="AW44" s="1293"/>
      <c r="AX44" s="1294"/>
      <c r="AY44" s="1295"/>
      <c r="AZ44" s="1095" t="e">
        <f t="shared" si="2"/>
        <v>#REF!</v>
      </c>
      <c r="BA44" s="2"/>
    </row>
    <row r="45" spans="1:53" ht="15.75" customHeight="1" outlineLevel="1">
      <c r="A45" s="1027"/>
      <c r="B45" s="1096"/>
      <c r="C45" s="1139" t="s">
        <v>301</v>
      </c>
      <c r="D45" s="1102"/>
      <c r="E45" s="1069"/>
      <c r="F45" s="1069"/>
      <c r="G45" s="1069"/>
      <c r="H45" s="1069"/>
      <c r="I45" s="1069"/>
      <c r="J45" s="1102"/>
      <c r="K45" s="1102"/>
      <c r="L45" s="1281"/>
      <c r="M45" s="1289"/>
      <c r="N45" s="1290"/>
      <c r="O45" s="1290"/>
      <c r="P45" s="1286"/>
      <c r="Q45" s="1283"/>
      <c r="R45" s="1286"/>
      <c r="S45" s="1286"/>
      <c r="T45" s="1290"/>
      <c r="U45" s="1290"/>
      <c r="V45" s="1285"/>
      <c r="W45" s="1083">
        <f>Parametres!$T$44</f>
        <v>100000</v>
      </c>
      <c r="X45" s="1329">
        <f>COUNTIFS('Degrémont sortie'!$BA$14:$BA$379,"&gt;0",'Degrémont sortie'!$A$14:$A$379,"&gt;="&amp;B8,'Degrémont sortie'!$A$14:$A$379,"&lt;="&amp;EOMONTH(B8,0))</f>
        <v>28</v>
      </c>
      <c r="Y45" s="1286" t="e">
        <f>SUMIFS('Degrémont sortie'!$BA$14:$BA$379,'Degrémont sortie'!$BA$14:$BA$379,"&lt;&gt;0",'Degrémont sortie'!$A$14:$A$379,"&gt;="&amp;B8,'Degrémont sortie'!$A$14:$A$379,"&lt;="&amp;EOMONTH(B8,0))</f>
        <v>#DIV/0!</v>
      </c>
      <c r="Z45" s="1069" t="e">
        <f t="shared" si="13"/>
        <v>#DIV/0!</v>
      </c>
      <c r="AA45" s="1286" t="e">
        <f ca="1">MINIFS('Degrémont sortie'!$BA$14:$BA$379,'Degrémont sortie'!$BA$14:$BA$379,"&lt;&gt;0",'Degrémont sortie'!$A$14:$A$379,"&gt;="&amp;B8,'Degrémont sortie'!$A$14:$A$379,"&lt;="&amp;EOMONTH(B8,0))</f>
        <v>#NAME?</v>
      </c>
      <c r="AB45" s="1286" t="e">
        <f ca="1">MAXIFS('Degrémont sortie'!$BA$14:$BA$379,'Degrémont sortie'!$BA$14:$BA$379,"&lt;&gt;0",'Degrémont sortie'!$A$14:$A$379,"&gt;="&amp;B8,'Degrémont sortie'!$A$14:$A$379,"&lt;="&amp;EOMONTH(B8,0))</f>
        <v>#NAME?</v>
      </c>
      <c r="AC45" s="1213" t="s">
        <v>153</v>
      </c>
      <c r="AD45" s="1330" t="s">
        <v>153</v>
      </c>
      <c r="AE45" s="1285"/>
      <c r="AF45" s="1293"/>
      <c r="AG45" s="1293"/>
      <c r="AH45" s="1293"/>
      <c r="AI45" s="1293"/>
      <c r="AJ45" s="1293"/>
      <c r="AK45" s="1285"/>
      <c r="AL45" s="1205" t="e">
        <f>COUNTIFS(#REF!,"&gt;0",#REF!,"&gt;="&amp;B8,#REF!,"&lt;="&amp;EOMONTH(B8,0))</f>
        <v>#REF!</v>
      </c>
      <c r="AM45" s="1208" t="e">
        <f>SUMIFS(#REF!,#REF!,"&lt;&gt;0",#REF!,"&gt;="&amp;B8,#REF!,"&lt;="&amp;EOMONTH(B8,0))</f>
        <v>#REF!</v>
      </c>
      <c r="AN45" s="1208" t="e">
        <f t="shared" si="16"/>
        <v>#REF!</v>
      </c>
      <c r="AO45" s="1208" t="e">
        <f ca="1">MINIFS(#REF!,#REF!,"&lt;&gt;0",#REF!,"&gt;="&amp;B8,#REF!,"&lt;="&amp;EOMONTH(B8,0))</f>
        <v>#NAME?</v>
      </c>
      <c r="AP45" s="1208" t="e">
        <f ca="1">MAXIFS(#REF!,#REF!,"&lt;&gt;0",#REF!,"&gt;="&amp;B8,#REF!,"&lt;="&amp;EOMONTH(B8,0))</f>
        <v>#NAME?</v>
      </c>
      <c r="AQ45" s="1285"/>
      <c r="AR45" s="1293"/>
      <c r="AS45" s="1293"/>
      <c r="AT45" s="1293"/>
      <c r="AU45" s="1293"/>
      <c r="AV45" s="1293"/>
      <c r="AW45" s="1293"/>
      <c r="AX45" s="1294"/>
      <c r="AY45" s="1295"/>
      <c r="AZ45" s="1095" t="e">
        <f t="shared" si="2"/>
        <v>#REF!</v>
      </c>
      <c r="BA45" s="2"/>
    </row>
    <row r="46" spans="1:53" ht="15.75" customHeight="1" outlineLevel="1">
      <c r="A46" s="1027"/>
      <c r="B46" s="1096"/>
      <c r="C46" s="1139" t="s">
        <v>302</v>
      </c>
      <c r="D46" s="1102"/>
      <c r="E46" s="1069"/>
      <c r="F46" s="1069"/>
      <c r="G46" s="1069"/>
      <c r="H46" s="1069"/>
      <c r="I46" s="1069"/>
      <c r="J46" s="1102"/>
      <c r="K46" s="1102"/>
      <c r="L46" s="1281"/>
      <c r="M46" s="1289"/>
      <c r="N46" s="1290"/>
      <c r="O46" s="1290"/>
      <c r="P46" s="1286"/>
      <c r="Q46" s="1283"/>
      <c r="R46" s="1286"/>
      <c r="S46" s="1286"/>
      <c r="T46" s="1290"/>
      <c r="U46" s="1290"/>
      <c r="V46" s="1285"/>
      <c r="W46" s="1083">
        <f>Parametres!$T$45</f>
        <v>10000</v>
      </c>
      <c r="X46" s="1331">
        <f>COUNTIFS('Degrémont sortie'!BB$14:BB$379,"&gt;0",'Degrémont sortie'!$A$14:$A$379,"&gt;="&amp;B8,'Degrémont sortie'!$A$14:$A$379,"&lt;="&amp;EOMONTH(B8,0))</f>
        <v>28</v>
      </c>
      <c r="Y46" s="1286" t="e">
        <f>SUMIFS('Degrémont sortie'!$BB$14:$BB$379,'Degrémont sortie'!$BB$14:$BB$379,"&lt;&gt;0",'Degrémont sortie'!$A$14:$A$379,"&gt;="&amp;B8,'Degrémont sortie'!$A$14:$A$379,"&lt;="&amp;EOMONTH(B8,0))</f>
        <v>#DIV/0!</v>
      </c>
      <c r="Z46" s="1069" t="e">
        <f t="shared" si="13"/>
        <v>#DIV/0!</v>
      </c>
      <c r="AA46" s="1286" t="e">
        <f ca="1">MINIFS('Degrémont sortie'!$BB$14:$BB$379,'Degrémont sortie'!$BB$14:$BB$379,"&lt;&gt;0",'Degrémont sortie'!$A$14:$A$379,"&gt;="&amp;B8,'Degrémont sortie'!$A$14:$A$379,"&lt;="&amp;EOMONTH(B8,0))</f>
        <v>#NAME?</v>
      </c>
      <c r="AB46" s="1286" t="e">
        <f ca="1">MAXIFS('Degrémont sortie'!$BB$14:$BB$379,'Degrémont sortie'!$BB$14:$BB$379,"&lt;&gt;0",'Degrémont sortie'!$A$14:$A$379,"&gt;="&amp;B8,'Degrémont sortie'!$A$14:$A$379,"&lt;="&amp;EOMONTH(B8,0))</f>
        <v>#NAME?</v>
      </c>
      <c r="AC46" s="1213" t="s">
        <v>153</v>
      </c>
      <c r="AD46" s="1330" t="s">
        <v>153</v>
      </c>
      <c r="AE46" s="1285"/>
      <c r="AF46" s="1293"/>
      <c r="AG46" s="1293"/>
      <c r="AH46" s="1293"/>
      <c r="AI46" s="1293"/>
      <c r="AJ46" s="1293"/>
      <c r="AK46" s="1285"/>
      <c r="AL46" s="1205" t="e">
        <f>COUNTIFS(#REF!,"&gt;0",#REF!,"&gt;="&amp;B8,#REF!,"&lt;="&amp;EOMONTH(B8,0))</f>
        <v>#REF!</v>
      </c>
      <c r="AM46" s="1208" t="e">
        <f>SUMIFS(#REF!,#REF!,"&lt;&gt;0",#REF!,"&gt;="&amp;B8,#REF!,"&lt;="&amp;EOMONTH(B8,0))</f>
        <v>#REF!</v>
      </c>
      <c r="AN46" s="1208" t="e">
        <f t="shared" si="16"/>
        <v>#REF!</v>
      </c>
      <c r="AO46" s="1208" t="e">
        <f ca="1">MINIFS(#REF!,#REF!,"&lt;&gt;0",#REF!,"&gt;="&amp;B8,#REF!,"&lt;="&amp;EOMONTH(B8,0))</f>
        <v>#NAME?</v>
      </c>
      <c r="AP46" s="1208" t="e">
        <f ca="1">MAXIFS(#REF!,#REF!,"&lt;&gt;0",#REF!,"&gt;="&amp;B8,#REF!,"&lt;="&amp;EOMONTH(B8,0))</f>
        <v>#NAME?</v>
      </c>
      <c r="AQ46" s="1285"/>
      <c r="AR46" s="1293"/>
      <c r="AS46" s="1293"/>
      <c r="AT46" s="1293"/>
      <c r="AU46" s="1293"/>
      <c r="AV46" s="1293"/>
      <c r="AW46" s="1293"/>
      <c r="AX46" s="1294"/>
      <c r="AY46" s="1295"/>
      <c r="AZ46" s="1095" t="e">
        <f t="shared" si="2"/>
        <v>#REF!</v>
      </c>
      <c r="BA46" s="2"/>
    </row>
    <row r="47" spans="1:53" ht="15.75" customHeight="1" outlineLevel="1">
      <c r="A47" s="1027"/>
      <c r="B47" s="1096"/>
      <c r="C47" s="1139" t="s">
        <v>303</v>
      </c>
      <c r="D47" s="1102"/>
      <c r="E47" s="1069"/>
      <c r="F47" s="1069"/>
      <c r="G47" s="1069"/>
      <c r="H47" s="1069"/>
      <c r="I47" s="1069"/>
      <c r="J47" s="1102"/>
      <c r="K47" s="1102"/>
      <c r="L47" s="1281"/>
      <c r="M47" s="1289"/>
      <c r="N47" s="1290"/>
      <c r="O47" s="1290"/>
      <c r="P47" s="1286"/>
      <c r="Q47" s="1283"/>
      <c r="R47" s="1286"/>
      <c r="S47" s="1286"/>
      <c r="T47" s="1290"/>
      <c r="U47" s="1290"/>
      <c r="V47" s="1285"/>
      <c r="W47" s="1083">
        <f>Parametres!$T$46</f>
        <v>10000</v>
      </c>
      <c r="X47" s="1142">
        <f>COUNTIFS('Degrémont sortie'!$BC$14:$BC$379,"&gt;0",'Degrémont sortie'!$A$14:$A$379,"&gt;="&amp;B8,'Degrémont sortie'!$A$14:$A$379,"&lt;="&amp;EOMONTH(B8,0))</f>
        <v>28</v>
      </c>
      <c r="Y47" s="1085">
        <f>SUMIFS('Degrémont sortie'!$BC$14:$BC$379,'Degrémont sortie'!$BC$14:$BC$379,"&lt;&gt;0",'Degrémont sortie'!$A$14:$A$379,"&gt;="&amp;B8,'Degrémont sortie'!$A$14:$A$379,"&lt;="&amp;EOMONTH(B8,0))</f>
        <v>2774.8704963071805</v>
      </c>
      <c r="Z47" s="1069">
        <f t="shared" si="13"/>
        <v>99.102517725256448</v>
      </c>
      <c r="AA47" s="1286" t="e">
        <f ca="1">MINIFS('Degrémont sortie'!$BC$14:$BC$379,'Degrémont sortie'!$BC$14:$BC$379,"&lt;&gt;0",'Degrémont sortie'!$A$14:$A$379,"&gt;="&amp;B8,'Degrémont sortie'!$A$14:$A$379,"&lt;="&amp;EOMONTH(B8,0))</f>
        <v>#NAME?</v>
      </c>
      <c r="AB47" s="1286" t="e">
        <f ca="1">MAXIFS('Degrémont sortie'!$BC$14:$BC$379,'Degrémont sortie'!$BC$14:$BC$379,"&lt;&gt;0",'Degrémont sortie'!$A$14:$A$379,"&gt;="&amp;B8,'Degrémont sortie'!$A$14:$A$379,"&lt;="&amp;EOMONTH(B8,0))</f>
        <v>#NAME?</v>
      </c>
      <c r="AC47" s="1291" t="s">
        <v>153</v>
      </c>
      <c r="AD47" s="1292" t="s">
        <v>153</v>
      </c>
      <c r="AE47" s="1285"/>
      <c r="AF47" s="1293"/>
      <c r="AG47" s="1293"/>
      <c r="AH47" s="1293"/>
      <c r="AI47" s="1293"/>
      <c r="AJ47" s="1293"/>
      <c r="AK47" s="1285"/>
      <c r="AL47" s="1293"/>
      <c r="AM47" s="1293"/>
      <c r="AN47" s="1293"/>
      <c r="AO47" s="1293"/>
      <c r="AP47" s="1293"/>
      <c r="AQ47" s="1285"/>
      <c r="AR47" s="1293"/>
      <c r="AS47" s="1293"/>
      <c r="AT47" s="1293"/>
      <c r="AU47" s="1293"/>
      <c r="AV47" s="1293"/>
      <c r="AW47" s="1293"/>
      <c r="AX47" s="1294"/>
      <c r="AY47" s="1295"/>
      <c r="AZ47" s="1095">
        <f t="shared" si="2"/>
        <v>28</v>
      </c>
      <c r="BA47" s="2"/>
    </row>
    <row r="48" spans="1:53" ht="15.75" customHeight="1" outlineLevel="1">
      <c r="A48" s="1027"/>
      <c r="B48" s="1096"/>
      <c r="C48" s="1139" t="s">
        <v>338</v>
      </c>
      <c r="D48" s="1102"/>
      <c r="E48" s="1069"/>
      <c r="F48" s="1069"/>
      <c r="G48" s="1069"/>
      <c r="H48" s="1069"/>
      <c r="I48" s="1069"/>
      <c r="J48" s="1102"/>
      <c r="K48" s="1102"/>
      <c r="L48" s="1281"/>
      <c r="M48" s="1289"/>
      <c r="N48" s="1290"/>
      <c r="O48" s="1290"/>
      <c r="P48" s="1286"/>
      <c r="Q48" s="1283"/>
      <c r="R48" s="1286"/>
      <c r="S48" s="1286"/>
      <c r="T48" s="1290"/>
      <c r="U48" s="1290"/>
      <c r="V48" s="1285"/>
      <c r="W48" s="1293"/>
      <c r="X48" s="1293"/>
      <c r="Y48" s="1286"/>
      <c r="Z48" s="1286"/>
      <c r="AA48" s="1286"/>
      <c r="AB48" s="1286"/>
      <c r="AC48" s="1293"/>
      <c r="AD48" s="1249"/>
      <c r="AE48" s="1285"/>
      <c r="AF48" s="1293"/>
      <c r="AG48" s="1293"/>
      <c r="AH48" s="1293"/>
      <c r="AI48" s="1293"/>
      <c r="AJ48" s="1293"/>
      <c r="AK48" s="1285"/>
      <c r="AL48" s="1293"/>
      <c r="AM48" s="1293"/>
      <c r="AN48" s="1293"/>
      <c r="AO48" s="1293"/>
      <c r="AP48" s="1293"/>
      <c r="AQ48" s="1285"/>
      <c r="AR48" s="1293"/>
      <c r="AS48" s="1293"/>
      <c r="AT48" s="1293"/>
      <c r="AU48" s="1293"/>
      <c r="AV48" s="1293"/>
      <c r="AW48" s="1293"/>
      <c r="AX48" s="1294"/>
      <c r="AY48" s="1295"/>
      <c r="AZ48" s="1095">
        <f t="shared" si="2"/>
        <v>0</v>
      </c>
      <c r="BA48" s="2"/>
    </row>
    <row r="49" spans="1:53" ht="15.75" customHeight="1" outlineLevel="1">
      <c r="A49" s="1027"/>
      <c r="B49" s="1096"/>
      <c r="C49" s="1139" t="s">
        <v>339</v>
      </c>
      <c r="D49" s="1122">
        <f>Parametres!$D$48</f>
        <v>30</v>
      </c>
      <c r="E49" s="1068" t="e">
        <f>COUNTIFS(#REF!,"&gt;0",#REF!,"&gt;="&amp;B8,#REF!,"&lt;="&amp;EOMONTH(B8,0))</f>
        <v>#REF!</v>
      </c>
      <c r="F49" s="1069" t="e">
        <f>SUMIFS(#REF!,#REF!,"&lt;&gt;0",#REF!,"&gt;="&amp;B8,#REF!,"&lt;="&amp;EOMONTH(B8,0))</f>
        <v>#REF!</v>
      </c>
      <c r="G49" s="1069" t="e">
        <f t="shared" ref="G49:G53" si="17">IF(E49=0,0,F49/E49)</f>
        <v>#REF!</v>
      </c>
      <c r="H49" s="1069" t="e">
        <f ca="1">MINIFS(#REF!,#REF!,"&lt;&gt;0",#REF!,"&gt;="&amp;B8,#REF!,"&lt;="&amp;EOMONTH(B8,0))</f>
        <v>#NAME?</v>
      </c>
      <c r="I49" s="1069" t="e">
        <f ca="1">MAXIFS(#REF!,#REF!,"&lt;&gt;0",#REF!,"&gt;="&amp;B8,#REF!,"&lt;="&amp;EOMONTH(B8,0))</f>
        <v>#NAME?</v>
      </c>
      <c r="J49" s="1114" t="e">
        <f>COUNTIFS(#REF!,"&gt;="&amp;D49,#REF!,"&gt;="&amp;B8,#REF!,"&lt;="&amp;EOMONTH(B8,0))</f>
        <v>#REF!</v>
      </c>
      <c r="K49" s="1073" t="e">
        <f t="shared" ref="K49:K53" si="18">IF(E49="",,J49/E49)</f>
        <v>#REF!</v>
      </c>
      <c r="L49" s="1281"/>
      <c r="M49" s="1289"/>
      <c r="N49" s="1290"/>
      <c r="O49" s="1290"/>
      <c r="P49" s="1286"/>
      <c r="Q49" s="1283"/>
      <c r="R49" s="1286"/>
      <c r="S49" s="1286"/>
      <c r="T49" s="1290"/>
      <c r="U49" s="1290"/>
      <c r="V49" s="1285"/>
      <c r="W49" s="1293"/>
      <c r="X49" s="1293"/>
      <c r="Y49" s="1286"/>
      <c r="Z49" s="1286"/>
      <c r="AA49" s="1286"/>
      <c r="AB49" s="1286"/>
      <c r="AC49" s="1293"/>
      <c r="AD49" s="1249"/>
      <c r="AE49" s="1285"/>
      <c r="AF49" s="1293"/>
      <c r="AG49" s="1293"/>
      <c r="AH49" s="1293"/>
      <c r="AI49" s="1293"/>
      <c r="AJ49" s="1293"/>
      <c r="AK49" s="1285"/>
      <c r="AL49" s="1293"/>
      <c r="AM49" s="1293"/>
      <c r="AN49" s="1293"/>
      <c r="AO49" s="1293"/>
      <c r="AP49" s="1293"/>
      <c r="AQ49" s="1285"/>
      <c r="AR49" s="1293"/>
      <c r="AS49" s="1293"/>
      <c r="AT49" s="1293"/>
      <c r="AU49" s="1293"/>
      <c r="AV49" s="1293"/>
      <c r="AW49" s="1293"/>
      <c r="AX49" s="1294"/>
      <c r="AY49" s="1295"/>
      <c r="AZ49" s="1095" t="e">
        <f t="shared" si="2"/>
        <v>#REF!</v>
      </c>
      <c r="BA49" s="2"/>
    </row>
    <row r="50" spans="1:53" ht="15.75" customHeight="1" outlineLevel="1">
      <c r="A50" s="1027"/>
      <c r="B50" s="1096"/>
      <c r="C50" s="1302" t="s">
        <v>24</v>
      </c>
      <c r="D50" s="1122">
        <f>Parametres!$D$50</f>
        <v>4</v>
      </c>
      <c r="E50" s="1068" t="e">
        <f>COUNTIFS(#REF!,"&gt;0",#REF!,"&gt;="&amp;B8,#REF!,"&lt;="&amp;EOMONTH(B8,0))</f>
        <v>#REF!</v>
      </c>
      <c r="F50" s="1069" t="e">
        <f>SUMIFS(#REF!,#REF!,"&lt;&gt;0",#REF!,"&gt;="&amp;B8,#REF!,"&lt;="&amp;EOMONTH(B8,0))</f>
        <v>#REF!</v>
      </c>
      <c r="G50" s="1069" t="e">
        <f t="shared" si="17"/>
        <v>#REF!</v>
      </c>
      <c r="H50" s="1069" t="e">
        <f ca="1">MINIFS(#REF!,#REF!,"&lt;&gt;0",#REF!,"&gt;="&amp;B8,#REF!,"&lt;="&amp;EOMONTH(B8,0))</f>
        <v>#NAME?</v>
      </c>
      <c r="I50" s="1069" t="e">
        <f ca="1">MAXIFS(#REF!,#REF!,"&lt;&gt;0",#REF!,"&gt;="&amp;B8,#REF!,"&lt;="&amp;EOMONTH(B8,0))</f>
        <v>#NAME?</v>
      </c>
      <c r="J50" s="1114" t="e">
        <f>COUNTIFS(#REF!,"&gt;="&amp;D50,#REF!,"&gt;="&amp;B8,#REF!,"&lt;="&amp;EOMONTH(B8,0))</f>
        <v>#REF!</v>
      </c>
      <c r="K50" s="1073" t="e">
        <f t="shared" si="18"/>
        <v>#REF!</v>
      </c>
      <c r="L50" s="1281"/>
      <c r="M50" s="1289"/>
      <c r="N50" s="1290"/>
      <c r="O50" s="1290"/>
      <c r="P50" s="1286"/>
      <c r="Q50" s="1283"/>
      <c r="R50" s="1286"/>
      <c r="S50" s="1286"/>
      <c r="T50" s="1290"/>
      <c r="U50" s="1290"/>
      <c r="V50" s="1285"/>
      <c r="W50" s="1293"/>
      <c r="X50" s="1293"/>
      <c r="Y50" s="1286"/>
      <c r="Z50" s="1286"/>
      <c r="AA50" s="1286"/>
      <c r="AB50" s="1286"/>
      <c r="AC50" s="1293"/>
      <c r="AD50" s="1249"/>
      <c r="AE50" s="1285"/>
      <c r="AF50" s="1293"/>
      <c r="AG50" s="1293"/>
      <c r="AH50" s="1293"/>
      <c r="AI50" s="1293"/>
      <c r="AJ50" s="1293"/>
      <c r="AK50" s="1285"/>
      <c r="AL50" s="1293"/>
      <c r="AM50" s="1293"/>
      <c r="AN50" s="1293"/>
      <c r="AO50" s="1293"/>
      <c r="AP50" s="1293"/>
      <c r="AQ50" s="1285"/>
      <c r="AR50" s="1293"/>
      <c r="AS50" s="1293"/>
      <c r="AT50" s="1293"/>
      <c r="AU50" s="1293"/>
      <c r="AV50" s="1293"/>
      <c r="AW50" s="1293"/>
      <c r="AX50" s="1294"/>
      <c r="AY50" s="1295"/>
      <c r="AZ50" s="1095" t="e">
        <f t="shared" si="2"/>
        <v>#REF!</v>
      </c>
      <c r="BA50" s="2"/>
    </row>
    <row r="51" spans="1:53" ht="15.75" customHeight="1" outlineLevel="1">
      <c r="A51" s="1027"/>
      <c r="B51" s="1096"/>
      <c r="C51" s="1302" t="s">
        <v>168</v>
      </c>
      <c r="D51" s="1122" t="e">
        <f>#REF!</f>
        <v>#REF!</v>
      </c>
      <c r="E51" s="1068" t="e">
        <f>COUNTIFS(#REF!,"&gt;0",#REF!,"&gt;="&amp;B8,#REF!,"&lt;="&amp;EOMONTH(B8,0))</f>
        <v>#REF!</v>
      </c>
      <c r="F51" s="1069" t="e">
        <f>SUMIFS(#REF!,#REF!,"&lt;&gt;0",#REF!,"&gt;="&amp;B8,#REF!,"&lt;="&amp;EOMONTH(B8,0))</f>
        <v>#REF!</v>
      </c>
      <c r="G51" s="1069" t="e">
        <f t="shared" si="17"/>
        <v>#REF!</v>
      </c>
      <c r="H51" s="1069" t="e">
        <f ca="1">MINIFS(#REF!,#REF!,"&lt;&gt;0",#REF!,"&gt;="&amp;B8,#REF!,"&lt;="&amp;EOMONTH(B8,0))</f>
        <v>#NAME?</v>
      </c>
      <c r="I51" s="1069" t="e">
        <f ca="1">MAXIFS(#REF!,#REF!,"&lt;&gt;0",#REF!,"&gt;="&amp;B8,#REF!,"&lt;="&amp;EOMONTH(B8,0))</f>
        <v>#NAME?</v>
      </c>
      <c r="J51" s="1072" t="e">
        <f>COUNTIFS(#REF!,"&gt;="&amp;D51,#REF!,"&gt;="&amp;B8,#REF!,"&lt;="&amp;EOMONTH(B8,0))</f>
        <v>#REF!</v>
      </c>
      <c r="K51" s="1073" t="e">
        <f t="shared" si="18"/>
        <v>#REF!</v>
      </c>
      <c r="L51" s="1281"/>
      <c r="M51" s="1289"/>
      <c r="N51" s="1290"/>
      <c r="O51" s="1290"/>
      <c r="P51" s="1286"/>
      <c r="Q51" s="1283"/>
      <c r="R51" s="1286"/>
      <c r="S51" s="1286"/>
      <c r="T51" s="1290"/>
      <c r="U51" s="1290"/>
      <c r="V51" s="1285"/>
      <c r="W51" s="1293"/>
      <c r="X51" s="1293"/>
      <c r="Y51" s="1286"/>
      <c r="Z51" s="1286"/>
      <c r="AA51" s="1286"/>
      <c r="AB51" s="1286"/>
      <c r="AC51" s="1293"/>
      <c r="AD51" s="1249"/>
      <c r="AE51" s="1285"/>
      <c r="AF51" s="1293"/>
      <c r="AG51" s="1293"/>
      <c r="AH51" s="1293"/>
      <c r="AI51" s="1293"/>
      <c r="AJ51" s="1293"/>
      <c r="AK51" s="1285"/>
      <c r="AL51" s="1293"/>
      <c r="AM51" s="1293"/>
      <c r="AN51" s="1293"/>
      <c r="AO51" s="1293"/>
      <c r="AP51" s="1293"/>
      <c r="AQ51" s="1285"/>
      <c r="AR51" s="1293"/>
      <c r="AS51" s="1293"/>
      <c r="AT51" s="1293"/>
      <c r="AU51" s="1293"/>
      <c r="AV51" s="1293"/>
      <c r="AW51" s="1293"/>
      <c r="AX51" s="1294"/>
      <c r="AY51" s="1295"/>
      <c r="AZ51" s="1095" t="e">
        <f t="shared" si="2"/>
        <v>#REF!</v>
      </c>
      <c r="BA51" s="2"/>
    </row>
    <row r="52" spans="1:53" ht="15.75" customHeight="1" outlineLevel="1">
      <c r="A52" s="1027"/>
      <c r="B52" s="1096"/>
      <c r="C52" s="1302" t="s">
        <v>25</v>
      </c>
      <c r="D52" s="1122">
        <f>Parametres!$D$51</f>
        <v>1.5</v>
      </c>
      <c r="E52" s="1068" t="e">
        <f>COUNTIFS(#REF!,"&gt;0",#REF!,"&gt;="&amp;B8,#REF!,"&lt;="&amp;EOMONTH(B8,0))</f>
        <v>#REF!</v>
      </c>
      <c r="F52" s="1069" t="e">
        <f>SUMIFS(#REF!,#REF!,"&lt;&gt;0",#REF!,"&gt;="&amp;B8,#REF!,"&lt;="&amp;EOMONTH(B8,0))</f>
        <v>#REF!</v>
      </c>
      <c r="G52" s="1069" t="e">
        <f t="shared" si="17"/>
        <v>#REF!</v>
      </c>
      <c r="H52" s="1069" t="e">
        <f ca="1">MINIFS(#REF!,#REF!,"&lt;&gt;0",#REF!,"&gt;="&amp;B8,#REF!,"&lt;="&amp;EOMONTH(B8,0))</f>
        <v>#NAME?</v>
      </c>
      <c r="I52" s="1069" t="e">
        <f ca="1">MAXIFS(#REF!,#REF!,"&lt;&gt;0",#REF!,"&gt;="&amp;B8,#REF!,"&lt;="&amp;EOMONTH(B8,0))</f>
        <v>#NAME?</v>
      </c>
      <c r="J52" s="1114" t="e">
        <f>COUNTIFS(#REF!,"&gt;="&amp;D52,#REF!,"&gt;="&amp;B8,#REF!,"&lt;="&amp;EOMONTH(B8,0))</f>
        <v>#REF!</v>
      </c>
      <c r="K52" s="1073" t="e">
        <f t="shared" si="18"/>
        <v>#REF!</v>
      </c>
      <c r="L52" s="1281"/>
      <c r="M52" s="1289"/>
      <c r="N52" s="1290"/>
      <c r="O52" s="1290"/>
      <c r="P52" s="1286"/>
      <c r="Q52" s="1283"/>
      <c r="R52" s="1286"/>
      <c r="S52" s="1286"/>
      <c r="T52" s="1290"/>
      <c r="U52" s="1290"/>
      <c r="V52" s="1285"/>
      <c r="W52" s="1293"/>
      <c r="X52" s="1293"/>
      <c r="Y52" s="1286"/>
      <c r="Z52" s="1286"/>
      <c r="AA52" s="1286"/>
      <c r="AB52" s="1286"/>
      <c r="AC52" s="1293"/>
      <c r="AD52" s="1249"/>
      <c r="AE52" s="1285"/>
      <c r="AF52" s="1293"/>
      <c r="AG52" s="1293"/>
      <c r="AH52" s="1293"/>
      <c r="AI52" s="1293"/>
      <c r="AJ52" s="1293"/>
      <c r="AK52" s="1285"/>
      <c r="AL52" s="1293"/>
      <c r="AM52" s="1293"/>
      <c r="AN52" s="1293"/>
      <c r="AO52" s="1293"/>
      <c r="AP52" s="1293"/>
      <c r="AQ52" s="1285"/>
      <c r="AR52" s="1293"/>
      <c r="AS52" s="1293"/>
      <c r="AT52" s="1293"/>
      <c r="AU52" s="1293"/>
      <c r="AV52" s="1293"/>
      <c r="AW52" s="1293"/>
      <c r="AX52" s="1294"/>
      <c r="AY52" s="1295"/>
      <c r="AZ52" s="1095" t="e">
        <f t="shared" si="2"/>
        <v>#REF!</v>
      </c>
      <c r="BA52" s="2"/>
    </row>
    <row r="53" spans="1:53" ht="15.75" customHeight="1" outlineLevel="1">
      <c r="A53" s="1027"/>
      <c r="B53" s="1332"/>
      <c r="C53" s="1139" t="s">
        <v>47</v>
      </c>
      <c r="D53" s="1122">
        <f>Parametres!$D$52</f>
        <v>2</v>
      </c>
      <c r="E53" s="1068" t="e">
        <f>COUNTIFS(#REF!,"&gt;0",#REF!,"&gt;="&amp;B8,#REF!,"&lt;="&amp;EOMONTH(B8,0))</f>
        <v>#REF!</v>
      </c>
      <c r="F53" s="1069" t="e">
        <f>SUMIFS(#REF!,#REF!,"&lt;&gt;0",#REF!,"&gt;="&amp;B8,#REF!,"&lt;="&amp;EOMONTH(B8,0))</f>
        <v>#REF!</v>
      </c>
      <c r="G53" s="1069" t="e">
        <f t="shared" si="17"/>
        <v>#REF!</v>
      </c>
      <c r="H53" s="1069" t="e">
        <f ca="1">MINIFS(#REF!,#REF!,"&lt;&gt;0",#REF!,"&gt;="&amp;B8,#REF!,"&lt;="&amp;EOMONTH(B8,0))</f>
        <v>#NAME?</v>
      </c>
      <c r="I53" s="1069" t="e">
        <f ca="1">MAXIFS(#REF!,#REF!,"&lt;&gt;0",#REF!,"&gt;="&amp;B8,#REF!,"&lt;="&amp;EOMONTH(B8,0))</f>
        <v>#NAME?</v>
      </c>
      <c r="J53" s="1072" t="e">
        <f>COUNTIFS(#REF!,"&gt;="&amp;D53,#REF!,"&gt;="&amp;B8,#REF!,"&lt;="&amp;EOMONTH(B8,0))</f>
        <v>#REF!</v>
      </c>
      <c r="K53" s="1073" t="e">
        <f t="shared" si="18"/>
        <v>#REF!</v>
      </c>
      <c r="L53" s="1281"/>
      <c r="M53" s="1289"/>
      <c r="N53" s="1144">
        <f>Parametres!$L$52</f>
        <v>90</v>
      </c>
      <c r="O53" s="1077">
        <f>COUNTIFS('Degrémont Entrée'!$AY$14:$AY$379,"&gt;0",'Degrémont Entrée'!$A$14:$A$379,"&gt;="&amp;B8,'Degrémont Entrée'!$A$14:$A$379,"&lt;="&amp;EOMONTH(B8,0))</f>
        <v>4</v>
      </c>
      <c r="P53" s="1078">
        <f>SUMIFS('Degrémont Entrée'!$AY$14:$AY$379,'Degrémont Entrée'!$AY$14:$AY$379,"&lt;&gt;0",'Degrémont Entrée'!$A$14:$A$379,"&gt;="&amp;B8,'Degrémont Entrée'!$A$14:$A$379,"&lt;="&amp;EOMONTH(B8,0))</f>
        <v>1287.94</v>
      </c>
      <c r="Q53" s="1283">
        <f>IF(O53=0,0,P53/O53)</f>
        <v>321.98500000000001</v>
      </c>
      <c r="R53" s="1286" t="e">
        <f ca="1">MINIFS('Degrémont Entrée'!$AY$14:$AY$379,'Degrémont Entrée'!$AY$14:$AY$379,"&lt;&gt;0",'Degrémont Entrée'!$A$14:$A$379,"&gt;="&amp;B8,'Degrémont Entrée'!$A$14:$A$379,"&lt;="&amp;EOMONTH(B8,0))</f>
        <v>#NAME?</v>
      </c>
      <c r="S53" s="1286" t="e">
        <f ca="1">MAXIFS('Degrémont Entrée'!$AY$14:$AY$379,'Degrémont Entrée'!$AY$14:$AY$379,"&lt;&gt;0",'Degrémont Entrée'!$A$14:$A$379,"&gt;="&amp;B8,'Degrémont Entrée'!$A$14:$A$379,"&lt;="&amp;EOMONTH(B8,0))</f>
        <v>#NAME?</v>
      </c>
      <c r="T53" s="1141">
        <f>COUNTIFS('Degrémont Entrée'!$AY$14:$AY$379,"&gt;="&amp;N53,'Degrémont Entrée'!$A$14:$A$379,"&gt;="&amp;B8,'Degrémont Entrée'!$A$14:$A$379,"&lt;="&amp;EOMONTH(B8,0))</f>
        <v>4</v>
      </c>
      <c r="U53" s="1081">
        <f>T53/O53</f>
        <v>1</v>
      </c>
      <c r="V53" s="1285"/>
      <c r="W53" s="1083">
        <f>Parametres!$T$52</f>
        <v>0.64</v>
      </c>
      <c r="X53" s="1142">
        <f>COUNTIFS('Degrémont sortie'!$AS$14:$AS$379,"&gt;0",'Degrémont sortie'!$A$14:$A$379,"&gt;="&amp;B8,'Degrémont sortie'!$A$14:$A$379,"&lt;="&amp;EOMONTH(B8,0))</f>
        <v>4</v>
      </c>
      <c r="Y53" s="1085">
        <f>SUMIFS('Degrémont sortie'!$AS$14:$AS$379,'Degrémont sortie'!$AS$14:$AS$379,"&lt;&gt;0",'Degrémont sortie'!$A$14:$A$379,"&gt;="&amp;B8,'Degrémont sortie'!$A$14:$A$379,"&lt;="&amp;EOMONTH(B8,0))</f>
        <v>2.4400000000000004</v>
      </c>
      <c r="Z53" s="1069">
        <f>IF(X53=0,0,Y53/X53)</f>
        <v>0.6100000000000001</v>
      </c>
      <c r="AA53" s="1286" t="e">
        <f ca="1">MINIFS('Degrémont sortie'!$AS$14:$AS$379,'Degrémont sortie'!$AS$14:$AS$379,"&lt;&gt;0",'Degrémont sortie'!$A$14:$A$379,"&gt;="&amp;B8,'Degrémont sortie'!$A$14:$A$379,"&lt;="&amp;EOMONTH(B8,0))</f>
        <v>#NAME?</v>
      </c>
      <c r="AB53" s="1286" t="e">
        <f ca="1">MAXIFS('Degrémont sortie'!$AS$14:$AS$379,'Degrémont sortie'!$AS$14:$AS$379,"&lt;&gt;0",'Degrémont sortie'!$A$14:$A$379,"&gt;="&amp;B8,'Degrémont sortie'!$A$14:$A$379,"&lt;="&amp;EOMONTH(B8,0))</f>
        <v>#NAME?</v>
      </c>
      <c r="AC53" s="1141">
        <f>COUNTIFS('Degrémont sortie'!$AS$14:$AS$379,"&gt;="&amp;W53,'Degrémont sortie'!$A$14:$A$379,"&gt;="&amp;B8,'Degrémont sortie'!$A$14:$A$379,"&lt;="&amp;EOMONTH(B8,0))</f>
        <v>1</v>
      </c>
      <c r="AD53" s="1087">
        <f>AC53/X53</f>
        <v>0.25</v>
      </c>
      <c r="AE53" s="1285"/>
      <c r="AF53" s="1293"/>
      <c r="AG53" s="1293"/>
      <c r="AH53" s="1293"/>
      <c r="AI53" s="1293"/>
      <c r="AJ53" s="1293"/>
      <c r="AK53" s="1285"/>
      <c r="AL53" s="1293"/>
      <c r="AM53" s="1293"/>
      <c r="AN53" s="1293"/>
      <c r="AO53" s="1293"/>
      <c r="AP53" s="1293"/>
      <c r="AQ53" s="1285"/>
      <c r="AR53" s="1293"/>
      <c r="AS53" s="1293"/>
      <c r="AT53" s="1293"/>
      <c r="AU53" s="1293"/>
      <c r="AV53" s="1293"/>
      <c r="AW53" s="1293"/>
      <c r="AX53" s="1294"/>
      <c r="AY53" s="1295"/>
      <c r="AZ53" s="1095" t="e">
        <f t="shared" si="2"/>
        <v>#REF!</v>
      </c>
      <c r="BA53" s="2"/>
    </row>
    <row r="54" spans="1:53" ht="15.75" customHeight="1" collapsed="1">
      <c r="A54" s="1027"/>
      <c r="B54" s="1033"/>
      <c r="C54" s="2"/>
      <c r="D54" s="2"/>
      <c r="E54" s="1034"/>
      <c r="F54" s="1034"/>
      <c r="G54" s="1035"/>
      <c r="H54" s="1034"/>
      <c r="I54" s="1034"/>
      <c r="J54" s="2"/>
      <c r="K54" s="2"/>
      <c r="L54" s="2"/>
      <c r="M54" s="2"/>
      <c r="N54" s="2"/>
      <c r="O54" s="2"/>
      <c r="P54" s="1034"/>
      <c r="Q54" s="1034"/>
      <c r="R54" s="1034"/>
      <c r="S54" s="1034"/>
      <c r="T54" s="2"/>
      <c r="U54" s="2"/>
      <c r="V54" s="2"/>
      <c r="W54" s="2"/>
      <c r="X54" s="2"/>
      <c r="Y54" s="1034"/>
      <c r="Z54" s="1034"/>
      <c r="AA54" s="1034"/>
      <c r="AB54" s="1034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</row>
    <row r="55" spans="1:53" ht="15.75" hidden="1" customHeight="1" outlineLevel="1">
      <c r="A55" s="1027"/>
      <c r="B55" s="1033"/>
      <c r="C55" s="2"/>
      <c r="D55" s="1039"/>
      <c r="E55" s="1555" t="s">
        <v>283</v>
      </c>
      <c r="F55" s="1420"/>
      <c r="G55" s="1420"/>
      <c r="H55" s="1420"/>
      <c r="I55" s="1420"/>
      <c r="J55" s="1420"/>
      <c r="K55" s="1420"/>
      <c r="L55" s="1421"/>
      <c r="M55" s="1045"/>
      <c r="N55" s="1333"/>
      <c r="O55" s="1550" t="s">
        <v>288</v>
      </c>
      <c r="P55" s="1420"/>
      <c r="Q55" s="1420"/>
      <c r="R55" s="1420"/>
      <c r="S55" s="1420"/>
      <c r="T55" s="1421"/>
      <c r="U55" s="1334"/>
      <c r="V55" s="1046"/>
      <c r="W55" s="1335"/>
      <c r="X55" s="1549" t="s">
        <v>289</v>
      </c>
      <c r="Y55" s="1517"/>
      <c r="Z55" s="1517"/>
      <c r="AA55" s="1517"/>
      <c r="AB55" s="1517"/>
      <c r="AC55" s="1514"/>
      <c r="AD55" s="1335"/>
      <c r="AE55" s="1046"/>
      <c r="AF55" s="1549" t="s">
        <v>199</v>
      </c>
      <c r="AG55" s="1517"/>
      <c r="AH55" s="1517"/>
      <c r="AI55" s="1517"/>
      <c r="AJ55" s="1514"/>
      <c r="AK55" s="1046"/>
      <c r="AL55" s="1549" t="s">
        <v>200</v>
      </c>
      <c r="AM55" s="1517"/>
      <c r="AN55" s="1517"/>
      <c r="AO55" s="1517"/>
      <c r="AP55" s="1514"/>
      <c r="AQ55" s="1046"/>
      <c r="AR55" s="1335"/>
      <c r="AS55" s="1549" t="s">
        <v>290</v>
      </c>
      <c r="AT55" s="1517"/>
      <c r="AU55" s="1517"/>
      <c r="AV55" s="1517"/>
      <c r="AW55" s="1517"/>
      <c r="AX55" s="1514"/>
      <c r="AY55" s="1027"/>
      <c r="AZ55" s="2"/>
      <c r="BA55" s="2"/>
    </row>
    <row r="56" spans="1:53" ht="15.75" hidden="1" customHeight="1" outlineLevel="1">
      <c r="A56" s="1027"/>
      <c r="B56" s="1033"/>
      <c r="C56" s="2"/>
      <c r="D56" s="1336"/>
      <c r="E56" s="1048" t="s">
        <v>292</v>
      </c>
      <c r="F56" s="1049" t="s">
        <v>293</v>
      </c>
      <c r="G56" s="1050" t="s">
        <v>294</v>
      </c>
      <c r="H56" s="1049" t="s">
        <v>295</v>
      </c>
      <c r="I56" s="1051" t="s">
        <v>296</v>
      </c>
      <c r="J56" s="1063" t="s">
        <v>297</v>
      </c>
      <c r="K56" s="1337" t="s">
        <v>216</v>
      </c>
      <c r="L56" s="1338" t="s">
        <v>298</v>
      </c>
      <c r="M56" s="1055"/>
      <c r="N56" s="1056" t="s">
        <v>291</v>
      </c>
      <c r="O56" s="1057" t="s">
        <v>292</v>
      </c>
      <c r="P56" s="1051" t="s">
        <v>293</v>
      </c>
      <c r="Q56" s="1058" t="s">
        <v>294</v>
      </c>
      <c r="R56" s="1051" t="s">
        <v>295</v>
      </c>
      <c r="S56" s="1051" t="s">
        <v>296</v>
      </c>
      <c r="T56" s="1059" t="s">
        <v>299</v>
      </c>
      <c r="U56" s="1060" t="s">
        <v>216</v>
      </c>
      <c r="V56" s="1055"/>
      <c r="W56" s="1056" t="s">
        <v>291</v>
      </c>
      <c r="X56" s="1057" t="s">
        <v>292</v>
      </c>
      <c r="Y56" s="1051" t="s">
        <v>293</v>
      </c>
      <c r="Z56" s="1058" t="s">
        <v>294</v>
      </c>
      <c r="AA56" s="1051" t="s">
        <v>295</v>
      </c>
      <c r="AB56" s="1051" t="s">
        <v>296</v>
      </c>
      <c r="AC56" s="1059" t="s">
        <v>299</v>
      </c>
      <c r="AD56" s="1339"/>
      <c r="AE56" s="1055"/>
      <c r="AF56" s="1057" t="s">
        <v>292</v>
      </c>
      <c r="AG56" s="1061" t="s">
        <v>293</v>
      </c>
      <c r="AH56" s="1062" t="s">
        <v>294</v>
      </c>
      <c r="AI56" s="1061" t="s">
        <v>295</v>
      </c>
      <c r="AJ56" s="1061" t="s">
        <v>296</v>
      </c>
      <c r="AK56" s="1055"/>
      <c r="AL56" s="1057" t="s">
        <v>292</v>
      </c>
      <c r="AM56" s="1061" t="s">
        <v>293</v>
      </c>
      <c r="AN56" s="1062" t="s">
        <v>294</v>
      </c>
      <c r="AO56" s="1061" t="s">
        <v>295</v>
      </c>
      <c r="AP56" s="1061" t="s">
        <v>296</v>
      </c>
      <c r="AQ56" s="1055"/>
      <c r="AR56" s="1056" t="s">
        <v>291</v>
      </c>
      <c r="AS56" s="1057" t="s">
        <v>292</v>
      </c>
      <c r="AT56" s="1061" t="s">
        <v>293</v>
      </c>
      <c r="AU56" s="1062" t="s">
        <v>294</v>
      </c>
      <c r="AV56" s="1061" t="s">
        <v>295</v>
      </c>
      <c r="AW56" s="1061" t="s">
        <v>296</v>
      </c>
      <c r="AX56" s="1059" t="s">
        <v>299</v>
      </c>
      <c r="AY56" s="1340" t="s">
        <v>216</v>
      </c>
      <c r="AZ56" s="1065" t="s">
        <v>300</v>
      </c>
      <c r="BA56" s="2"/>
    </row>
    <row r="57" spans="1:53" ht="15.75" hidden="1" customHeight="1" outlineLevel="1">
      <c r="A57" s="1027"/>
      <c r="B57" s="54">
        <v>43497</v>
      </c>
      <c r="C57" s="1066" t="s">
        <v>43</v>
      </c>
      <c r="D57" s="1067">
        <f>Parametres!$D$5</f>
        <v>5</v>
      </c>
      <c r="E57" s="1068" t="e">
        <f>COUNTIFS(#REF!,"&gt;0",#REF!,"&gt;="&amp;B57,#REF!,"&lt;="&amp;EOMONTH(B57,0))</f>
        <v>#REF!</v>
      </c>
      <c r="F57" s="1069" t="e">
        <f>SUMIFS(#REF!,#REF!,"&lt;&gt;0",#REF!,"&gt;="&amp;B57,#REF!,"&lt;="&amp;EOMONTH(B57,0))</f>
        <v>#REF!</v>
      </c>
      <c r="G57" s="1069" t="e">
        <f t="shared" ref="G57:G93" si="19">IF(E57=0,0,F57/E57)</f>
        <v>#REF!</v>
      </c>
      <c r="H57" s="1070" t="e">
        <f ca="1">MINIFS(#REF!,#REF!,"&lt;&gt;0",#REF!,"&gt;="&amp;B57,#REF!,"&lt;="&amp;EOMONTH(B57,0))</f>
        <v>#NAME?</v>
      </c>
      <c r="I57" s="1071" t="e">
        <f ca="1">MAXIFS(#REF!,#REF!,"&lt;&gt;0",#REF!,"&gt;="&amp;B57,#REF!,"&lt;="&amp;EOMONTH(B57,0))</f>
        <v>#NAME?</v>
      </c>
      <c r="J57" s="1072" t="e">
        <f>COUNTIFS(#REF!,"&gt;="&amp;D57,#REF!,"&gt;="&amp;B57,#REF!,"&lt;="&amp;EOMONTH(B57,0))</f>
        <v>#REF!</v>
      </c>
      <c r="K57" s="1341" t="e">
        <f t="shared" ref="K57:K70" si="20">J57/E57</f>
        <v>#REF!</v>
      </c>
      <c r="L57" s="1074"/>
      <c r="M57" s="1075"/>
      <c r="N57" s="1076">
        <f>Parametres!$L$5</f>
        <v>50</v>
      </c>
      <c r="O57" s="1077">
        <f>COUNTIFS('Degrémont Entrée'!$AM$14:$AM$379,"&gt;0",'Degrémont Entrée'!$A$14:$A$379,"&gt;="&amp;B57,'Degrémont Entrée'!$A$14:$A$379,"&lt;="&amp;EOMONTH(B57,0))</f>
        <v>4</v>
      </c>
      <c r="P57" s="1078">
        <f>SUMIFS('Degrémont Entrée'!$AM$14:$AM$379,'Degrémont Entrée'!$AM$14:$AM$379,"&lt;&gt;0",'Degrémont Entrée'!$A$14:$A$379,"&gt;="&amp;B57,'Degrémont Entrée'!$A$14:$A$379,"&lt;="&amp;EOMONTH(B57,0))</f>
        <v>141.1</v>
      </c>
      <c r="Q57" s="1078">
        <f>IF(O57=0,0,P57/O57)</f>
        <v>35.274999999999999</v>
      </c>
      <c r="R57" s="1079" t="e">
        <f ca="1">MINIFS('Degrémont Entrée'!$AM$14:$AM$379,'Degrémont Entrée'!$AM$14:$AM$379,"&lt;&gt;0",'Degrémont Entrée'!$A$14:$A$379,"&gt;="&amp;B57,'Degrémont Entrée'!$A$14:$A$379,"&lt;="&amp;EOMONTH(B57,0))</f>
        <v>#NAME?</v>
      </c>
      <c r="S57" s="1078" t="e">
        <f ca="1">MAXIFS('Degrémont Entrée'!$AM$14:$AM$379,'Degrémont Entrée'!$AM$14:$AM$379,"&lt;&gt;0",'Degrémont Entrée'!$A$14:$A$379,"&gt;="&amp;B57,'Degrémont Entrée'!$A$14:$A$379,"&lt;="&amp;EOMONTH(B57,0))</f>
        <v>#NAME?</v>
      </c>
      <c r="T57" s="1080">
        <f>COUNTIFS('Degrémont Entrée'!$AM$14:$AM$379,"&gt;="&amp;N57,'Degrémont Entrée'!$A$14:$A$379,"&gt;="&amp;B57,'Degrémont Entrée'!$A$14:$A$379,"&lt;="&amp;EOMONTH(B57,0))</f>
        <v>2</v>
      </c>
      <c r="U57" s="1081">
        <f>T57/O57</f>
        <v>0.5</v>
      </c>
      <c r="V57" s="1082"/>
      <c r="W57" s="1083">
        <f>Parametres!$T$5</f>
        <v>3</v>
      </c>
      <c r="X57" s="1084">
        <f>COUNTIFS('Degrémont sortie'!$AG$14:$AG$379,"&gt;0",'Degrémont sortie'!$A$14:$A$379,"&gt;="&amp;B57,'Degrémont sortie'!$A$14:$A$379,"&lt;="&amp;EOMONTH(B57,0))</f>
        <v>4</v>
      </c>
      <c r="Y57" s="1085">
        <f>SUMIFS('Degrémont sortie'!$AG$14:$AG$379,'Degrémont sortie'!$AG$14:$AG$379,"&lt;&gt;0",'Degrémont sortie'!$A$14:$A$379,"&gt;="&amp;B57,'Degrémont sortie'!$A$14:$A$379,"&lt;="&amp;EOMONTH(B57,0))</f>
        <v>1.54</v>
      </c>
      <c r="Z57" s="1085">
        <f>IF(X57=0,0,Y57/X57)</f>
        <v>0.38500000000000001</v>
      </c>
      <c r="AA57" s="1085" t="e">
        <f ca="1">MINIFS('Degrémont sortie'!$AG$14:$AG$379,'Degrémont sortie'!$AG$14:$AG$379,"&lt;&gt;0",'Degrémont sortie'!$A$14:$A$379,"&gt;="&amp;B57,'Degrémont sortie'!$A$14:$A$379,"&lt;="&amp;EOMONTH(B57,0))</f>
        <v>#NAME?</v>
      </c>
      <c r="AB57" s="1085" t="e">
        <f ca="1">MAXIFS('Degrémont sortie'!$AG$14:$AG$379,'Degrémont sortie'!$AG$14:$AG$379,"&lt;&gt;0",'Degrémont sortie'!$A$14:$A$379,"&gt;="&amp;B57,'Degrémont sortie'!$A$14:$A$379,"&lt;="&amp;EOMONTH(B57,0))</f>
        <v>#NAME?</v>
      </c>
      <c r="AC57" s="1086">
        <f>COUNTIFS('Degrémont sortie'!$AG$14:$AG$379,"&gt;="&amp;W57,'Degrémont sortie'!$A$14:$A$379,"&gt;="&amp;B57,'Degrémont sortie'!$A$14:$A$379,"&lt;="&amp;EOMONTH(B57,0))</f>
        <v>0</v>
      </c>
      <c r="AD57" s="1087">
        <f>AC57/X57</f>
        <v>0</v>
      </c>
      <c r="AE57" s="1088"/>
      <c r="AF57" s="1089"/>
      <c r="AG57" s="1090"/>
      <c r="AH57" s="1090"/>
      <c r="AI57" s="1090"/>
      <c r="AJ57" s="1090"/>
      <c r="AK57" s="1088"/>
      <c r="AL57" s="1089"/>
      <c r="AM57" s="1090"/>
      <c r="AN57" s="1090"/>
      <c r="AO57" s="1090"/>
      <c r="AP57" s="1090"/>
      <c r="AQ57" s="1088"/>
      <c r="AR57" s="1091"/>
      <c r="AS57" s="1089"/>
      <c r="AT57" s="1090"/>
      <c r="AU57" s="1090"/>
      <c r="AV57" s="1090"/>
      <c r="AW57" s="1092"/>
      <c r="AX57" s="1093"/>
      <c r="AY57" s="1094"/>
      <c r="AZ57" s="1095" t="e">
        <f t="shared" ref="AZ57:AZ88" si="21">SUM(E57+O57+X57+AF57+AL57+AS57)</f>
        <v>#REF!</v>
      </c>
      <c r="BA57" s="2"/>
    </row>
    <row r="58" spans="1:53" ht="15.75" hidden="1" customHeight="1" outlineLevel="1">
      <c r="A58" s="1027"/>
      <c r="B58" s="1096"/>
      <c r="C58" s="1097" t="s">
        <v>16</v>
      </c>
      <c r="D58" s="1067">
        <f>Parametres!$D$6</f>
        <v>10000000</v>
      </c>
      <c r="E58" s="1068" t="e">
        <f>COUNTIFS(#REF!,"&gt;0",#REF!,"&gt;="&amp;B57,#REF!,"&lt;="&amp;EOMONTH(B57,0))</f>
        <v>#REF!</v>
      </c>
      <c r="F58" s="1069" t="e">
        <f>SUMIFS(#REF!,#REF!,"&lt;&gt;0",#REF!,"&gt;="&amp;B57,#REF!,"&lt;="&amp;EOMONTH(B57,0))</f>
        <v>#REF!</v>
      </c>
      <c r="G58" s="1098" t="e">
        <f t="shared" si="19"/>
        <v>#REF!</v>
      </c>
      <c r="H58" s="1070" t="e">
        <f ca="1">MINIFS(#REF!,#REF!,"&lt;&gt;0",#REF!,"&gt;="&amp;B57,#REF!,"&lt;="&amp;EOMONTH(B57,0))</f>
        <v>#NAME?</v>
      </c>
      <c r="I58" s="1069" t="e">
        <f ca="1">MAXIFS(#REF!,#REF!,"&lt;&gt;0",#REF!,"&gt;="&amp;B57,#REF!,"&lt;="&amp;EOMONTH(B57,0))</f>
        <v>#NAME?</v>
      </c>
      <c r="J58" s="1072" t="e">
        <f>COUNTIFS(#REF!,"&gt;="&amp;D58,#REF!,"&gt;="&amp;B57,#REF!,"&lt;="&amp;EOMONTH(B57,0))</f>
        <v>#REF!</v>
      </c>
      <c r="K58" s="1341" t="e">
        <f t="shared" si="20"/>
        <v>#REF!</v>
      </c>
      <c r="L58" s="1099"/>
      <c r="M58" s="1082"/>
      <c r="N58" s="1100"/>
      <c r="O58" s="1100"/>
      <c r="P58" s="1078"/>
      <c r="Q58" s="1078"/>
      <c r="R58" s="1078"/>
      <c r="S58" s="1078"/>
      <c r="T58" s="1101"/>
      <c r="U58" s="1101"/>
      <c r="V58" s="1082"/>
      <c r="W58" s="1102"/>
      <c r="X58" s="1102"/>
      <c r="Y58" s="1069"/>
      <c r="Z58" s="1069"/>
      <c r="AA58" s="1069"/>
      <c r="AB58" s="1069"/>
      <c r="AC58" s="1103"/>
      <c r="AD58" s="1104"/>
      <c r="AE58" s="1082"/>
      <c r="AF58" s="1105"/>
      <c r="AG58" s="1106"/>
      <c r="AH58" s="1106"/>
      <c r="AI58" s="1106"/>
      <c r="AJ58" s="1106"/>
      <c r="AK58" s="1107"/>
      <c r="AL58" s="1108"/>
      <c r="AM58" s="1109"/>
      <c r="AN58" s="1109"/>
      <c r="AO58" s="1109"/>
      <c r="AP58" s="1109"/>
      <c r="AQ58" s="1107"/>
      <c r="AR58" s="1110"/>
      <c r="AS58" s="1105"/>
      <c r="AT58" s="1109"/>
      <c r="AU58" s="1109"/>
      <c r="AV58" s="1109"/>
      <c r="AW58" s="1111"/>
      <c r="AX58" s="1112"/>
      <c r="AY58" s="1094"/>
      <c r="AZ58" s="1095" t="e">
        <f t="shared" si="21"/>
        <v>#REF!</v>
      </c>
      <c r="BA58" s="2"/>
    </row>
    <row r="59" spans="1:53" ht="15.75" hidden="1" customHeight="1" outlineLevel="1">
      <c r="A59" s="1027"/>
      <c r="B59" s="1096"/>
      <c r="C59" s="1097" t="s">
        <v>17</v>
      </c>
      <c r="D59" s="1067">
        <f>Parametres!$D$7</f>
        <v>0.8</v>
      </c>
      <c r="E59" s="1068" t="e">
        <f>COUNTIFS(#REF!,"&gt;0",#REF!,"&gt;="&amp;B57,#REF!,"&lt;="&amp;EOMONTH(B57,0))</f>
        <v>#REF!</v>
      </c>
      <c r="F59" s="1069" t="e">
        <f>SUMIFS(#REF!,#REF!,"&lt;&gt;0",#REF!,"&gt;="&amp;B57,#REF!,"&lt;="&amp;EOMONTH(B57,0))</f>
        <v>#REF!</v>
      </c>
      <c r="G59" s="1098" t="e">
        <f t="shared" si="19"/>
        <v>#REF!</v>
      </c>
      <c r="H59" s="1113" t="e">
        <f ca="1">MINIFS(#REF!,#REF!,"&lt;&gt;0",#REF!,"&gt;="&amp;B57,#REF!,"&lt;="&amp;EOMONTH(B57,0))</f>
        <v>#NAME?</v>
      </c>
      <c r="I59" s="1078" t="e">
        <f ca="1">MAXIFS(#REF!,#REF!,"&lt;&gt;0",#REF!,"&gt;="&amp;B57,#REF!,"&lt;="&amp;EOMONTH(B57,0))</f>
        <v>#NAME?</v>
      </c>
      <c r="J59" s="1114" t="e">
        <f>COUNTIFS(#REF!,"&gt;="&amp;D59,#REF!,"&gt;="&amp;B57,#REF!,"&lt;="&amp;EOMONTH(B57,0))</f>
        <v>#REF!</v>
      </c>
      <c r="K59" s="1341" t="e">
        <f t="shared" si="20"/>
        <v>#REF!</v>
      </c>
      <c r="L59" s="1115"/>
      <c r="M59" s="1082"/>
      <c r="N59" s="1100"/>
      <c r="O59" s="1100"/>
      <c r="P59" s="1078"/>
      <c r="Q59" s="1078"/>
      <c r="R59" s="1078"/>
      <c r="S59" s="1078"/>
      <c r="T59" s="1101"/>
      <c r="U59" s="1101"/>
      <c r="V59" s="1082"/>
      <c r="W59" s="1102"/>
      <c r="X59" s="1102"/>
      <c r="Y59" s="1069"/>
      <c r="Z59" s="1069"/>
      <c r="AA59" s="1069"/>
      <c r="AB59" s="1069"/>
      <c r="AC59" s="1103"/>
      <c r="AD59" s="1104"/>
      <c r="AE59" s="1082"/>
      <c r="AF59" s="1116"/>
      <c r="AG59" s="1117"/>
      <c r="AH59" s="1117"/>
      <c r="AI59" s="1117"/>
      <c r="AJ59" s="1117"/>
      <c r="AK59" s="1082"/>
      <c r="AL59" s="1105"/>
      <c r="AM59" s="1106"/>
      <c r="AN59" s="1106"/>
      <c r="AO59" s="1106"/>
      <c r="AP59" s="1106"/>
      <c r="AQ59" s="1082"/>
      <c r="AR59" s="1118"/>
      <c r="AS59" s="1116"/>
      <c r="AT59" s="1106"/>
      <c r="AU59" s="1106"/>
      <c r="AV59" s="1106"/>
      <c r="AW59" s="1119"/>
      <c r="AX59" s="1120"/>
      <c r="AY59" s="1094"/>
      <c r="AZ59" s="1095" t="e">
        <f t="shared" si="21"/>
        <v>#REF!</v>
      </c>
      <c r="BA59" s="2"/>
    </row>
    <row r="60" spans="1:53" ht="15.75" hidden="1" customHeight="1" outlineLevel="1">
      <c r="A60" s="1027"/>
      <c r="B60" s="1096"/>
      <c r="C60" s="1121" t="s">
        <v>18</v>
      </c>
      <c r="D60" s="1122">
        <f>Parametres!$D$8</f>
        <v>0.05</v>
      </c>
      <c r="E60" s="1068" t="e">
        <f>COUNTIFS(#REF!,"&gt;0",#REF!,"&gt;="&amp;B57,#REF!,"&lt;="&amp;EOMONTH(B57,0))</f>
        <v>#REF!</v>
      </c>
      <c r="F60" s="1069" t="e">
        <f>SUMIFS(#REF!,#REF!,"&lt;&gt;0",#REF!,"&gt;="&amp;B57,#REF!,"&lt;="&amp;EOMONTH(B57,0))</f>
        <v>#REF!</v>
      </c>
      <c r="G60" s="1098" t="e">
        <f t="shared" si="19"/>
        <v>#REF!</v>
      </c>
      <c r="H60" s="1113" t="e">
        <f ca="1">MINIFS(#REF!,#REF!,"&lt;&gt;0",#REF!,"&gt;="&amp;B57,#REF!,"&lt;="&amp;EOMONTH(B57,0))</f>
        <v>#NAME?</v>
      </c>
      <c r="I60" s="1078" t="e">
        <f ca="1">MAXIFS(#REF!,#REF!,"&lt;&gt;0",#REF!,"&gt;="&amp;B57,#REF!,"&lt;="&amp;EOMONTH(B57,0))</f>
        <v>#NAME?</v>
      </c>
      <c r="J60" s="1072" t="e">
        <f>COUNTIFS(#REF!,"&gt;="&amp;D60,#REF!,"&gt;="&amp;B57,#REF!,"&lt;="&amp;EOMONTH(B57,0))</f>
        <v>#REF!</v>
      </c>
      <c r="K60" s="1341" t="e">
        <f t="shared" si="20"/>
        <v>#REF!</v>
      </c>
      <c r="L60" s="1115"/>
      <c r="M60" s="1082"/>
      <c r="N60" s="1100"/>
      <c r="O60" s="1100"/>
      <c r="P60" s="1078"/>
      <c r="Q60" s="1078"/>
      <c r="R60" s="1078"/>
      <c r="S60" s="1078"/>
      <c r="T60" s="1101"/>
      <c r="U60" s="1101"/>
      <c r="V60" s="1082"/>
      <c r="W60" s="1102"/>
      <c r="X60" s="1102"/>
      <c r="Y60" s="1069"/>
      <c r="Z60" s="1069"/>
      <c r="AA60" s="1069"/>
      <c r="AB60" s="1069"/>
      <c r="AC60" s="1103"/>
      <c r="AD60" s="1104"/>
      <c r="AE60" s="1107"/>
      <c r="AF60" s="1108"/>
      <c r="AG60" s="1109"/>
      <c r="AH60" s="1109"/>
      <c r="AI60" s="1109"/>
      <c r="AJ60" s="1109"/>
      <c r="AK60" s="1123"/>
      <c r="AL60" s="1108"/>
      <c r="AM60" s="1109"/>
      <c r="AN60" s="1109"/>
      <c r="AO60" s="1109"/>
      <c r="AP60" s="1109"/>
      <c r="AQ60" s="1123"/>
      <c r="AR60" s="1124"/>
      <c r="AS60" s="1108"/>
      <c r="AT60" s="1109"/>
      <c r="AU60" s="1109"/>
      <c r="AV60" s="1109"/>
      <c r="AW60" s="1111"/>
      <c r="AX60" s="1112"/>
      <c r="AY60" s="1094"/>
      <c r="AZ60" s="1095" t="e">
        <f t="shared" si="21"/>
        <v>#REF!</v>
      </c>
      <c r="BA60" s="2"/>
    </row>
    <row r="61" spans="1:53" ht="15.75" hidden="1" customHeight="1" outlineLevel="1">
      <c r="A61" s="1027"/>
      <c r="B61" s="1096"/>
      <c r="C61" s="1097" t="s">
        <v>11</v>
      </c>
      <c r="D61" s="1067">
        <f>Parametres!$D$9</f>
        <v>0.2</v>
      </c>
      <c r="E61" s="1068" t="e">
        <f>COUNTIFS(#REF!,"&gt;0",#REF!,"&gt;="&amp;B57,#REF!,"&lt;="&amp;EOMONTH(B57,0))</f>
        <v>#REF!</v>
      </c>
      <c r="F61" s="1069" t="e">
        <f>SUMIFS(#REF!,#REF!,"&lt;&gt;0",#REF!,"&gt;="&amp;B57,#REF!,"&lt;="&amp;EOMONTH(B57,0))</f>
        <v>#REF!</v>
      </c>
      <c r="G61" s="1098" t="e">
        <f t="shared" si="19"/>
        <v>#REF!</v>
      </c>
      <c r="H61" s="1113" t="e">
        <f ca="1">MINIFS(#REF!,#REF!,"&lt;&gt;0",#REF!,"&gt;="&amp;B57,#REF!,"&lt;="&amp;EOMONTH(B57,0))</f>
        <v>#NAME?</v>
      </c>
      <c r="I61" s="1078" t="e">
        <f ca="1">MAXIFS(#REF!,#REF!,"&lt;&gt;0",#REF!,"&gt;="&amp;B57,#REF!,"&lt;="&amp;EOMONTH(B57,0))</f>
        <v>#NAME?</v>
      </c>
      <c r="J61" s="1072" t="e">
        <f>COUNTIFS(#REF!,"&gt;="&amp;D61,#REF!,"&gt;="&amp;B57,#REF!,"&lt;="&amp;EOMONTH(B57,0))</f>
        <v>#REF!</v>
      </c>
      <c r="K61" s="1341" t="e">
        <f t="shared" si="20"/>
        <v>#REF!</v>
      </c>
      <c r="L61" s="1115"/>
      <c r="M61" s="1082"/>
      <c r="N61" s="1100"/>
      <c r="O61" s="1100"/>
      <c r="P61" s="1078"/>
      <c r="Q61" s="1078"/>
      <c r="R61" s="1078"/>
      <c r="S61" s="1078"/>
      <c r="T61" s="1101"/>
      <c r="U61" s="1101"/>
      <c r="V61" s="1082"/>
      <c r="W61" s="1102"/>
      <c r="X61" s="1102"/>
      <c r="Y61" s="1069"/>
      <c r="Z61" s="1069"/>
      <c r="AA61" s="1069"/>
      <c r="AB61" s="1069"/>
      <c r="AC61" s="1103"/>
      <c r="AD61" s="1104"/>
      <c r="AE61" s="1075"/>
      <c r="AF61" s="1125"/>
      <c r="AG61" s="1126"/>
      <c r="AH61" s="1126"/>
      <c r="AI61" s="1126"/>
      <c r="AJ61" s="1126"/>
      <c r="AK61" s="1107"/>
      <c r="AL61" s="1125"/>
      <c r="AM61" s="1126"/>
      <c r="AN61" s="1126"/>
      <c r="AO61" s="1126"/>
      <c r="AP61" s="1126"/>
      <c r="AQ61" s="1107"/>
      <c r="AR61" s="1110"/>
      <c r="AS61" s="1125"/>
      <c r="AT61" s="1126"/>
      <c r="AU61" s="1126"/>
      <c r="AV61" s="1126"/>
      <c r="AW61" s="1127"/>
      <c r="AX61" s="1128"/>
      <c r="AY61" s="1094"/>
      <c r="AZ61" s="1095" t="e">
        <f t="shared" si="21"/>
        <v>#REF!</v>
      </c>
      <c r="BA61" s="2"/>
    </row>
    <row r="62" spans="1:53" ht="15.75" hidden="1" customHeight="1" outlineLevel="1">
      <c r="A62" s="1027"/>
      <c r="B62" s="1096"/>
      <c r="C62" s="1097" t="s">
        <v>12</v>
      </c>
      <c r="D62" s="1067">
        <f>Parametres!$D$10</f>
        <v>10000000</v>
      </c>
      <c r="E62" s="1068" t="e">
        <f>COUNTIFS(#REF!,"&gt;0",#REF!,"&gt;="&amp;B57,#REF!,"&lt;="&amp;EOMONTH(B57,0))</f>
        <v>#REF!</v>
      </c>
      <c r="F62" s="1069" t="e">
        <f>SUMIFS(#REF!,#REF!,"&lt;&gt;0",#REF!,"&gt;="&amp;B57,#REF!,"&lt;="&amp;EOMONTH(B57,0))</f>
        <v>#REF!</v>
      </c>
      <c r="G62" s="1098" t="e">
        <f t="shared" si="19"/>
        <v>#REF!</v>
      </c>
      <c r="H62" s="1113" t="e">
        <f ca="1">MINIFS(#REF!,#REF!,"&lt;&gt;0",#REF!,"&gt;="&amp;B57,#REF!,"&lt;="&amp;EOMONTH(B57,0))</f>
        <v>#NAME?</v>
      </c>
      <c r="I62" s="1078" t="e">
        <f ca="1">MAXIFS(#REF!,#REF!,"&lt;&gt;0",#REF!,"&gt;="&amp;B57,#REF!,"&lt;="&amp;EOMONTH(B57,0))</f>
        <v>#NAME?</v>
      </c>
      <c r="J62" s="1072" t="e">
        <f>COUNTIFS(#REF!,"&gt;="&amp;D62,#REF!,"&gt;="&amp;B57,#REF!,"&lt;="&amp;EOMONTH(B57,0))</f>
        <v>#REF!</v>
      </c>
      <c r="K62" s="1341" t="e">
        <f t="shared" si="20"/>
        <v>#REF!</v>
      </c>
      <c r="L62" s="1115"/>
      <c r="M62" s="1082"/>
      <c r="N62" s="1100"/>
      <c r="O62" s="1100"/>
      <c r="P62" s="1078"/>
      <c r="Q62" s="1078"/>
      <c r="R62" s="1078"/>
      <c r="S62" s="1078"/>
      <c r="T62" s="1101"/>
      <c r="U62" s="1101"/>
      <c r="V62" s="1082"/>
      <c r="W62" s="1129"/>
      <c r="X62" s="1129"/>
      <c r="Y62" s="1069"/>
      <c r="Z62" s="1069"/>
      <c r="AA62" s="1069"/>
      <c r="AB62" s="1069"/>
      <c r="AC62" s="1130"/>
      <c r="AD62" s="1131"/>
      <c r="AE62" s="1082"/>
      <c r="AF62" s="1105"/>
      <c r="AG62" s="1106"/>
      <c r="AH62" s="1106"/>
      <c r="AI62" s="1106"/>
      <c r="AJ62" s="1106"/>
      <c r="AK62" s="1132"/>
      <c r="AL62" s="1105"/>
      <c r="AM62" s="1106"/>
      <c r="AN62" s="1106"/>
      <c r="AO62" s="1106"/>
      <c r="AP62" s="1106"/>
      <c r="AQ62" s="1133"/>
      <c r="AR62" s="1134"/>
      <c r="AS62" s="1135"/>
      <c r="AT62" s="1106"/>
      <c r="AU62" s="1106"/>
      <c r="AV62" s="1106"/>
      <c r="AW62" s="1119"/>
      <c r="AX62" s="1120"/>
      <c r="AY62" s="1094"/>
      <c r="AZ62" s="1095" t="e">
        <f t="shared" si="21"/>
        <v>#REF!</v>
      </c>
      <c r="BA62" s="2"/>
    </row>
    <row r="63" spans="1:53" ht="15.75" hidden="1" customHeight="1" outlineLevel="1">
      <c r="A63" s="1027"/>
      <c r="B63" s="1096"/>
      <c r="C63" s="1097" t="s">
        <v>19</v>
      </c>
      <c r="D63" s="1067">
        <f>Parametres!$D$11</f>
        <v>1.5</v>
      </c>
      <c r="E63" s="1068" t="e">
        <f>COUNTIFS(#REF!,"&gt;0",#REF!,"&gt;="&amp;B57,#REF!,"&lt;="&amp;EOMONTH(B57,0))</f>
        <v>#REF!</v>
      </c>
      <c r="F63" s="1069" t="e">
        <f>SUMIFS(#REF!,#REF!,"&lt;&gt;0",#REF!,"&gt;="&amp;B57,#REF!,"&lt;="&amp;EOMONTH(B57,0))</f>
        <v>#REF!</v>
      </c>
      <c r="G63" s="1098" t="e">
        <f t="shared" si="19"/>
        <v>#REF!</v>
      </c>
      <c r="H63" s="1113" t="e">
        <f ca="1">MINIFS(#REF!,#REF!,"&lt;&gt;0",#REF!,"&gt;="&amp;B57,#REF!,"&lt;="&amp;EOMONTH(B57,0))</f>
        <v>#NAME?</v>
      </c>
      <c r="I63" s="1078" t="e">
        <f ca="1">MAXIFS(#REF!,#REF!,"&lt;&gt;0",#REF!,"&gt;="&amp;B57,#REF!,"&lt;="&amp;EOMONTH(B57,0))</f>
        <v>#NAME?</v>
      </c>
      <c r="J63" s="1072" t="e">
        <f>COUNTIFS(#REF!,"&gt;="&amp;D63,#REF!,"&gt;="&amp;B57,#REF!,"&lt;="&amp;EOMONTH(B57,0))</f>
        <v>#REF!</v>
      </c>
      <c r="K63" s="1341" t="e">
        <f t="shared" si="20"/>
        <v>#REF!</v>
      </c>
      <c r="L63" s="1115"/>
      <c r="M63" s="1082"/>
      <c r="N63" s="1100"/>
      <c r="O63" s="1100"/>
      <c r="P63" s="1078"/>
      <c r="Q63" s="1078"/>
      <c r="R63" s="1078"/>
      <c r="S63" s="1078"/>
      <c r="T63" s="1101"/>
      <c r="U63" s="1101"/>
      <c r="V63" s="1082"/>
      <c r="W63" s="1129"/>
      <c r="X63" s="1129"/>
      <c r="Y63" s="1069"/>
      <c r="Z63" s="1069"/>
      <c r="AA63" s="1069"/>
      <c r="AB63" s="1069"/>
      <c r="AC63" s="1130"/>
      <c r="AD63" s="1131"/>
      <c r="AE63" s="1082"/>
      <c r="AF63" s="1105"/>
      <c r="AG63" s="1106"/>
      <c r="AH63" s="1106"/>
      <c r="AI63" s="1106"/>
      <c r="AJ63" s="1106"/>
      <c r="AK63" s="1082"/>
      <c r="AL63" s="1136"/>
      <c r="AM63" s="1137"/>
      <c r="AN63" s="1137"/>
      <c r="AO63" s="1137"/>
      <c r="AP63" s="1137"/>
      <c r="AQ63" s="1082"/>
      <c r="AR63" s="1118"/>
      <c r="AS63" s="1105"/>
      <c r="AT63" s="1106"/>
      <c r="AU63" s="1106"/>
      <c r="AV63" s="1106"/>
      <c r="AW63" s="1138"/>
      <c r="AX63" s="1120"/>
      <c r="AY63" s="1094"/>
      <c r="AZ63" s="1095" t="e">
        <f t="shared" si="21"/>
        <v>#REF!</v>
      </c>
      <c r="BA63" s="2"/>
    </row>
    <row r="64" spans="1:53" ht="15.75" hidden="1" customHeight="1" outlineLevel="1">
      <c r="A64" s="1027"/>
      <c r="B64" s="1096"/>
      <c r="C64" s="1139" t="s">
        <v>42</v>
      </c>
      <c r="D64" s="1122">
        <f>Parametres!$D$12</f>
        <v>0.1</v>
      </c>
      <c r="E64" s="1068" t="e">
        <f>COUNTIFS(#REF!,"&gt;0",#REF!,"&gt;="&amp;B57,#REF!,"&lt;="&amp;EOMONTH(B57,0))</f>
        <v>#REF!</v>
      </c>
      <c r="F64" s="1069" t="e">
        <f>SUMIFS(#REF!,#REF!,"&lt;&gt;0",#REF!,"&gt;="&amp;B57,#REF!,"&lt;="&amp;EOMONTH(B57,0))</f>
        <v>#REF!</v>
      </c>
      <c r="G64" s="1098" t="e">
        <f t="shared" si="19"/>
        <v>#REF!</v>
      </c>
      <c r="H64" s="1113" t="e">
        <f ca="1">MINIFS(#REF!,#REF!,"&lt;&gt;0",#REF!,"&gt;="&amp;B57,#REF!,"&lt;="&amp;EOMONTH(B57,0))</f>
        <v>#NAME?</v>
      </c>
      <c r="I64" s="1078" t="e">
        <f ca="1">MAXIFS(#REF!,#REF!,"&lt;&gt;0",#REF!,"&gt;="&amp;B57,#REF!,"&lt;="&amp;EOMONTH(B57,0))</f>
        <v>#NAME?</v>
      </c>
      <c r="J64" s="1114" t="e">
        <f>COUNTIFS(#REF!,"&gt;="&amp;D64,#REF!,"&gt;="&amp;B57,#REF!,"&lt;="&amp;EOMONTH(B57,0))</f>
        <v>#REF!</v>
      </c>
      <c r="K64" s="1341" t="e">
        <f t="shared" si="20"/>
        <v>#REF!</v>
      </c>
      <c r="L64" s="1115"/>
      <c r="M64" s="1082"/>
      <c r="N64" s="1076">
        <f>Parametres!$L$12</f>
        <v>100000</v>
      </c>
      <c r="O64" s="1077">
        <f>COUNTIFS('Degrémont Entrée'!$AG$14:$AG$379,"&gt;0",'Degrémont Entrée'!$A$14:$A$379,"&gt;="&amp;B57,'Degrémont Entrée'!$A$14:$A$379,"&lt;="&amp;EOMONTH(B57,0))</f>
        <v>25</v>
      </c>
      <c r="P64" s="1078">
        <f>SUMIFS('Degrémont Entrée'!$AG$14:$AG$379,'Degrémont Entrée'!$AG$14:$AG$379,"&lt;&gt;0",'Degrémont Entrée'!$A$14:$A$379,"&gt;="&amp;B57,'Degrémont Entrée'!$A$14:$A$379,"&lt;="&amp;EOMONTH(B57,0))</f>
        <v>0.26000000000000006</v>
      </c>
      <c r="Q64" s="1078">
        <f>IF(O64=0,0,P64/O64)</f>
        <v>1.0400000000000003E-2</v>
      </c>
      <c r="R64" s="1078" t="e">
        <f ca="1">MINIFS('Degrémont Entrée'!$AG$14:$AG$379,'Degrémont Entrée'!$AG$14:$AG$379,"&lt;&gt;0",'Degrémont Entrée'!$A$14:$A$379,"&gt;="&amp;B57,'Degrémont Entrée'!$A$14:$A$379,"&lt;="&amp;EOMONTH(B57,0))</f>
        <v>#NAME?</v>
      </c>
      <c r="S64" s="1078" t="e">
        <f ca="1">MAXIFS('Degrémont Entrée'!$AG$14:$AG$379,'Degrémont Entrée'!$AG$14:$AG$379,"&lt;&gt;0",'Degrémont Entrée'!$A$14:$A$379,"&gt;="&amp;B57,'Degrémont Entrée'!$A$14:$A$379,"&lt;="&amp;EOMONTH(B57,0))</f>
        <v>#NAME?</v>
      </c>
      <c r="T64" s="1140" t="s">
        <v>153</v>
      </c>
      <c r="U64" s="1140" t="s">
        <v>153</v>
      </c>
      <c r="V64" s="1082"/>
      <c r="W64" s="1083">
        <f>Parametres!$T$12</f>
        <v>0.1</v>
      </c>
      <c r="X64" s="1142">
        <f>COUNTIFS('Degrémont sortie'!$AA$14:$AA$379,"&gt;0",'Degrémont sortie'!$A$14:$A$379,"&gt;="&amp;B57,'Degrémont sortie'!$A$14:$A$379,"&lt;="&amp;EOMONTH(B57,0))</f>
        <v>25</v>
      </c>
      <c r="Y64" s="1085">
        <f>SUMIFS('Degrémont sortie'!$AA$14:$AA$379,'Degrémont sortie'!$AA$14:$AA$379,"&lt;&gt;0",'Degrémont sortie'!$A$14:$A$379,"&gt;="&amp;B57,'Degrémont sortie'!$A$14:$A$379,"&lt;="&amp;EOMONTH(B57,0))</f>
        <v>0.25000000000000006</v>
      </c>
      <c r="Z64" s="1069">
        <f t="shared" ref="Z64:Z66" si="22">IF(X64=0,0,Y64/X64)</f>
        <v>1.0000000000000002E-2</v>
      </c>
      <c r="AA64" s="1069" t="e">
        <f ca="1">MINIFS('Degrémont sortie'!$AA$14:$AA$379,'Degrémont sortie'!$AA$14:$AA$379,"&lt;&gt;0",'Degrémont sortie'!$A$14:$A$379,"&gt;="&amp;B57,'Degrémont sortie'!$A$14:$A$379,"&lt;="&amp;EOMONTH(B57,0))</f>
        <v>#NAME?</v>
      </c>
      <c r="AB64" s="1069" t="e">
        <f ca="1">MAXIFS('Degrémont sortie'!$AA$14:$AA$379,'Degrémont sortie'!$AA$14:$AA$379,"&lt;&gt;0",'Degrémont sortie'!$A$14:$A$379,"&gt;="&amp;B57,'Degrémont sortie'!$A$14:$A$379,"&lt;="&amp;EOMONTH(B57,0))</f>
        <v>#NAME?</v>
      </c>
      <c r="AC64" s="1142">
        <f>COUNTIFS('Degrémont sortie'!$AA$14:$AA$379,"&gt;="&amp;W64,'Degrémont sortie'!$A$14:$A$379,"&gt;="&amp;B57,'Degrémont sortie'!$A$14:$A$379,"&lt;="&amp;EOMONTH(B57,0))</f>
        <v>0</v>
      </c>
      <c r="AD64" s="1087">
        <f t="shared" ref="AD64:AD66" si="23">AC64/X64</f>
        <v>0</v>
      </c>
      <c r="AE64" s="1082"/>
      <c r="AF64" s="1105"/>
      <c r="AG64" s="1106"/>
      <c r="AH64" s="1106"/>
      <c r="AI64" s="1106"/>
      <c r="AJ64" s="1106"/>
      <c r="AK64" s="1082"/>
      <c r="AL64" s="1116"/>
      <c r="AM64" s="1117"/>
      <c r="AN64" s="1117"/>
      <c r="AO64" s="1117"/>
      <c r="AP64" s="1117"/>
      <c r="AQ64" s="1082"/>
      <c r="AR64" s="1118"/>
      <c r="AS64" s="1105"/>
      <c r="AT64" s="1106"/>
      <c r="AU64" s="1106"/>
      <c r="AV64" s="1106"/>
      <c r="AW64" s="1119"/>
      <c r="AX64" s="1120"/>
      <c r="AY64" s="1094"/>
      <c r="AZ64" s="1095" t="e">
        <f t="shared" si="21"/>
        <v>#REF!</v>
      </c>
      <c r="BA64" s="2"/>
    </row>
    <row r="65" spans="1:53" ht="15.75" hidden="1" customHeight="1" outlineLevel="1">
      <c r="A65" s="1027"/>
      <c r="B65" s="1096"/>
      <c r="C65" s="1139" t="s">
        <v>286</v>
      </c>
      <c r="D65" s="1122">
        <f>Parametres!$D$13</f>
        <v>0.5</v>
      </c>
      <c r="E65" s="1068" t="e">
        <f>COUNTIFS(#REF!,"&gt;0",#REF!,"&gt;="&amp;B57,#REF!,"&lt;="&amp;EOMONTH(B57,0))</f>
        <v>#REF!</v>
      </c>
      <c r="F65" s="1069" t="e">
        <f>SUMIFS(#REF!,#REF!,"&lt;&gt;0",#REF!,"&gt;="&amp;B57,#REF!,"&lt;="&amp;EOMONTH(B57,0))</f>
        <v>#REF!</v>
      </c>
      <c r="G65" s="1098" t="e">
        <f t="shared" si="19"/>
        <v>#REF!</v>
      </c>
      <c r="H65" s="1113" t="e">
        <f ca="1">MINIFS(#REF!,#REF!,"&lt;&gt;0",#REF!,"&gt;="&amp;B57,#REF!,"&lt;="&amp;EOMONTH(B57,0))</f>
        <v>#NAME?</v>
      </c>
      <c r="I65" s="1078" t="e">
        <f ca="1">MAXIFS(#REF!,#REF!,"&lt;&gt;0",#REF!,"&gt;="&amp;B57,#REF!,"&lt;="&amp;EOMONTH(B57,0))</f>
        <v>#NAME?</v>
      </c>
      <c r="J65" s="1114" t="e">
        <f>COUNTIFS(#REF!,"&gt;="&amp;D65,#REF!,"&gt;="&amp;B57,#REF!,"&lt;="&amp;EOMONTH(B57,0))</f>
        <v>#REF!</v>
      </c>
      <c r="K65" s="1341" t="e">
        <f t="shared" si="20"/>
        <v>#REF!</v>
      </c>
      <c r="L65" s="1115"/>
      <c r="M65" s="1082"/>
      <c r="N65" s="1129"/>
      <c r="O65" s="1129"/>
      <c r="P65" s="1069"/>
      <c r="Q65" s="1069"/>
      <c r="R65" s="1069"/>
      <c r="S65" s="1069"/>
      <c r="T65" s="1143"/>
      <c r="U65" s="1143"/>
      <c r="V65" s="1132"/>
      <c r="W65" s="1083">
        <f>Parametres!$T$13</f>
        <v>0.08</v>
      </c>
      <c r="X65" s="1142">
        <f>COUNTIFS('Degrémont sortie'!$AD$14:$AD$379,"&gt;0",'Degrémont sortie'!$A$14:$A$379,"&gt;="&amp;B57,'Degrémont sortie'!$A$14:$A$379,"&lt;="&amp;EOMONTH(B57,0))</f>
        <v>0</v>
      </c>
      <c r="Y65" s="1085">
        <f>SUMIFS('Degrémont sortie'!$AD$14:$AD$379,'Degrémont sortie'!$AD$14:$AD$379,"&lt;&gt;0",'Degrémont sortie'!$A$14:$A$379,"&gt;="&amp;B57,'Degrémont sortie'!$A$14:$A$379,"&lt;="&amp;EOMONTH(B57,0))</f>
        <v>0</v>
      </c>
      <c r="Z65" s="1069">
        <f t="shared" si="22"/>
        <v>0</v>
      </c>
      <c r="AA65" s="1069" t="e">
        <f ca="1">MINIFS('Degrémont sortie'!$AD$14:$AD$379,'Degrémont sortie'!$AD$14:$AD$379,"&lt;&gt;0",'Degrémont sortie'!$A$14:$A$379,"&gt;="&amp;B57,'Degrémont sortie'!$A$14:$A$379,"&lt;="&amp;EOMONTH(B57,0))</f>
        <v>#NAME?</v>
      </c>
      <c r="AB65" s="1069" t="e">
        <f ca="1">MAXIFS('Degrémont sortie'!$AD$14:$AD$379,'Degrémont sortie'!$AD$14:$AD$379,"&lt;&gt;0",'Degrémont sortie'!$A$14:$A$379,"&gt;="&amp;B57,'Degrémont sortie'!$A$14:$A$379,"&lt;="&amp;EOMONTH(B57,0))</f>
        <v>#NAME?</v>
      </c>
      <c r="AC65" s="1142">
        <f>COUNTIFS('Degrémont sortie'!$AD$14:$AD$379,"&gt;="&amp;W65,'Degrémont sortie'!$A$14:$A$379,"&gt;="&amp;B57,'Degrémont sortie'!$A$14:$A$379,"&lt;="&amp;EOMONTH(B57,0))</f>
        <v>0</v>
      </c>
      <c r="AD65" s="1087" t="e">
        <f t="shared" si="23"/>
        <v>#DIV/0!</v>
      </c>
      <c r="AE65" s="1132"/>
      <c r="AF65" s="1105"/>
      <c r="AG65" s="1106"/>
      <c r="AH65" s="1106"/>
      <c r="AI65" s="1106"/>
      <c r="AJ65" s="1106"/>
      <c r="AK65" s="1132"/>
      <c r="AL65" s="1105"/>
      <c r="AM65" s="1106"/>
      <c r="AN65" s="1106"/>
      <c r="AO65" s="1106"/>
      <c r="AP65" s="1106"/>
      <c r="AQ65" s="1133"/>
      <c r="AR65" s="1134"/>
      <c r="AS65" s="1135"/>
      <c r="AT65" s="1106"/>
      <c r="AU65" s="1106"/>
      <c r="AV65" s="1106"/>
      <c r="AW65" s="1119"/>
      <c r="AX65" s="1120"/>
      <c r="AY65" s="1094"/>
      <c r="AZ65" s="1095" t="e">
        <f t="shared" si="21"/>
        <v>#REF!</v>
      </c>
      <c r="BA65" s="2"/>
    </row>
    <row r="66" spans="1:53" ht="15.75" hidden="1" customHeight="1" outlineLevel="1">
      <c r="A66" s="1027"/>
      <c r="B66" s="1096"/>
      <c r="C66" s="1139" t="s">
        <v>45</v>
      </c>
      <c r="D66" s="1122">
        <f>Parametres!$D$14</f>
        <v>0.5</v>
      </c>
      <c r="E66" s="1068" t="e">
        <f>COUNTIFS(#REF!,"&gt;0",#REF!,"&gt;="&amp;B57,#REF!,"&lt;="&amp;EOMONTH(B57,0))</f>
        <v>#REF!</v>
      </c>
      <c r="F66" s="1069" t="e">
        <f>SUMIFS(#REF!,#REF!,"&lt;&gt;0",#REF!,"&gt;="&amp;B57,#REF!,"&lt;="&amp;EOMONTH(B57,0))</f>
        <v>#REF!</v>
      </c>
      <c r="G66" s="1098" t="e">
        <f t="shared" si="19"/>
        <v>#REF!</v>
      </c>
      <c r="H66" s="1070" t="e">
        <f ca="1">MINIFS(#REF!,#REF!,"&lt;&gt;0",#REF!,"&gt;="&amp;B57,#REF!,"&lt;="&amp;EOMONTH(B57,0))</f>
        <v>#NAME?</v>
      </c>
      <c r="I66" s="1078" t="e">
        <f ca="1">MAXIFS(#REF!,#REF!,"&lt;&gt;0",#REF!,"&gt;="&amp;B57,#REF!,"&lt;="&amp;EOMONTH(B57,0))</f>
        <v>#NAME?</v>
      </c>
      <c r="J66" s="1114" t="e">
        <f>COUNTIFS(#REF!,"&gt;="&amp;D66,#REF!,"&gt;="&amp;B57,#REF!,"&lt;="&amp;EOMONTH(B57,0))</f>
        <v>#REF!</v>
      </c>
      <c r="K66" s="1341" t="e">
        <f t="shared" si="20"/>
        <v>#REF!</v>
      </c>
      <c r="L66" s="1115"/>
      <c r="M66" s="1082"/>
      <c r="N66" s="1144">
        <f>Parametres!$L$14</f>
        <v>3</v>
      </c>
      <c r="O66" s="1077">
        <f>COUNTIFS('Degrémont Entrée'!$AS$14:$AS$379,"&gt;0",'Degrémont Entrée'!$A$14:$A$379,"&gt;="&amp;B57,'Degrémont Entrée'!$A$14:$A$379,"&lt;="&amp;EOMONTH(B57,0))</f>
        <v>4</v>
      </c>
      <c r="P66" s="1078">
        <f>SUMIFS('Degrémont Entrée'!$AS$14:$AS$379,'Degrémont Entrée'!$AS$14:$AS$379,"&lt;&gt;0",'Degrémont Entrée'!$A$14:$A$379,"&gt;="&amp;B57,'Degrémont Entrée'!$A$14:$A$379,"&lt;="&amp;EOMONTH(B57,0))</f>
        <v>3.1999999999999997</v>
      </c>
      <c r="Q66" s="1078">
        <f>IF(O66=0,0,P66/O66)</f>
        <v>0.79999999999999993</v>
      </c>
      <c r="R66" s="1069" t="e">
        <f ca="1">MINIFS('Degrémont Entrée'!$AS$14:$AS$379,'Degrémont Entrée'!$AS$14:$AS$379,"&lt;&gt;0",'Degrémont Entrée'!$A$14:$A$379,"&gt;="&amp;B57,'Degrémont Entrée'!$A$14:$A$379,"&lt;="&amp;EOMONTH(B57,0))</f>
        <v>#NAME?</v>
      </c>
      <c r="S66" s="1069" t="e">
        <f ca="1">MAXIFS('Degrémont Entrée'!$AS$14:$AS$379,'Degrémont Entrée'!$AS$14:$AS$379,"&lt;&gt;0",'Degrémont Entrée'!$A$14:$A$379,"&gt;="&amp;B57,'Degrémont Entrée'!$A$14:$A$379,"&lt;="&amp;EOMONTH(B57,0))</f>
        <v>#NAME?</v>
      </c>
      <c r="T66" s="1145">
        <f>COUNTIFS('Degrémont Entrée'!$AS$14:$AS$379,"&gt;="&amp;N66,'Degrémont Entrée'!$A$14:$A$379,"&gt;="&amp;B57,'Degrémont Entrée'!$A$14:$A$379,"&lt;="&amp;EOMONTH(B57,0))</f>
        <v>0</v>
      </c>
      <c r="U66" s="1081">
        <f>T66/O66</f>
        <v>0</v>
      </c>
      <c r="V66" s="1132"/>
      <c r="W66" s="1083">
        <f>Parametres!$T$14</f>
        <v>0.12</v>
      </c>
      <c r="X66" s="1142">
        <f>COUNTIFS('Degrémont sortie'!$AM$14:$AM$379,"&gt;0",'Degrémont sortie'!$A$14:$A$379,"&gt;="&amp;B57,'Degrémont sortie'!$A$14:$A$379,"&lt;="&amp;EOMONTH(B57,0))</f>
        <v>4</v>
      </c>
      <c r="Y66" s="1085">
        <f>SUMIFS('Degrémont sortie'!$AM$14:$AM$379,'Degrémont sortie'!$AM$14:$AM$379,"&lt;&gt;0",'Degrémont sortie'!$A$14:$A$379,"&gt;="&amp;B57,'Degrémont sortie'!$A$14:$A$379,"&lt;="&amp;EOMONTH(B57,0))</f>
        <v>0.5</v>
      </c>
      <c r="Z66" s="1069">
        <f t="shared" si="22"/>
        <v>0.125</v>
      </c>
      <c r="AA66" s="1069" t="e">
        <f ca="1">MINIFS('Degrémont sortie'!$AM$14:$AM$379,'Degrémont sortie'!$AM$14:$AM$379,"&lt;&gt;0",'Degrémont sortie'!$A$14:$A$379,"&gt;="&amp;B57,'Degrémont sortie'!$A$14:$A$379,"&lt;="&amp;EOMONTH(B57,0))</f>
        <v>#NAME?</v>
      </c>
      <c r="AB66" s="1069" t="e">
        <f ca="1">MAXIFS('Degrémont sortie'!$AM$14:$AM$379,'Degrémont sortie'!$AM$14:$AM$379,"&lt;&gt;0",'Degrémont sortie'!$A$14:$A$379,"&gt;="&amp;B57,'Degrémont sortie'!$A$14:$A$379,"&lt;="&amp;EOMONTH(B57,0))</f>
        <v>#NAME?</v>
      </c>
      <c r="AC66" s="1142">
        <f>COUNTIFS('Degrémont sortie'!$AM$14:$AM$379,"&gt;="&amp;W66,'Degrémont sortie'!$A$14:$A$379,"&gt;="&amp;B57,'Degrémont sortie'!$A$14:$A$379,"&lt;="&amp;EOMONTH(B57,0))</f>
        <v>3</v>
      </c>
      <c r="AD66" s="1087">
        <f t="shared" si="23"/>
        <v>0.75</v>
      </c>
      <c r="AE66" s="1132"/>
      <c r="AF66" s="1105"/>
      <c r="AG66" s="1106"/>
      <c r="AH66" s="1106"/>
      <c r="AI66" s="1106"/>
      <c r="AJ66" s="1106"/>
      <c r="AK66" s="1132"/>
      <c r="AL66" s="1105"/>
      <c r="AM66" s="1106"/>
      <c r="AN66" s="1106"/>
      <c r="AO66" s="1106"/>
      <c r="AP66" s="1106"/>
      <c r="AQ66" s="1132"/>
      <c r="AR66" s="1148"/>
      <c r="AS66" s="1105"/>
      <c r="AT66" s="1106"/>
      <c r="AU66" s="1106"/>
      <c r="AV66" s="1106"/>
      <c r="AW66" s="1138"/>
      <c r="AX66" s="1120"/>
      <c r="AY66" s="1094"/>
      <c r="AZ66" s="1095" t="e">
        <f t="shared" si="21"/>
        <v>#REF!</v>
      </c>
      <c r="BA66" s="2"/>
    </row>
    <row r="67" spans="1:53" ht="15.75" hidden="1" customHeight="1" outlineLevel="1">
      <c r="A67" s="1027"/>
      <c r="B67" s="1096"/>
      <c r="C67" s="1121" t="s">
        <v>20</v>
      </c>
      <c r="D67" s="1122">
        <f>Parametres!$D$15</f>
        <v>0.1</v>
      </c>
      <c r="E67" s="1068" t="e">
        <f>COUNTIFS(#REF!,"&gt;0",#REF!,"&gt;="&amp;B57,#REF!,"&lt;="&amp;EOMONTH(B57,0))</f>
        <v>#REF!</v>
      </c>
      <c r="F67" s="1069" t="e">
        <f>SUMIFS(#REF!,#REF!,"&lt;&gt;0",#REF!,"&gt;="&amp;B57,#REF!,"&lt;="&amp;EOMONTH(B57,0))</f>
        <v>#REF!</v>
      </c>
      <c r="G67" s="1098" t="e">
        <f t="shared" si="19"/>
        <v>#REF!</v>
      </c>
      <c r="H67" s="1070" t="e">
        <f ca="1">MINIFS(#REF!,#REF!,"&lt;&gt;0",#REF!,"&gt;="&amp;B57,#REF!,"&lt;="&amp;EOMONTH(B57,0))</f>
        <v>#NAME?</v>
      </c>
      <c r="I67" s="1078" t="e">
        <f ca="1">MAXIFS(#REF!,#REF!,"&lt;&gt;0",#REF!,"&gt;="&amp;B57,#REF!,"&lt;="&amp;EOMONTH(B57,0))</f>
        <v>#NAME?</v>
      </c>
      <c r="J67" s="1072" t="e">
        <f>COUNTIFS(#REF!,"&gt;="&amp;D67,#REF!,"&gt;="&amp;B57,#REF!,"&lt;="&amp;EOMONTH(B57,0))</f>
        <v>#REF!</v>
      </c>
      <c r="K67" s="1341" t="e">
        <f t="shared" si="20"/>
        <v>#REF!</v>
      </c>
      <c r="L67" s="1115"/>
      <c r="M67" s="1082"/>
      <c r="N67" s="1129"/>
      <c r="O67" s="1129"/>
      <c r="P67" s="1069"/>
      <c r="Q67" s="1069"/>
      <c r="R67" s="1069"/>
      <c r="S67" s="1069"/>
      <c r="T67" s="1143"/>
      <c r="U67" s="1143"/>
      <c r="V67" s="1132"/>
      <c r="W67" s="1129"/>
      <c r="X67" s="1129"/>
      <c r="Y67" s="1069"/>
      <c r="Z67" s="1069"/>
      <c r="AA67" s="1069"/>
      <c r="AB67" s="1069"/>
      <c r="AC67" s="1130"/>
      <c r="AD67" s="1131"/>
      <c r="AE67" s="1132"/>
      <c r="AF67" s="1105"/>
      <c r="AG67" s="1106"/>
      <c r="AH67" s="1106"/>
      <c r="AI67" s="1106"/>
      <c r="AJ67" s="1106"/>
      <c r="AK67" s="1132"/>
      <c r="AL67" s="1105"/>
      <c r="AM67" s="1106"/>
      <c r="AN67" s="1106"/>
      <c r="AO67" s="1106"/>
      <c r="AP67" s="1106"/>
      <c r="AQ67" s="1132"/>
      <c r="AR67" s="1148"/>
      <c r="AS67" s="1105"/>
      <c r="AT67" s="1106"/>
      <c r="AU67" s="1106"/>
      <c r="AV67" s="1106"/>
      <c r="AW67" s="1119"/>
      <c r="AX67" s="1120"/>
      <c r="AY67" s="1094"/>
      <c r="AZ67" s="1095" t="e">
        <f t="shared" si="21"/>
        <v>#REF!</v>
      </c>
      <c r="BA67" s="2"/>
    </row>
    <row r="68" spans="1:53" ht="15.75" hidden="1" customHeight="1" outlineLevel="1">
      <c r="A68" s="1027"/>
      <c r="B68" s="1096"/>
      <c r="C68" s="1121" t="s">
        <v>14</v>
      </c>
      <c r="D68" s="1122">
        <f>Parametres!$D$16</f>
        <v>10000000</v>
      </c>
      <c r="E68" s="1068" t="e">
        <f>COUNTIFS(#REF!,"&gt;0",#REF!,"&gt;="&amp;B57,#REF!,"&lt;="&amp;EOMONTH(B57,0))</f>
        <v>#REF!</v>
      </c>
      <c r="F68" s="1069" t="e">
        <f>SUMIFS(#REF!,#REF!,"&lt;&gt;0",#REF!,"&gt;="&amp;B57,#REF!,"&lt;="&amp;EOMONTH(B57,0))</f>
        <v>#REF!</v>
      </c>
      <c r="G68" s="1098" t="e">
        <f t="shared" si="19"/>
        <v>#REF!</v>
      </c>
      <c r="H68" s="1070" t="e">
        <f ca="1">MINIFS(#REF!,#REF!,"&lt;&gt;0",#REF!,"&gt;="&amp;B57,#REF!,"&lt;="&amp;EOMONTH(B57,0))</f>
        <v>#NAME?</v>
      </c>
      <c r="I68" s="1078" t="e">
        <f ca="1">MAXIFS(#REF!,#REF!,"&lt;&gt;0",#REF!,"&gt;="&amp;B57,#REF!,"&lt;="&amp;EOMONTH(B57,0))</f>
        <v>#NAME?</v>
      </c>
      <c r="J68" s="1072" t="e">
        <f>COUNTIFS(#REF!,"&gt;="&amp;D68,#REF!,"&gt;="&amp;B57,#REF!,"&lt;="&amp;EOMONTH(B57,0))</f>
        <v>#REF!</v>
      </c>
      <c r="K68" s="1341" t="e">
        <f t="shared" si="20"/>
        <v>#REF!</v>
      </c>
      <c r="L68" s="1115"/>
      <c r="M68" s="1082"/>
      <c r="N68" s="1129"/>
      <c r="O68" s="1129"/>
      <c r="P68" s="1069"/>
      <c r="Q68" s="1069"/>
      <c r="R68" s="1069"/>
      <c r="S68" s="1069"/>
      <c r="T68" s="1143"/>
      <c r="U68" s="1143"/>
      <c r="V68" s="1132"/>
      <c r="W68" s="1129"/>
      <c r="X68" s="1129"/>
      <c r="Y68" s="1069"/>
      <c r="Z68" s="1069"/>
      <c r="AA68" s="1069"/>
      <c r="AB68" s="1069"/>
      <c r="AC68" s="1130"/>
      <c r="AD68" s="1131"/>
      <c r="AE68" s="1132"/>
      <c r="AF68" s="1105"/>
      <c r="AG68" s="1106"/>
      <c r="AH68" s="1106"/>
      <c r="AI68" s="1106"/>
      <c r="AJ68" s="1106"/>
      <c r="AK68" s="1082"/>
      <c r="AL68" s="1136"/>
      <c r="AM68" s="1137"/>
      <c r="AN68" s="1137"/>
      <c r="AO68" s="1137"/>
      <c r="AP68" s="1137"/>
      <c r="AQ68" s="1082"/>
      <c r="AR68" s="1118"/>
      <c r="AS68" s="1105"/>
      <c r="AT68" s="1106"/>
      <c r="AU68" s="1106"/>
      <c r="AV68" s="1106"/>
      <c r="AW68" s="1138"/>
      <c r="AX68" s="1120"/>
      <c r="AY68" s="1094"/>
      <c r="AZ68" s="1095" t="e">
        <f t="shared" si="21"/>
        <v>#REF!</v>
      </c>
      <c r="BA68" s="2"/>
    </row>
    <row r="69" spans="1:53" ht="15.75" hidden="1" customHeight="1" outlineLevel="1">
      <c r="A69" s="1027"/>
      <c r="B69" s="1096"/>
      <c r="C69" s="1139" t="s">
        <v>284</v>
      </c>
      <c r="D69" s="1122">
        <f>Parametres!$D$17</f>
        <v>450</v>
      </c>
      <c r="E69" s="1068" t="e">
        <f>COUNTIFS(#REF!,"&gt;0",#REF!,"&gt;="&amp;B57,#REF!,"&lt;="&amp;EOMONTH(B57,0))</f>
        <v>#REF!</v>
      </c>
      <c r="F69" s="1069" t="e">
        <f>SUMIFS(#REF!,#REF!,"&lt;&gt;0",#REF!,"&gt;="&amp;B57,#REF!,"&lt;="&amp;EOMONTH(B57,0))</f>
        <v>#REF!</v>
      </c>
      <c r="G69" s="1069" t="e">
        <f t="shared" si="19"/>
        <v>#REF!</v>
      </c>
      <c r="H69" s="1070" t="e">
        <f ca="1">MINIFS(#REF!,#REF!,"&lt;&gt;0",#REF!,"&gt;="&amp;B57,#REF!,"&lt;="&amp;EOMONTH(B57,0))</f>
        <v>#NAME?</v>
      </c>
      <c r="I69" s="1078" t="e">
        <f ca="1">MAXIFS(#REF!,#REF!,"&lt;&gt;0",#REF!,"&gt;="&amp;B57,#REF!,"&lt;="&amp;EOMONTH(B57,0))</f>
        <v>#NAME?</v>
      </c>
      <c r="J69" s="1114" t="e">
        <f>COUNTIFS(#REF!,"&gt;="&amp;D69,#REF!,"&gt;="&amp;B57,#REF!,"&lt;="&amp;EOMONTH(B57,0))</f>
        <v>#REF!</v>
      </c>
      <c r="K69" s="1341" t="e">
        <f t="shared" si="20"/>
        <v>#REF!</v>
      </c>
      <c r="L69" s="1115"/>
      <c r="M69" s="1082"/>
      <c r="N69" s="1171"/>
      <c r="O69" s="1171"/>
      <c r="P69" s="1173"/>
      <c r="Q69" s="1173"/>
      <c r="R69" s="1173"/>
      <c r="S69" s="1173"/>
      <c r="T69" s="1175"/>
      <c r="U69" s="1175"/>
      <c r="V69" s="1177"/>
      <c r="W69" s="1129"/>
      <c r="X69" s="1129"/>
      <c r="Y69" s="1069"/>
      <c r="Z69" s="1069"/>
      <c r="AA69" s="1069"/>
      <c r="AB69" s="1069"/>
      <c r="AC69" s="1130"/>
      <c r="AD69" s="1131"/>
      <c r="AE69" s="1082"/>
      <c r="AF69" s="1105"/>
      <c r="AG69" s="1106"/>
      <c r="AH69" s="1106"/>
      <c r="AI69" s="1106"/>
      <c r="AJ69" s="1106"/>
      <c r="AK69" s="1132"/>
      <c r="AL69" s="1105"/>
      <c r="AM69" s="1106"/>
      <c r="AN69" s="1106"/>
      <c r="AO69" s="1106"/>
      <c r="AP69" s="1119"/>
      <c r="AQ69" s="1132"/>
      <c r="AR69" s="1148"/>
      <c r="AS69" s="1105"/>
      <c r="AT69" s="1106"/>
      <c r="AU69" s="1106"/>
      <c r="AV69" s="1106"/>
      <c r="AW69" s="1119"/>
      <c r="AX69" s="1120"/>
      <c r="AY69" s="1094"/>
      <c r="AZ69" s="1095" t="e">
        <f t="shared" si="21"/>
        <v>#REF!</v>
      </c>
      <c r="BA69" s="2"/>
    </row>
    <row r="70" spans="1:53" ht="15.75" hidden="1" customHeight="1" outlineLevel="1">
      <c r="A70" s="1027"/>
      <c r="B70" s="1096"/>
      <c r="C70" s="1182" t="s">
        <v>35</v>
      </c>
      <c r="D70" s="1122">
        <f>Parametres!$D$18</f>
        <v>1750</v>
      </c>
      <c r="E70" s="1068" t="e">
        <f>COUNTIFS(#REF!,"&gt;0",#REF!,"&gt;="&amp;B57,#REF!,"&lt;="&amp;EOMONTH(B57,0))</f>
        <v>#REF!</v>
      </c>
      <c r="F70" s="1069" t="e">
        <f>SUMIFS(#REF!,#REF!,"&lt;&gt;0",#REF!,"&gt;="&amp;B57,#REF!,"&lt;="&amp;EOMONTH(B57,0))</f>
        <v>#REF!</v>
      </c>
      <c r="G70" s="1069" t="e">
        <f t="shared" si="19"/>
        <v>#REF!</v>
      </c>
      <c r="H70" s="1070" t="e">
        <f ca="1">MINIFS(#REF!,#REF!,"&lt;&gt;0",#REF!,"&gt;="&amp;B57,#REF!,"&lt;="&amp;EOMONTH(B57,0))</f>
        <v>#NAME?</v>
      </c>
      <c r="I70" s="1078" t="e">
        <f ca="1">MAXIFS(#REF!,#REF!,"&lt;&gt;0",#REF!,"&gt;="&amp;B57,#REF!,"&lt;="&amp;EOMONTH(B57,0))</f>
        <v>#NAME?</v>
      </c>
      <c r="J70" s="1114" t="e">
        <f>COUNTIFS(#REF!,"&gt;="&amp;D70,#REF!,"&gt;="&amp;B57,#REF!,"&lt;="&amp;EOMONTH(B57,0))</f>
        <v>#REF!</v>
      </c>
      <c r="K70" s="1341" t="e">
        <f t="shared" si="20"/>
        <v>#REF!</v>
      </c>
      <c r="L70" s="1115"/>
      <c r="M70" s="1082"/>
      <c r="N70" s="1144">
        <f>Parametres!$L$18</f>
        <v>5000</v>
      </c>
      <c r="O70" s="1077">
        <f>COUNTIFS('Degrémont Entrée'!$K$14:$K$379,"&gt;0",'Degrémont Entrée'!$A$14:$A$379,"&gt;="&amp;B57,'Degrémont Entrée'!$A$14:$A$379,"&lt;="&amp;EOMONTH(B57,0))</f>
        <v>25</v>
      </c>
      <c r="P70" s="1078">
        <f>SUMIFS('Degrémont Entrée'!$K$14:$K$379,'Degrémont Entrée'!$K$14:$K$379,"&lt;&gt;0",'Degrémont Entrée'!$A$14:$A$379,"&gt;="&amp;B57,'Degrémont Entrée'!$A$14:$A$379,"&lt;="&amp;EOMONTH(B57,0))</f>
        <v>132843</v>
      </c>
      <c r="Q70" s="1078">
        <f t="shared" ref="Q70:Q72" si="24">IF(O70=0,0,P70/O70)</f>
        <v>5313.72</v>
      </c>
      <c r="R70" s="1078" t="e">
        <f ca="1">MINIFS('Degrémont Entrée'!$K$14:$K$379,'Degrémont Entrée'!$K$14:$K$379,"&lt;&gt;0",'Degrémont Entrée'!$A$14:$A$379,"&gt;="&amp;B57,'Degrémont Entrée'!$A$14:$A$379,"&lt;="&amp;EOMONTH(B57,0))</f>
        <v>#NAME?</v>
      </c>
      <c r="S70" s="1078" t="e">
        <f ca="1">MAXIFS('Degrémont Entrée'!$K$14:$K$379,'Degrémont Entrée'!$K$14:$K$379,"&lt;&gt;0",'Degrémont Entrée'!$A$14:$A$379,"&gt;="&amp;B57,'Degrémont Entrée'!$A$14:$A$379,"&lt;="&amp;EOMONTH(B57,0))</f>
        <v>#NAME?</v>
      </c>
      <c r="T70" s="1080">
        <f>COUNTIFS('Degrémont Entrée'!$K$14:$K$379,"&gt;="&amp;N70,'Degrémont Entrée'!$A$14:$A$379,"&gt;="&amp;B57,'Degrémont Entrée'!$A$14:$A$379,"&lt;="&amp;EOMONTH(B57,0))</f>
        <v>14</v>
      </c>
      <c r="U70" s="1081">
        <f>T70/O70</f>
        <v>0.56000000000000005</v>
      </c>
      <c r="V70" s="1082"/>
      <c r="W70" s="1083">
        <f>Parametres!$T$18</f>
        <v>2000</v>
      </c>
      <c r="X70" s="1142">
        <f>COUNTIFS('Degrémont sortie'!$I$14:$I$379,"&gt;0",'Degrémont sortie'!$A$14:$A$379,"&gt;="&amp;B57,'Degrémont sortie'!$A$14:$A$379,"&lt;="&amp;EOMONTH(B57,0))</f>
        <v>25</v>
      </c>
      <c r="Y70" s="1085">
        <f>SUMIFS('Degrémont sortie'!$I$14:$I$379,'Degrémont sortie'!$I$14:$I$379,"&lt;&gt;0",'Degrémont sortie'!$A$14:$A$379,"&gt;="&amp;B57,'Degrémont sortie'!$A$14:$A$379,"&lt;="&amp;EOMONTH(B57,0))</f>
        <v>16695</v>
      </c>
      <c r="Z70" s="1069">
        <f>IF(X70=0,0,Y70/X70)</f>
        <v>667.8</v>
      </c>
      <c r="AA70" s="1069" t="e">
        <f ca="1">MINIFS('Degrémont sortie'!$I$14:$I$379,'Degrémont sortie'!$I$14:$I$379,"&lt;&gt;0",'Degrémont sortie'!$A$14:$A$379,"&gt;="&amp;B57,'Degrémont sortie'!$A$14:$A$379,"&lt;="&amp;EOMONTH(B57,0))</f>
        <v>#NAME?</v>
      </c>
      <c r="AB70" s="1069" t="e">
        <f ca="1">MAXIFS('Degrémont sortie'!$I$14:$I$379,'Degrémont sortie'!$I$14:$I$379,"&lt;&gt;0",'Degrémont sortie'!$A$14:$A$379,"&gt;="&amp;B57,'Degrémont sortie'!$A$14:$A$379,"&lt;="&amp;EOMONTH(B57,0))</f>
        <v>#NAME?</v>
      </c>
      <c r="AC70" s="1142">
        <f>COUNTIFS('Degrémont sortie'!$I$14:$I$379,"&gt;="&amp;W70,'Degrémont sortie'!$A$14:$A$379,"&gt;="&amp;B57,'Degrémont sortie'!$A$14:$A$379,"&lt;="&amp;EOMONTH(B57,0))</f>
        <v>0</v>
      </c>
      <c r="AD70" s="1087">
        <f>AC70/X70</f>
        <v>0</v>
      </c>
      <c r="AE70" s="1082"/>
      <c r="AF70" s="1205" t="e">
        <f>COUNTIFS(#REF!,"&gt;0",#REF!,"&gt;="&amp;B57,#REF!,"&lt;="&amp;EOMONTH(B57,0))</f>
        <v>#REF!</v>
      </c>
      <c r="AG70" s="1208" t="e">
        <f>SUMIFS(#REF!,#REF!,"&lt;&gt;0",#REF!,"&gt;="&amp;B57,#REF!,"&lt;="&amp;EOMONTH(B57,0))</f>
        <v>#REF!</v>
      </c>
      <c r="AH70" s="1208" t="e">
        <f>IF(AF70=0,0,AG70/AF70)</f>
        <v>#REF!</v>
      </c>
      <c r="AI70" s="1208" t="e">
        <f ca="1">MINIFS(#REF!,#REF!,"&lt;&gt;0",#REF!,"&gt;="&amp;B57,#REF!,"&lt;="&amp;EOMONTH(B57,0))</f>
        <v>#NAME?</v>
      </c>
      <c r="AJ70" s="1211" t="e">
        <f ca="1">MAXIFS(#REF!,#REF!,"&lt;&gt;0",#REF!,"&gt;="&amp;B57,#REF!,"&lt;="&amp;EOMONTH(B57,0))</f>
        <v>#NAME?</v>
      </c>
      <c r="AK70" s="1132"/>
      <c r="AL70" s="1205" t="e">
        <f>COUNTIFS(#REF!,"&gt;0",#REF!,"&gt;="&amp;B57,#REF!,"&lt;="&amp;EOMONTH(B57,0))</f>
        <v>#REF!</v>
      </c>
      <c r="AM70" s="1208" t="e">
        <f>SUMIFS(#REF!,#REF!,"&lt;&gt;0",#REF!,"&gt;="&amp;B57,#REF!,"&lt;="&amp;EOMONTH(B57,0))</f>
        <v>#REF!</v>
      </c>
      <c r="AN70" s="1208" t="e">
        <f>IF(AL70=0,0,AM70/AL70)</f>
        <v>#REF!</v>
      </c>
      <c r="AO70" s="1208" t="e">
        <f ca="1">MINIFS(#REF!,#REF!,"&lt;&gt;0",#REF!,"&gt;="&amp;B57,#REF!,"&lt;="&amp;EOMONTH(B57,0))</f>
        <v>#NAME?</v>
      </c>
      <c r="AP70" s="1218" t="e">
        <f ca="1">MAXIFS(#REF!,#REF!,"&lt;&gt;0",#REF!,"&gt;="&amp;B57,#REF!,"&lt;="&amp;EOMONTH(B57,0))</f>
        <v>#NAME?</v>
      </c>
      <c r="AQ70" s="1132"/>
      <c r="AR70" s="1220">
        <f>Parametres!$AM$18</f>
        <v>17000</v>
      </c>
      <c r="AS70" s="1205" t="e">
        <f>COUNTIFS(#REF!,"&gt;0",#REF!,"&gt;="&amp;B57,#REF!,"&lt;="&amp;EOMONTH(B57,0))</f>
        <v>#REF!</v>
      </c>
      <c r="AT70" s="1208" t="e">
        <f>SUMIFS(#REF!,#REF!,"&lt;&gt;0",#REF!,"&gt;="&amp;B57,#REF!,"&lt;="&amp;EOMONTH(B57,0))</f>
        <v>#REF!</v>
      </c>
      <c r="AU70" s="1208" t="e">
        <f>IF(AS70=0,0,AT70/AS70)</f>
        <v>#REF!</v>
      </c>
      <c r="AV70" s="1208" t="e">
        <f ca="1">MINIFS(#REF!,#REF!,"&lt;&gt;0",#REF!,"&gt;="&amp;B57,#REF!,"&lt;="&amp;EOMONTH(B57,0))</f>
        <v>#NAME?</v>
      </c>
      <c r="AW70" s="1222" t="e">
        <f ca="1">MAXIFS(#REF!,#REF!,"&lt;&gt;0",#REF!,"&gt;="&amp;B57,#REF!,"&lt;="&amp;EOMONTH(B57,0))</f>
        <v>#NAME?</v>
      </c>
      <c r="AX70" s="1223" t="e">
        <f>COUNTIFS(#REF!,"&gt;="&amp;AR70,#REF!,"&gt;="&amp;B57,#REF!,"&lt;="&amp;EOMONTH(B57,0))</f>
        <v>#REF!</v>
      </c>
      <c r="AY70" s="1224" t="e">
        <f>AX70/AS70</f>
        <v>#REF!</v>
      </c>
      <c r="AZ70" s="1095" t="e">
        <f t="shared" si="21"/>
        <v>#REF!</v>
      </c>
      <c r="BA70" s="2"/>
    </row>
    <row r="71" spans="1:53" ht="15.75" hidden="1" customHeight="1" outlineLevel="1">
      <c r="A71" s="1027"/>
      <c r="B71" s="1096"/>
      <c r="C71" s="1139" t="s">
        <v>36</v>
      </c>
      <c r="D71" s="1122">
        <f>Parametres!$D$19</f>
        <v>100000</v>
      </c>
      <c r="E71" s="1068" t="e">
        <f>COUNTIFS(#REF!,"&gt;0",#REF!,"&gt;="&amp;B57,#REF!,"&lt;="&amp;EOMONTH(B57,0))</f>
        <v>#REF!</v>
      </c>
      <c r="F71" s="1069" t="e">
        <f>SUMIFS(#REF!,#REF!,"&lt;&gt;0",#REF!,"&gt;="&amp;B57,#REF!,"&lt;="&amp;EOMONTH(B57,0))</f>
        <v>#REF!</v>
      </c>
      <c r="G71" s="1069" t="e">
        <f t="shared" si="19"/>
        <v>#REF!</v>
      </c>
      <c r="H71" s="1070" t="e">
        <f ca="1">MINIFS(#REF!,#REF!,"&lt;&gt;0",#REF!,"&gt;="&amp;B57,#REF!,"&lt;="&amp;EOMONTH(B57,0))</f>
        <v>#NAME?</v>
      </c>
      <c r="I71" s="1078" t="e">
        <f ca="1">MAXIFS(#REF!,#REF!,"&lt;&gt;0",#REF!,"&gt;="&amp;B57,#REF!,"&lt;="&amp;EOMONTH(B57,0))</f>
        <v>#NAME?</v>
      </c>
      <c r="J71" s="1072" t="s">
        <v>153</v>
      </c>
      <c r="K71" s="1072" t="s">
        <v>153</v>
      </c>
      <c r="L71" s="1115"/>
      <c r="M71" s="1082"/>
      <c r="N71" s="1144">
        <f>Parametres!$L$19</f>
        <v>100000</v>
      </c>
      <c r="O71" s="1077">
        <f>COUNTIFS('Degrémont Entrée'!$O$14:$O$379,"&gt;0",'Degrémont Entrée'!$A$14:$A$379,"&gt;="&amp;B57,'Degrémont Entrée'!$A$14:$A$379,"&lt;="&amp;EOMONTH(B57,0))</f>
        <v>25</v>
      </c>
      <c r="P71" s="1078">
        <f>SUMIFS('Degrémont Entrée'!$O$14:$O$379,'Degrémont Entrée'!$O$14:$O$379,"&lt;&gt;0",'Degrémont Entrée'!$A$14:$A$379,"&gt;="&amp;B57,'Degrémont Entrée'!$A$14:$A$379,"&lt;="&amp;EOMONTH(B57,0))</f>
        <v>20535</v>
      </c>
      <c r="Q71" s="1078">
        <f t="shared" si="24"/>
        <v>821.4</v>
      </c>
      <c r="R71" s="1173" t="e">
        <f ca="1">MINIFS('Degrémont Entrée'!$O$14:$O$379,'Degrémont Entrée'!$O$14:$O$379,"&lt;&gt;0",'Degrémont Entrée'!$A$14:$A$379,"&gt;="&amp;B57,'Degrémont Entrée'!$A$14:$A$379,"&lt;="&amp;EOMONTH(B57,0))</f>
        <v>#NAME?</v>
      </c>
      <c r="S71" s="1227" t="e">
        <f ca="1">MAXIFS('Degrémont Entrée'!$O$14:$O$379,'Degrémont Entrée'!$O$14:$O$379,"&lt;&gt;0",'Degrémont Entrée'!$A$14:$A$379,"&gt;="&amp;B57,'Degrémont Entrée'!$A$14:$A$379,"&lt;="&amp;EOMONTH(B57,0))</f>
        <v>#NAME?</v>
      </c>
      <c r="T71" s="1228" t="s">
        <v>153</v>
      </c>
      <c r="U71" s="1228" t="s">
        <v>153</v>
      </c>
      <c r="V71" s="1177"/>
      <c r="W71" s="1129"/>
      <c r="X71" s="1129"/>
      <c r="Y71" s="1069"/>
      <c r="Z71" s="1069"/>
      <c r="AA71" s="1069"/>
      <c r="AB71" s="1069"/>
      <c r="AC71" s="1130"/>
      <c r="AD71" s="1131"/>
      <c r="AE71" s="1082"/>
      <c r="AF71" s="1106"/>
      <c r="AG71" s="1106"/>
      <c r="AH71" s="1106"/>
      <c r="AI71" s="1106"/>
      <c r="AJ71" s="1106"/>
      <c r="AK71" s="1132"/>
      <c r="AL71" s="1106"/>
      <c r="AM71" s="1106"/>
      <c r="AN71" s="1106"/>
      <c r="AO71" s="1106"/>
      <c r="AP71" s="1119"/>
      <c r="AQ71" s="1132"/>
      <c r="AR71" s="1106"/>
      <c r="AS71" s="1106"/>
      <c r="AT71" s="1106"/>
      <c r="AU71" s="1106"/>
      <c r="AV71" s="1106"/>
      <c r="AW71" s="1119"/>
      <c r="AX71" s="1120"/>
      <c r="AY71" s="1094"/>
      <c r="AZ71" s="1095" t="e">
        <f t="shared" si="21"/>
        <v>#REF!</v>
      </c>
      <c r="BA71" s="2"/>
    </row>
    <row r="72" spans="1:53" ht="15.75" hidden="1" customHeight="1" outlineLevel="1">
      <c r="A72" s="1027"/>
      <c r="B72" s="1096"/>
      <c r="C72" s="1139" t="s">
        <v>32</v>
      </c>
      <c r="D72" s="1122">
        <f>Parametres!$D$20</f>
        <v>4800</v>
      </c>
      <c r="E72" s="1068" t="e">
        <f>COUNTIFS(#REF!,"&gt;0",#REF!,"&gt;="&amp;B57,#REF!,"&lt;="&amp;EOMONTH(B57,0))</f>
        <v>#REF!</v>
      </c>
      <c r="F72" s="1069" t="e">
        <f>SUMIFS(#REF!,#REF!,"&lt;&gt;0",#REF!,"&gt;="&amp;B57,#REF!,"&lt;="&amp;EOMONTH(B57,0))</f>
        <v>#REF!</v>
      </c>
      <c r="G72" s="1069" t="e">
        <f t="shared" si="19"/>
        <v>#REF!</v>
      </c>
      <c r="H72" s="1070" t="e">
        <f ca="1">MINIFS(#REF!,#REF!,"&lt;&gt;0",#REF!,"&gt;="&amp;B57,#REF!,"&lt;="&amp;EOMONTH(B57,0))</f>
        <v>#NAME?</v>
      </c>
      <c r="I72" s="1078" t="e">
        <f ca="1">MAXIFS(#REF!,#REF!,"&lt;&gt;0",#REF!,"&gt;="&amp;B57,#REF!,"&lt;="&amp;EOMONTH(B57,0))</f>
        <v>#NAME?</v>
      </c>
      <c r="J72" s="1072" t="e">
        <f>COUNTIFS(#REF!,"&gt;="&amp;D72,#REF!,"&gt;="&amp;B57,#REF!,"&lt;="&amp;EOMONTH(B57,0))</f>
        <v>#REF!</v>
      </c>
      <c r="K72" s="1341" t="e">
        <f t="shared" ref="K72:K73" si="25">J72/E72</f>
        <v>#REF!</v>
      </c>
      <c r="L72" s="1115"/>
      <c r="M72" s="1082"/>
      <c r="N72" s="1144">
        <f>Parametres!$L$20</f>
        <v>1000</v>
      </c>
      <c r="O72" s="1077">
        <f>COUNTIFS('Degrémont Entrée'!$B$14:$B$379,"&gt;0",'Degrémont Entrée'!$A$14:$A$379,"&gt;="&amp;B57,'Degrémont Entrée'!$A$14:$A$379,"&lt;="&amp;EOMONTH(B57,0))</f>
        <v>25</v>
      </c>
      <c r="P72" s="1078">
        <f>SUMIFS('Degrémont Entrée'!$B$14:$B$379,'Degrémont Entrée'!$B$14:$B$379,"&lt;&gt;0",'Degrémont Entrée'!$A$14:$A$379,"&gt;="&amp;B57,'Degrémont Entrée'!$A$14:$A$379,"&lt;="&amp;EOMONTH(B57,0))</f>
        <v>22642</v>
      </c>
      <c r="Q72" s="1078">
        <f t="shared" si="24"/>
        <v>905.68</v>
      </c>
      <c r="R72" s="1173" t="e">
        <f ca="1">MINIFS('Degrémont Entrée'!$B$14:$B$379,'Degrémont Entrée'!$B$14:$B$379,"&lt;&gt;0",'Degrémont Entrée'!$A$14:$A$379,"&gt;="&amp;B57,'Degrémont Entrée'!$A$14:$A$379,"&lt;="&amp;EOMONTH(B57,0))</f>
        <v>#NAME?</v>
      </c>
      <c r="S72" s="1078" t="e">
        <f ca="1">MAXIFS('Degrémont Entrée'!$B$14:$B$379,'Degrémont Entrée'!$B$14:$B$379,"&lt;&gt;0",'Degrémont Entrée'!$A$14:$A$379,"&gt;="&amp;B57,'Degrémont Entrée'!$A$14:$A$379,"&lt;="&amp;EOMONTH(B57,0))</f>
        <v>#NAME?</v>
      </c>
      <c r="T72" s="1236">
        <f>COUNTIFS('Degrémont Entrée'!$B$14:$B$379,"&gt;="&amp;N72,'Degrémont Entrée'!$A$14:$A$379,"&gt;="&amp;B57,'Degrémont Entrée'!$A$14:$A$379,"&lt;="&amp;EOMONTH(B57,0))</f>
        <v>8</v>
      </c>
      <c r="U72" s="1081">
        <f>T72/O72</f>
        <v>0.32</v>
      </c>
      <c r="V72" s="1177"/>
      <c r="W72" s="1083">
        <f>Parametres!$T$20</f>
        <v>1000</v>
      </c>
      <c r="X72" s="1142">
        <f>COUNTIFS('Degrémont sortie'!$B$14:$B$379,"&gt;0",'Degrémont sortie'!$A$14:$A$379,"&gt;="&amp;B57,'Degrémont sortie'!$A$14:$A$379,"&lt;="&amp;EOMONTH(B57,0))</f>
        <v>25</v>
      </c>
      <c r="Y72" s="1085">
        <f>SUMIFS('Degrémont sortie'!$B$14:$B$379,'Degrémont sortie'!$B$14:$B$379,"&lt;&gt;0",'Degrémont sortie'!$A$14:$A$379,"&gt;="&amp;B57,'Degrémont sortie'!$A$14:$A$379,"&lt;="&amp;EOMONTH(B57,0))</f>
        <v>22642</v>
      </c>
      <c r="Z72" s="1069">
        <f>IF(X72=0,0,Y72/X72)</f>
        <v>905.68</v>
      </c>
      <c r="AA72" s="1069" t="e">
        <f ca="1">MINIFS('Degrémont sortie'!$B$14:$B$379,'Degrémont sortie'!$B$14:$B$379,"&lt;&gt;0",'Degrémont sortie'!$A$14:$A$379,"&gt;="&amp;B57,'Degrémont sortie'!$A$14:$A$379,"&lt;="&amp;EOMONTH(B57,0))</f>
        <v>#NAME?</v>
      </c>
      <c r="AB72" s="1069" t="e">
        <f ca="1">MAXIFS('Degrémont sortie'!$B$14:$B$379,'Degrémont sortie'!$B$14:$B$379,"&lt;&gt;0",'Degrémont sortie'!$A$14:$A$379,"&gt;="&amp;B57,'Degrémont sortie'!$A$14:$A$379,"&lt;="&amp;EOMONTH(B57,0))</f>
        <v>#NAME?</v>
      </c>
      <c r="AC72" s="1142">
        <f>COUNTIFS('Degrémont sortie'!$B$14:$B$379,"&gt;="&amp;W72,'Degrémont sortie'!$A$14:$A$379,"&gt;="&amp;B57,'Degrémont sortie'!$A$14:$A$379,"&lt;="&amp;EOMONTH(B57,0))</f>
        <v>8</v>
      </c>
      <c r="AD72" s="1087">
        <f>AC72/X72</f>
        <v>0.32</v>
      </c>
      <c r="AE72" s="1082"/>
      <c r="AF72" s="1205" t="e">
        <f>COUNTIFS(#REF!,"&gt;0",#REF!,"&gt;="&amp;B57,#REF!,"&lt;="&amp;EOMONTH(B57,0))</f>
        <v>#REF!</v>
      </c>
      <c r="AG72" s="1208" t="e">
        <f>SUMIFS(#REF!,#REF!,"&lt;&gt;0",#REF!,"&gt;="&amp;B57,#REF!,"&lt;="&amp;EOMONTH(B57,0))</f>
        <v>#REF!</v>
      </c>
      <c r="AH72" s="1208" t="e">
        <f>IF(AF72=0,0,AG72/AF72)</f>
        <v>#REF!</v>
      </c>
      <c r="AI72" s="1208" t="e">
        <f ca="1">MINIFS(#REF!,#REF!,"&lt;&gt;0",#REF!,"&gt;="&amp;B57,#REF!,"&lt;="&amp;EOMONTH(B57,0))</f>
        <v>#NAME?</v>
      </c>
      <c r="AJ72" s="1208" t="e">
        <f ca="1">MAXIFS(#REF!,#REF!,"&lt;&gt;0",#REF!,"&gt;="&amp;B57,#REF!,"&lt;="&amp;EOMONTH(B57,0))</f>
        <v>#NAME?</v>
      </c>
      <c r="AK72" s="1132"/>
      <c r="AL72" s="1106"/>
      <c r="AM72" s="1106"/>
      <c r="AN72" s="1106"/>
      <c r="AO72" s="1106"/>
      <c r="AP72" s="1119"/>
      <c r="AQ72" s="1132"/>
      <c r="AR72" s="1220">
        <f>Parametres!$AM$20</f>
        <v>1000000</v>
      </c>
      <c r="AS72" s="1205" t="e">
        <f>COUNTIFS(#REF!,"&gt;0",#REF!,"&gt;="&amp;B57,#REF!,"&lt;="&amp;EOMONTH(B57,0))</f>
        <v>#REF!</v>
      </c>
      <c r="AT72" s="1208" t="e">
        <f>SUMIFS(#REF!,#REF!,"&lt;&gt;0",#REF!,"&gt;="&amp;B57,#REF!,"&lt;="&amp;EOMONTH(B57,0))</f>
        <v>#REF!</v>
      </c>
      <c r="AU72" s="1208" t="e">
        <f>IF(AS72=0,0,AT72/AS72)</f>
        <v>#REF!</v>
      </c>
      <c r="AV72" s="1208" t="e">
        <f ca="1">MINIFS(#REF!,#REF!,"&lt;&gt;0",#REF!,"&gt;="&amp;B57,#REF!,"&lt;="&amp;EOMONTH(B57,0))</f>
        <v>#NAME?</v>
      </c>
      <c r="AW72" s="1222" t="e">
        <f ca="1">MAXIFS(#REF!,#REF!,"&lt;&gt;0",#REF!,"&gt;="&amp;B57,#REF!,"&lt;="&amp;EOMONTH(B57,0))</f>
        <v>#NAME?</v>
      </c>
      <c r="AX72" s="1243" t="s">
        <v>153</v>
      </c>
      <c r="AY72" s="1224" t="e">
        <f>AX72/AS72</f>
        <v>#VALUE!</v>
      </c>
      <c r="AZ72" s="1095" t="e">
        <f t="shared" si="21"/>
        <v>#REF!</v>
      </c>
      <c r="BA72" s="2"/>
    </row>
    <row r="73" spans="1:53" ht="15.75" hidden="1" customHeight="1" outlineLevel="1">
      <c r="A73" s="1027"/>
      <c r="B73" s="1096"/>
      <c r="C73" s="1121" t="s">
        <v>21</v>
      </c>
      <c r="D73" s="1122">
        <f>Parametres!$D$22</f>
        <v>2</v>
      </c>
      <c r="E73" s="1068" t="e">
        <f>COUNTIFS(#REF!,"&gt;0",#REF!,"&gt;="&amp;B57,#REF!,"&lt;="&amp;EOMONTH(B57,0))</f>
        <v>#REF!</v>
      </c>
      <c r="F73" s="1069" t="e">
        <f>SUMIFS(#REF!,#REF!,"&lt;&gt;0",#REF!,"&gt;="&amp;B57,#REF!,"&lt;="&amp;EOMONTH(B57,0))</f>
        <v>#REF!</v>
      </c>
      <c r="G73" s="1069" t="e">
        <f t="shared" si="19"/>
        <v>#REF!</v>
      </c>
      <c r="H73" s="1070" t="e">
        <f ca="1">MINIFS(#REF!,#REF!,"&lt;&gt;0",#REF!,"&gt;="&amp;B57,#REF!,"&lt;="&amp;EOMONTH(B57,0))</f>
        <v>#NAME?</v>
      </c>
      <c r="I73" s="1078" t="e">
        <f ca="1">MAXIFS(#REF!,#REF!,"&lt;&gt;0",#REF!,"&gt;="&amp;B57,#REF!,"&lt;="&amp;EOMONTH(B57,0))</f>
        <v>#NAME?</v>
      </c>
      <c r="J73" s="1072" t="e">
        <f>COUNTIFS(#REF!,"&gt;="&amp;D73,#REF!,"&gt;="&amp;B57,#REF!,"&lt;="&amp;EOMONTH(B57,0))</f>
        <v>#REF!</v>
      </c>
      <c r="K73" s="1341" t="e">
        <f t="shared" si="25"/>
        <v>#REF!</v>
      </c>
      <c r="L73" s="1115"/>
      <c r="M73" s="1082"/>
      <c r="N73" s="1171"/>
      <c r="O73" s="1171"/>
      <c r="P73" s="1173"/>
      <c r="Q73" s="1173"/>
      <c r="R73" s="1173"/>
      <c r="S73" s="1173"/>
      <c r="T73" s="1175"/>
      <c r="U73" s="1175"/>
      <c r="V73" s="1082"/>
      <c r="W73" s="1106"/>
      <c r="X73" s="1106"/>
      <c r="Y73" s="1069"/>
      <c r="Z73" s="1069"/>
      <c r="AA73" s="1069"/>
      <c r="AB73" s="1069"/>
      <c r="AC73" s="1248"/>
      <c r="AD73" s="1249"/>
      <c r="AE73" s="1082"/>
      <c r="AF73" s="1106"/>
      <c r="AG73" s="1106"/>
      <c r="AH73" s="1106"/>
      <c r="AI73" s="1106"/>
      <c r="AJ73" s="1106"/>
      <c r="AK73" s="1132"/>
      <c r="AL73" s="1106"/>
      <c r="AM73" s="1106"/>
      <c r="AN73" s="1106"/>
      <c r="AO73" s="1106"/>
      <c r="AP73" s="1119"/>
      <c r="AQ73" s="1132"/>
      <c r="AR73" s="1106"/>
      <c r="AS73" s="1106"/>
      <c r="AT73" s="1106"/>
      <c r="AU73" s="1106"/>
      <c r="AV73" s="1106"/>
      <c r="AW73" s="1119"/>
      <c r="AX73" s="1120"/>
      <c r="AY73" s="1094"/>
      <c r="AZ73" s="1095" t="e">
        <f t="shared" si="21"/>
        <v>#REF!</v>
      </c>
      <c r="BA73" s="2"/>
    </row>
    <row r="74" spans="1:53" ht="15.75" hidden="1" customHeight="1" outlineLevel="1">
      <c r="A74" s="1027"/>
      <c r="B74" s="1096"/>
      <c r="C74" s="1121" t="s">
        <v>22</v>
      </c>
      <c r="D74" s="1122">
        <f>Parametres!$D$23</f>
        <v>1000000</v>
      </c>
      <c r="E74" s="1068" t="e">
        <f>COUNTIFS(#REF!,"&gt;0",#REF!,"&gt;="&amp;B57,#REF!,"&lt;="&amp;EOMONTH(B57,0))</f>
        <v>#REF!</v>
      </c>
      <c r="F74" s="1069" t="e">
        <f>SUMIFS(#REF!,#REF!,"&lt;&gt;0",#REF!,"&gt;="&amp;B57,#REF!,"&lt;="&amp;EOMONTH(B57,0))</f>
        <v>#REF!</v>
      </c>
      <c r="G74" s="1069" t="e">
        <f t="shared" si="19"/>
        <v>#REF!</v>
      </c>
      <c r="H74" s="1070" t="e">
        <f ca="1">MINIFS(#REF!,#REF!,"&lt;&gt;0",#REF!,"&gt;="&amp;B57,#REF!,"&lt;="&amp;EOMONTH(B57,0))</f>
        <v>#NAME?</v>
      </c>
      <c r="I74" s="1078" t="e">
        <f ca="1">MAXIFS(#REF!,#REF!,"&lt;&gt;0",#REF!,"&gt;="&amp;B57,#REF!,"&lt;="&amp;EOMONTH(B57,0))</f>
        <v>#NAME?</v>
      </c>
      <c r="J74" s="1072" t="s">
        <v>153</v>
      </c>
      <c r="K74" s="1072" t="s">
        <v>153</v>
      </c>
      <c r="L74" s="1115"/>
      <c r="M74" s="1082"/>
      <c r="N74" s="1171"/>
      <c r="O74" s="1171"/>
      <c r="P74" s="1173"/>
      <c r="Q74" s="1173"/>
      <c r="R74" s="1173"/>
      <c r="S74" s="1173"/>
      <c r="T74" s="1175"/>
      <c r="U74" s="1175"/>
      <c r="V74" s="1082"/>
      <c r="W74" s="1106"/>
      <c r="X74" s="1106"/>
      <c r="Y74" s="1069"/>
      <c r="Z74" s="1069"/>
      <c r="AA74" s="1069"/>
      <c r="AB74" s="1069"/>
      <c r="AC74" s="1248"/>
      <c r="AD74" s="1249"/>
      <c r="AE74" s="1082"/>
      <c r="AF74" s="1106"/>
      <c r="AG74" s="1106"/>
      <c r="AH74" s="1106"/>
      <c r="AI74" s="1106"/>
      <c r="AJ74" s="1106"/>
      <c r="AK74" s="1132"/>
      <c r="AL74" s="1106"/>
      <c r="AM74" s="1106"/>
      <c r="AN74" s="1106"/>
      <c r="AO74" s="1106"/>
      <c r="AP74" s="1119"/>
      <c r="AQ74" s="1132"/>
      <c r="AR74" s="1106"/>
      <c r="AS74" s="1106"/>
      <c r="AT74" s="1106"/>
      <c r="AU74" s="1106"/>
      <c r="AV74" s="1106"/>
      <c r="AW74" s="1119"/>
      <c r="AX74" s="1120"/>
      <c r="AY74" s="1094"/>
      <c r="AZ74" s="1095" t="e">
        <f t="shared" si="21"/>
        <v>#REF!</v>
      </c>
      <c r="BA74" s="2"/>
    </row>
    <row r="75" spans="1:53" ht="15.75" hidden="1" customHeight="1" outlineLevel="1">
      <c r="A75" s="1027"/>
      <c r="B75" s="1096"/>
      <c r="C75" s="1139" t="s">
        <v>44</v>
      </c>
      <c r="D75" s="1122">
        <f>Parametres!$D$24</f>
        <v>5</v>
      </c>
      <c r="E75" s="1068" t="e">
        <f>COUNTIFS(#REF!,"&gt;0",#REF!,"&gt;="&amp;B57,#REF!,"&lt;="&amp;EOMONTH(B57,0))</f>
        <v>#REF!</v>
      </c>
      <c r="F75" s="1069" t="e">
        <f>SUMIFS(#REF!,#REF!,"&lt;&gt;0",#REF!,"&gt;="&amp;B57,#REF!,"&lt;="&amp;EOMONTH(B57,0))</f>
        <v>#REF!</v>
      </c>
      <c r="G75" s="1069" t="e">
        <f t="shared" si="19"/>
        <v>#REF!</v>
      </c>
      <c r="H75" s="1070" t="e">
        <f ca="1">MINIFS(#REF!,#REF!,"&lt;&gt;0",#REF!,"&gt;="&amp;B57,#REF!,"&lt;="&amp;EOMONTH(B57,0))</f>
        <v>#NAME?</v>
      </c>
      <c r="I75" s="1078" t="e">
        <f ca="1">MAXIFS(#REF!,#REF!,"&lt;&gt;0",#REF!,"&gt;="&amp;B57,#REF!,"&lt;="&amp;EOMONTH(B57,0))</f>
        <v>#NAME?</v>
      </c>
      <c r="J75" s="1072" t="e">
        <f>COUNTIFS(#REF!,"&gt;="&amp;D75,#REF!,"&gt;="&amp;B57,#REF!,"&lt;="&amp;EOMONTH(B57,0))</f>
        <v>#REF!</v>
      </c>
      <c r="K75" s="1341" t="e">
        <f t="shared" ref="K75:K83" si="26">J75/E75</f>
        <v>#REF!</v>
      </c>
      <c r="L75" s="1115"/>
      <c r="M75" s="1082"/>
      <c r="N75" s="1144">
        <f>Parametres!$L$24</f>
        <v>60</v>
      </c>
      <c r="O75" s="1077">
        <f>COUNTIFS('Degrémont Entrée'!$AP$14:$AP$379,"&gt;0",'Degrémont Entrée'!$A$14:$A$379,"&gt;="&amp;B57,'Degrémont Entrée'!$A$14:$A$379,"&lt;="&amp;EOMONTH(B57,0))</f>
        <v>4</v>
      </c>
      <c r="P75" s="1078">
        <f>SUMIFS('Degrémont Entrée'!$AP$14:$AP$379,'Degrémont Entrée'!$AP$14:$AP$379,"&lt;&gt;0",'Degrémont Entrée'!$A$14:$A$379,"&gt;="&amp;B57,'Degrémont Entrée'!$A$14:$A$379,"&lt;="&amp;EOMONTH(B57,0))</f>
        <v>159.86000000000001</v>
      </c>
      <c r="Q75" s="1078">
        <f>IF(O75=0,0,P75/O75)</f>
        <v>39.965000000000003</v>
      </c>
      <c r="R75" s="1078" t="e">
        <f ca="1">MINIFS('Degrémont Entrée'!$AP$14:$AP$379,'Degrémont Entrée'!$AP$14:$AP$379,"&lt;&gt;0",'Degrémont Entrée'!$A$14:$A$379,"&gt;="&amp;B57,'Degrémont Entrée'!$A$14:$A$379,"&lt;="&amp;EOMONTH(B57,0))</f>
        <v>#NAME?</v>
      </c>
      <c r="S75" s="1078" t="e">
        <f ca="1">MAXIFS('Degrémont Entrée'!$AP$14:$AP$379,'Degrémont Entrée'!$AP$14:$AP$379,"&lt;&gt;0",'Degrémont Entrée'!$A$14:$A$379,"&gt;="&amp;B57,'Degrémont Entrée'!$A$14:$A$379,"&lt;="&amp;EOMONTH(B57,0))</f>
        <v>#NAME?</v>
      </c>
      <c r="T75" s="1080">
        <f>COUNTIFS('Degrémont Entrée'!$AP$14:$AP$379,"&gt;="&amp;N75,'Degrémont Entrée'!$A$14:$A$379,"&gt;="&amp;B57,'Degrémont Entrée'!$A$14:$A$379,"&lt;="&amp;EOMONTH(B57,0))</f>
        <v>0</v>
      </c>
      <c r="U75" s="1081">
        <f>T75/O75</f>
        <v>0</v>
      </c>
      <c r="V75" s="1082"/>
      <c r="W75" s="1083">
        <f>Parametres!$T$24</f>
        <v>1.6</v>
      </c>
      <c r="X75" s="1142">
        <f>COUNTIFS('Degrémont sortie'!$AJ$14:$AJ$379,"&gt;0",'Degrémont sortie'!$A$14:$A$379,"&gt;="&amp;B57,'Degrémont sortie'!$A$14:$A$379,"&lt;="&amp;EOMONTH(B57,0))</f>
        <v>4</v>
      </c>
      <c r="Y75" s="1085">
        <f>SUMIFS('Degrémont sortie'!$AJ$14:$AJ$379,'Degrémont sortie'!$AJ$14:$AJ$379,"&lt;&gt;0",'Degrémont sortie'!$A$14:$A$379,"&gt;="&amp;B57,'Degrémont sortie'!$A$14:$A$379,"&lt;="&amp;EOMONTH(B57,0))</f>
        <v>1.8200000000000003</v>
      </c>
      <c r="Z75" s="1069">
        <f>IF(X75=0,0,Y75/X75)</f>
        <v>0.45500000000000007</v>
      </c>
      <c r="AA75" s="1069" t="e">
        <f ca="1">MINIFS('Degrémont sortie'!$AJ$14:$AJ$379,'Degrémont sortie'!$AJ$14:$AJ$379,"&lt;&gt;0",'Degrémont sortie'!$A$14:$A$379,"&gt;="&amp;B57,'Degrémont sortie'!$A$14:$A$379,"&lt;="&amp;EOMONTH(B57,0))</f>
        <v>#NAME?</v>
      </c>
      <c r="AB75" s="1069" t="e">
        <f ca="1">MAXIFS('Degrémont sortie'!$AJ$14:$AJ$379,'Degrémont sortie'!$AJ$14:$AJ$379,"&lt;&gt;0",'Degrémont sortie'!$A$14:$A$379,"&gt;="&amp;B57,'Degrémont sortie'!$A$14:$A$379,"&lt;="&amp;EOMONTH(B57,0))</f>
        <v>#NAME?</v>
      </c>
      <c r="AC75" s="1142">
        <f>COUNTIFS('Degrémont sortie'!$AJ$14:$AJ$379,"&gt;="&amp;W75,'Degrémont sortie'!$A$14:$A$379,"&gt;="&amp;B57,'Degrémont sortie'!$A$14:$A$379,"&lt;="&amp;EOMONTH(B57,0))</f>
        <v>0</v>
      </c>
      <c r="AD75" s="1087">
        <f>AC75/X75</f>
        <v>0</v>
      </c>
      <c r="AE75" s="1082"/>
      <c r="AF75" s="1106"/>
      <c r="AG75" s="1106"/>
      <c r="AH75" s="1106"/>
      <c r="AI75" s="1106"/>
      <c r="AJ75" s="1106"/>
      <c r="AK75" s="1132"/>
      <c r="AL75" s="1106"/>
      <c r="AM75" s="1106"/>
      <c r="AN75" s="1106"/>
      <c r="AO75" s="1106"/>
      <c r="AP75" s="1119"/>
      <c r="AQ75" s="1132"/>
      <c r="AR75" s="1106"/>
      <c r="AS75" s="1106"/>
      <c r="AT75" s="1106"/>
      <c r="AU75" s="1106"/>
      <c r="AV75" s="1106"/>
      <c r="AW75" s="1119"/>
      <c r="AX75" s="1120"/>
      <c r="AY75" s="1094"/>
      <c r="AZ75" s="1095" t="e">
        <f t="shared" si="21"/>
        <v>#REF!</v>
      </c>
      <c r="BA75" s="2"/>
    </row>
    <row r="76" spans="1:53" ht="15.75" hidden="1" customHeight="1" outlineLevel="1">
      <c r="A76" s="1027"/>
      <c r="B76" s="1096"/>
      <c r="C76" s="1121" t="s">
        <v>169</v>
      </c>
      <c r="D76" s="1122">
        <f>Parametres!$D$25</f>
        <v>4</v>
      </c>
      <c r="E76" s="1068" t="e">
        <f>COUNTIFS(#REF!,"&gt;0",#REF!,"&gt;="&amp;B57,#REF!,"&lt;="&amp;EOMONTH(B57,0))</f>
        <v>#REF!</v>
      </c>
      <c r="F76" s="1069" t="e">
        <f>SUMIFS(#REF!,#REF!,"&lt;&gt;0",#REF!,"&gt;="&amp;B57,#REF!,"&lt;="&amp;EOMONTH(B57,0))</f>
        <v>#REF!</v>
      </c>
      <c r="G76" s="1069" t="e">
        <f t="shared" si="19"/>
        <v>#REF!</v>
      </c>
      <c r="H76" s="1070" t="e">
        <f ca="1">MINIFS(#REF!,#REF!,"&lt;&gt;0",#REF!,"&gt;="&amp;B57,#REF!,"&lt;="&amp;EOMONTH(B57,0))</f>
        <v>#NAME?</v>
      </c>
      <c r="I76" s="1078" t="e">
        <f ca="1">MAXIFS(#REF!,#REF!,"&lt;&gt;0",#REF!,"&gt;="&amp;B57,#REF!,"&lt;="&amp;EOMONTH(B57,0))</f>
        <v>#NAME?</v>
      </c>
      <c r="J76" s="1072" t="e">
        <f>COUNTIFS(#REF!,"&gt;="&amp;D76,#REF!,"&gt;="&amp;B57,#REF!,"&lt;="&amp;EOMONTH(B57,0))</f>
        <v>#REF!</v>
      </c>
      <c r="K76" s="1341" t="e">
        <f t="shared" si="26"/>
        <v>#REF!</v>
      </c>
      <c r="L76" s="1115"/>
      <c r="M76" s="1082"/>
      <c r="N76" s="1263"/>
      <c r="O76" s="1263"/>
      <c r="P76" s="1078"/>
      <c r="Q76" s="1078"/>
      <c r="R76" s="1078"/>
      <c r="S76" s="1078"/>
      <c r="T76" s="1264"/>
      <c r="U76" s="1264"/>
      <c r="V76" s="1082"/>
      <c r="W76" s="1106"/>
      <c r="X76" s="1106"/>
      <c r="Y76" s="1069"/>
      <c r="Z76" s="1069"/>
      <c r="AA76" s="1069"/>
      <c r="AB76" s="1069"/>
      <c r="AC76" s="1248"/>
      <c r="AD76" s="1249"/>
      <c r="AE76" s="1082"/>
      <c r="AF76" s="1106"/>
      <c r="AG76" s="1106"/>
      <c r="AH76" s="1106"/>
      <c r="AI76" s="1106"/>
      <c r="AJ76" s="1106"/>
      <c r="AK76" s="1132"/>
      <c r="AL76" s="1106"/>
      <c r="AM76" s="1106"/>
      <c r="AN76" s="1106"/>
      <c r="AO76" s="1106"/>
      <c r="AP76" s="1138"/>
      <c r="AQ76" s="1132"/>
      <c r="AR76" s="1106"/>
      <c r="AS76" s="1106"/>
      <c r="AT76" s="1106"/>
      <c r="AU76" s="1106"/>
      <c r="AV76" s="1106"/>
      <c r="AW76" s="1119"/>
      <c r="AX76" s="1120"/>
      <c r="AY76" s="1094"/>
      <c r="AZ76" s="1095" t="e">
        <f t="shared" si="21"/>
        <v>#REF!</v>
      </c>
      <c r="BA76" s="2"/>
    </row>
    <row r="77" spans="1:53" ht="15.75" hidden="1" customHeight="1" outlineLevel="1">
      <c r="A77" s="1027"/>
      <c r="B77" s="1096"/>
      <c r="C77" s="1139" t="s">
        <v>165</v>
      </c>
      <c r="D77" s="1122">
        <f>Parametres!$D$26</f>
        <v>10</v>
      </c>
      <c r="E77" s="1068" t="e">
        <f>COUNTIFS(#REF!,"&gt;0",#REF!,"&gt;="&amp;B57,#REF!,"&lt;="&amp;EOMONTH(B57,0))</f>
        <v>#REF!</v>
      </c>
      <c r="F77" s="1069" t="e">
        <f>SUMIFS(#REF!,#REF!,"&lt;&gt;0",#REF!,"&gt;="&amp;B57,#REF!,"&lt;="&amp;EOMONTH(B57,0))</f>
        <v>#REF!</v>
      </c>
      <c r="G77" s="1069" t="e">
        <f t="shared" si="19"/>
        <v>#REF!</v>
      </c>
      <c r="H77" s="1070" t="e">
        <f ca="1">MINIFS(#REF!,#REF!,"&lt;&gt;0",#REF!,"&gt;="&amp;B57,#REF!,"&lt;="&amp;EOMONTH(B57,0))</f>
        <v>#NAME?</v>
      </c>
      <c r="I77" s="1078" t="e">
        <f ca="1">MAXIFS(#REF!,#REF!,"&lt;&gt;0",#REF!,"&gt;="&amp;B57,#REF!,"&lt;="&amp;EOMONTH(B57,0))</f>
        <v>#NAME?</v>
      </c>
      <c r="J77" s="1114" t="e">
        <f>COUNTIFS(#REF!,"&gt;="&amp;D77,#REF!,"&gt;="&amp;B57,#REF!,"&lt;="&amp;EOMONTH(B57,0))</f>
        <v>#REF!</v>
      </c>
      <c r="K77" s="1341" t="e">
        <f t="shared" si="26"/>
        <v>#REF!</v>
      </c>
      <c r="L77" s="1115"/>
      <c r="M77" s="1075"/>
      <c r="N77" s="1265"/>
      <c r="O77" s="1265"/>
      <c r="P77" s="1266"/>
      <c r="Q77" s="1266"/>
      <c r="R77" s="1266"/>
      <c r="S77" s="1266"/>
      <c r="T77" s="1267"/>
      <c r="U77" s="1267"/>
      <c r="V77" s="1075"/>
      <c r="W77" s="1106"/>
      <c r="X77" s="1106"/>
      <c r="Y77" s="1069"/>
      <c r="Z77" s="1069"/>
      <c r="AA77" s="1069"/>
      <c r="AB77" s="1069"/>
      <c r="AC77" s="1248"/>
      <c r="AD77" s="1249"/>
      <c r="AE77" s="1082"/>
      <c r="AF77" s="1106"/>
      <c r="AG77" s="1106"/>
      <c r="AH77" s="1106"/>
      <c r="AI77" s="1106"/>
      <c r="AJ77" s="1106"/>
      <c r="AK77" s="1132"/>
      <c r="AL77" s="1106"/>
      <c r="AM77" s="1106"/>
      <c r="AN77" s="1106"/>
      <c r="AO77" s="1106"/>
      <c r="AP77" s="1138"/>
      <c r="AQ77" s="1132"/>
      <c r="AR77" s="1106"/>
      <c r="AS77" s="1106"/>
      <c r="AT77" s="1106"/>
      <c r="AU77" s="1106"/>
      <c r="AV77" s="1106"/>
      <c r="AW77" s="1119"/>
      <c r="AX77" s="1120"/>
      <c r="AY77" s="1094"/>
      <c r="AZ77" s="1095" t="e">
        <f t="shared" si="21"/>
        <v>#REF!</v>
      </c>
      <c r="BA77" s="2"/>
    </row>
    <row r="78" spans="1:53" ht="15.75" hidden="1" customHeight="1" outlineLevel="1">
      <c r="A78" s="1027"/>
      <c r="B78" s="1096"/>
      <c r="C78" s="1121" t="s">
        <v>23</v>
      </c>
      <c r="D78" s="1122">
        <f>Parametres!$D$27</f>
        <v>0.05</v>
      </c>
      <c r="E78" s="1068" t="e">
        <f>COUNTIFS(#REF!,"&gt;0",#REF!,"&gt;="&amp;B57,#REF!,"&lt;="&amp;EOMONTH(B57,0))</f>
        <v>#REF!</v>
      </c>
      <c r="F78" s="1069" t="e">
        <f>SUMIFS(#REF!,#REF!,"&lt;&gt;0",#REF!,"&gt;="&amp;B57,#REF!,"&lt;="&amp;EOMONTH(B57,0))</f>
        <v>#REF!</v>
      </c>
      <c r="G78" s="1069" t="e">
        <f t="shared" si="19"/>
        <v>#REF!</v>
      </c>
      <c r="H78" s="1070" t="e">
        <f ca="1">MINIFS(#REF!,#REF!,"&lt;&gt;0",#REF!,"&gt;="&amp;B57,#REF!,"&lt;="&amp;EOMONTH(B57,0))</f>
        <v>#NAME?</v>
      </c>
      <c r="I78" s="1078" t="e">
        <f ca="1">MAXIFS(#REF!,#REF!,"&lt;&gt;0",#REF!,"&gt;="&amp;B57,#REF!,"&lt;="&amp;EOMONTH(B57,0))</f>
        <v>#NAME?</v>
      </c>
      <c r="J78" s="1072" t="e">
        <f>COUNTIFS(#REF!,"&gt;="&amp;D78,#REF!,"&gt;="&amp;B57,#REF!,"&lt;="&amp;EOMONTH(B57,0))</f>
        <v>#REF!</v>
      </c>
      <c r="K78" s="1341" t="e">
        <f t="shared" si="26"/>
        <v>#REF!</v>
      </c>
      <c r="L78" s="1115"/>
      <c r="M78" s="1082"/>
      <c r="N78" s="1129"/>
      <c r="O78" s="1129"/>
      <c r="P78" s="1069"/>
      <c r="Q78" s="1069"/>
      <c r="R78" s="1069"/>
      <c r="S78" s="1069"/>
      <c r="T78" s="1143"/>
      <c r="U78" s="1143"/>
      <c r="V78" s="1132"/>
      <c r="W78" s="1106"/>
      <c r="X78" s="1106"/>
      <c r="Y78" s="1069"/>
      <c r="Z78" s="1069"/>
      <c r="AA78" s="1069"/>
      <c r="AB78" s="1069"/>
      <c r="AC78" s="1248"/>
      <c r="AD78" s="1249"/>
      <c r="AE78" s="1132"/>
      <c r="AF78" s="1106"/>
      <c r="AG78" s="1106"/>
      <c r="AH78" s="1106"/>
      <c r="AI78" s="1106"/>
      <c r="AJ78" s="1106"/>
      <c r="AK78" s="1132"/>
      <c r="AL78" s="1106"/>
      <c r="AM78" s="1106"/>
      <c r="AN78" s="1106"/>
      <c r="AO78" s="1106"/>
      <c r="AP78" s="1138"/>
      <c r="AQ78" s="1132"/>
      <c r="AR78" s="1106"/>
      <c r="AS78" s="1106"/>
      <c r="AT78" s="1106"/>
      <c r="AU78" s="1106"/>
      <c r="AV78" s="1106"/>
      <c r="AW78" s="1119"/>
      <c r="AX78" s="1120"/>
      <c r="AY78" s="1094"/>
      <c r="AZ78" s="1095" t="e">
        <f t="shared" si="21"/>
        <v>#REF!</v>
      </c>
      <c r="BA78" s="2"/>
    </row>
    <row r="79" spans="1:53" ht="15.75" hidden="1" customHeight="1" outlineLevel="1">
      <c r="A79" s="1027"/>
      <c r="B79" s="1096"/>
      <c r="C79" s="1139" t="s">
        <v>201</v>
      </c>
      <c r="D79" s="1122">
        <f>Parametres!$D$28</f>
        <v>8</v>
      </c>
      <c r="E79" s="1068" t="e">
        <f>COUNTIFS(#REF!,"&gt;0",#REF!,"&gt;="&amp;B57,#REF!,"&lt;="&amp;EOMONTH(B57,0))</f>
        <v>#REF!</v>
      </c>
      <c r="F79" s="1069" t="e">
        <f>SUMIFS(#REF!,#REF!,"&lt;&gt;0",#REF!,"&gt;="&amp;B57,#REF!,"&lt;="&amp;EOMONTH(B57,0))</f>
        <v>#REF!</v>
      </c>
      <c r="G79" s="1069" t="e">
        <f t="shared" si="19"/>
        <v>#REF!</v>
      </c>
      <c r="H79" s="1070" t="e">
        <f ca="1">MINIFS(#REF!,#REF!,"&lt;&gt;0",#REF!,"&gt;="&amp;B57,#REF!,"&lt;="&amp;EOMONTH(B57,0))</f>
        <v>#NAME?</v>
      </c>
      <c r="I79" s="1078" t="e">
        <f ca="1">MAXIFS(#REF!,#REF!,"&lt;&gt;0",#REF!,"&gt;="&amp;B57,#REF!,"&lt;="&amp;EOMONTH(B57,0))</f>
        <v>#NAME?</v>
      </c>
      <c r="J79" s="1114" t="e">
        <f>COUNTIFS(#REF!,"&gt;="&amp;D79,#REF!,"&gt;="&amp;B57,#REF!,"&lt;="&amp;EOMONTH(B57,0))</f>
        <v>#REF!</v>
      </c>
      <c r="K79" s="1341" t="e">
        <f t="shared" si="26"/>
        <v>#REF!</v>
      </c>
      <c r="L79" s="1115"/>
      <c r="M79" s="1082"/>
      <c r="N79" s="1171"/>
      <c r="O79" s="1171"/>
      <c r="P79" s="1173"/>
      <c r="Q79" s="1173"/>
      <c r="R79" s="1173"/>
      <c r="S79" s="1173"/>
      <c r="T79" s="1175"/>
      <c r="U79" s="1175"/>
      <c r="V79" s="1177"/>
      <c r="W79" s="1106"/>
      <c r="X79" s="1106"/>
      <c r="Y79" s="1069"/>
      <c r="Z79" s="1069"/>
      <c r="AA79" s="1069"/>
      <c r="AB79" s="1069"/>
      <c r="AC79" s="1248"/>
      <c r="AD79" s="1249"/>
      <c r="AE79" s="1082"/>
      <c r="AF79" s="1106"/>
      <c r="AG79" s="1106"/>
      <c r="AH79" s="1106"/>
      <c r="AI79" s="1106"/>
      <c r="AJ79" s="1106"/>
      <c r="AK79" s="1082"/>
      <c r="AL79" s="1205" t="e">
        <f>COUNTIFS(#REF!,"&gt;0",#REF!,"&gt;="&amp;B57,#REF!,"&lt;="&amp;EOMONTH(B57,0))</f>
        <v>#REF!</v>
      </c>
      <c r="AM79" s="1208" t="e">
        <f>SUMIFS(#REF!,#REF!,"&lt;&gt;0",#REF!,"&gt;="&amp;B57,#REF!,"&lt;="&amp;EOMONTH(B57,0))</f>
        <v>#REF!</v>
      </c>
      <c r="AN79" s="1208" t="e">
        <f>IF(AL79=0,0,AM79/AL79)</f>
        <v>#REF!</v>
      </c>
      <c r="AO79" s="1269" t="e">
        <f ca="1">MINIFS(#REF!,#REF!,"&lt;&gt;0",#REF!,"&gt;="&amp;B57,#REF!,"&lt;="&amp;EOMONTH(B57,0))</f>
        <v>#NAME?</v>
      </c>
      <c r="AP79" s="1269" t="e">
        <f ca="1">MAXIFS(#REF!,#REF!,"&lt;&gt;0",#REF!,"&gt;="&amp;B57,#REF!,"&lt;="&amp;EOMONTH(B57,0))</f>
        <v>#NAME?</v>
      </c>
      <c r="AQ79" s="1082"/>
      <c r="AR79" s="1220">
        <f>Parametres!$AM$28</f>
        <v>500</v>
      </c>
      <c r="AS79" s="1205" t="e">
        <f>COUNTIFS(#REF!,"&gt;0",#REF!,"&gt;="&amp;B57,#REF!,"&lt;="&amp;EOMONTH(B57,0))</f>
        <v>#REF!</v>
      </c>
      <c r="AT79" s="1208" t="e">
        <f>SUMIFS(#REF!,#REF!,"&lt;&gt;0",#REF!,"&gt;="&amp;B57,#REF!,"&lt;="&amp;EOMONTH(B57,0))</f>
        <v>#REF!</v>
      </c>
      <c r="AU79" s="1208" t="e">
        <f>IF(AS79=0,0,AT79/AS79)</f>
        <v>#REF!</v>
      </c>
      <c r="AV79" s="1208" t="e">
        <f ca="1">MINIFS(#REF!,#REF!,"&lt;&gt;0",#REF!,"&gt;="&amp;B57,#REF!,"&lt;="&amp;EOMONTH(B57,0))</f>
        <v>#NAME?</v>
      </c>
      <c r="AW79" s="1222" t="e">
        <f ca="1">MAXIFS(#REF!,#REF!,"&lt;&gt;0",#REF!,"&gt;="&amp;B57,#REF!,"&lt;="&amp;EOMONTH(B57,0))</f>
        <v>#NAME?</v>
      </c>
      <c r="AX79" s="1223" t="e">
        <f>COUNTIFS(#REF!,"&gt;="&amp;AR79,#REF!,"&gt;="&amp;B57,#REF!,"&lt;="&amp;EOMONTH(B57,0))</f>
        <v>#REF!</v>
      </c>
      <c r="AY79" s="1224" t="e">
        <f>AX79/AS79</f>
        <v>#REF!</v>
      </c>
      <c r="AZ79" s="1095" t="e">
        <f t="shared" si="21"/>
        <v>#REF!</v>
      </c>
      <c r="BA79" s="2"/>
    </row>
    <row r="80" spans="1:53" ht="15.75" hidden="1" customHeight="1" outlineLevel="1">
      <c r="A80" s="1027"/>
      <c r="B80" s="1096"/>
      <c r="C80" s="1121" t="s">
        <v>333</v>
      </c>
      <c r="D80" s="1122">
        <f>Parametres!$D$29</f>
        <v>0.3</v>
      </c>
      <c r="E80" s="1068" t="e">
        <f>COUNTIFS(#REF!,"&gt;0",#REF!,"&gt;="&amp;B57,#REF!,"&lt;="&amp;EOMONTH(B57,0))</f>
        <v>#REF!</v>
      </c>
      <c r="F80" s="1069" t="e">
        <f>SUMIFS(#REF!,#REF!,"&lt;&gt;0",#REF!,"&gt;="&amp;B57,#REF!,"&lt;="&amp;EOMONTH(B57,0))</f>
        <v>#REF!</v>
      </c>
      <c r="G80" s="1069" t="e">
        <f t="shared" si="19"/>
        <v>#REF!</v>
      </c>
      <c r="H80" s="1070" t="e">
        <f ca="1">MINIFS(#REF!,#REF!,"&lt;&gt;0",#REF!,"&gt;="&amp;B57,#REF!,"&lt;="&amp;EOMONTH(B57,0))</f>
        <v>#NAME?</v>
      </c>
      <c r="I80" s="1069" t="e">
        <f ca="1">MAXIFS(#REF!,#REF!,"&lt;&gt;0",#REF!,"&gt;="&amp;B57,#REF!,"&lt;="&amp;EOMONTH(B57,0))</f>
        <v>#NAME?</v>
      </c>
      <c r="J80" s="1072" t="e">
        <f>COUNTIFS(#REF!,"&gt;="&amp;D80,#REF!,"&gt;="&amp;B57,#REF!,"&lt;="&amp;EOMONTH(B57,0))</f>
        <v>#REF!</v>
      </c>
      <c r="K80" s="1341" t="e">
        <f t="shared" si="26"/>
        <v>#REF!</v>
      </c>
      <c r="L80" s="1099"/>
      <c r="M80" s="1132"/>
      <c r="N80" s="1102"/>
      <c r="O80" s="1102"/>
      <c r="P80" s="1069"/>
      <c r="Q80" s="1069"/>
      <c r="R80" s="1069"/>
      <c r="S80" s="1069"/>
      <c r="T80" s="1270"/>
      <c r="U80" s="1270"/>
      <c r="V80" s="1132"/>
      <c r="W80" s="1106"/>
      <c r="X80" s="1106"/>
      <c r="Y80" s="1069"/>
      <c r="Z80" s="1069"/>
      <c r="AA80" s="1069"/>
      <c r="AB80" s="1069"/>
      <c r="AC80" s="1248"/>
      <c r="AD80" s="1249"/>
      <c r="AE80" s="1132"/>
      <c r="AF80" s="1106"/>
      <c r="AG80" s="1106"/>
      <c r="AH80" s="1106"/>
      <c r="AI80" s="1106"/>
      <c r="AJ80" s="1106"/>
      <c r="AK80" s="1082"/>
      <c r="AL80" s="1117"/>
      <c r="AM80" s="1117"/>
      <c r="AN80" s="1117"/>
      <c r="AO80" s="1117"/>
      <c r="AP80" s="1117"/>
      <c r="AQ80" s="1082"/>
      <c r="AR80" s="1106"/>
      <c r="AS80" s="1106"/>
      <c r="AT80" s="1106"/>
      <c r="AU80" s="1106"/>
      <c r="AV80" s="1106"/>
      <c r="AW80" s="1119"/>
      <c r="AX80" s="1120"/>
      <c r="AY80" s="1094"/>
      <c r="AZ80" s="1095" t="e">
        <f t="shared" si="21"/>
        <v>#REF!</v>
      </c>
      <c r="BA80" s="2"/>
    </row>
    <row r="81" spans="1:53" ht="15.75" hidden="1" customHeight="1" outlineLevel="1">
      <c r="A81" s="1027"/>
      <c r="B81" s="1096"/>
      <c r="C81" s="1139" t="s">
        <v>46</v>
      </c>
      <c r="D81" s="1122">
        <f>Parametres!$D$30</f>
        <v>1</v>
      </c>
      <c r="E81" s="1068" t="e">
        <f>COUNTIFS(#REF!,"&gt;0",#REF!,"&gt;="&amp;B57,#REF!,"&lt;="&amp;EOMONTH(B57,0))</f>
        <v>#REF!</v>
      </c>
      <c r="F81" s="1069" t="e">
        <f>SUMIFS(#REF!,#REF!,"&lt;&gt;0",#REF!,"&gt;="&amp;B57,#REF!,"&lt;="&amp;EOMONTH(B57,0))</f>
        <v>#REF!</v>
      </c>
      <c r="G81" s="1069" t="e">
        <f t="shared" si="19"/>
        <v>#REF!</v>
      </c>
      <c r="H81" s="1070" t="e">
        <f ca="1">MINIFS(#REF!,#REF!,"&lt;&gt;0",#REF!,"&gt;="&amp;B57,#REF!,"&lt;="&amp;EOMONTH(B57,0))</f>
        <v>#NAME?</v>
      </c>
      <c r="I81" s="1266" t="e">
        <f ca="1">MAXIFS(#REF!,#REF!,"&lt;&gt;0",#REF!,"&gt;="&amp;B57,#REF!,"&lt;="&amp;EOMONTH(B57,0))</f>
        <v>#NAME?</v>
      </c>
      <c r="J81" s="1072" t="e">
        <f>COUNTIFS(#REF!,"&gt;="&amp;D81,#REF!,"&gt;="&amp;B57,#REF!,"&lt;="&amp;EOMONTH(B57,0))</f>
        <v>#REF!</v>
      </c>
      <c r="K81" s="1341" t="e">
        <f t="shared" si="26"/>
        <v>#REF!</v>
      </c>
      <c r="L81" s="1273"/>
      <c r="M81" s="1274"/>
      <c r="N81" s="1144">
        <f>Parametres!$L$30</f>
        <v>40</v>
      </c>
      <c r="O81" s="1077">
        <f>COUNTIFS('Degrémont Entrée'!$AV$14:$AV$379,"&gt;0",'Degrémont Entrée'!$A$14:$A$379,"&gt;="&amp;B57,'Degrémont Entrée'!$A$14:$A$379,"&lt;="&amp;EOMONTH(B57,0))</f>
        <v>4</v>
      </c>
      <c r="P81" s="1078">
        <f>SUMIFS('Degrémont Entrée'!$AV$14:$AV$379,'Degrémont Entrée'!$AV$14:$AV$379,"&lt;&gt;0",'Degrémont Entrée'!$A$14:$A$379,"&gt;="&amp;B57,'Degrémont Entrée'!$A$14:$A$379,"&lt;="&amp;EOMONTH(B57,0))</f>
        <v>85.84</v>
      </c>
      <c r="Q81" s="1266">
        <f t="shared" ref="Q81:Q82" si="27">IF(O81=0,0,P81/O81)</f>
        <v>21.46</v>
      </c>
      <c r="R81" s="1266" t="e">
        <f ca="1">MINIFS('Degrémont Entrée'!$AV$14:$AV$379,'Degrémont Entrée'!$AV$14:$AV$379,"&lt;&gt;0",'Degrémont Entrée'!$A$14:$A$379,"&gt;="&amp;B57,'Degrémont Entrée'!$A$14:$A$379,"&lt;="&amp;EOMONTH(B57,0))</f>
        <v>#NAME?</v>
      </c>
      <c r="S81" s="1266" t="e">
        <f ca="1">MAXIFS('Degrémont Entrée'!$AV$14:$AV$379,'Degrémont Entrée'!$AV$14:$AV$379,"&lt;&gt;0",'Degrémont Entrée'!$A$14:$A$379,"&gt;="&amp;B57,'Degrémont Entrée'!$A$14:$A$379,"&lt;="&amp;EOMONTH(B57,0))</f>
        <v>#NAME?</v>
      </c>
      <c r="T81" s="1276">
        <f>COUNTIFS('Degrémont Entrée'!$AV$14:$AV$379,"&gt;="&amp;N81,'Degrémont Entrée'!$A$14:$A$379,"&gt;="&amp;B57,'Degrémont Entrée'!$A$14:$A$379,"&lt;="&amp;EOMONTH(B57,0))</f>
        <v>0</v>
      </c>
      <c r="U81" s="1081">
        <f t="shared" ref="U81:U82" si="28">T81/O81</f>
        <v>0</v>
      </c>
      <c r="V81" s="1075"/>
      <c r="W81" s="1083">
        <f>Parametres!$T$30</f>
        <v>0.8</v>
      </c>
      <c r="X81" s="1142">
        <f>COUNTIFS('Degrémont sortie'!$AP$14:$AP$379,"&gt;0",'Degrémont sortie'!$A$14:$A$379,"&gt;="&amp;B57,'Degrémont sortie'!$A$14:$A$379,"&lt;="&amp;EOMONTH(B57,0))</f>
        <v>4</v>
      </c>
      <c r="Y81" s="1085">
        <f>SUMIFS('Degrémont sortie'!$AP$14:$AP$379,'Degrémont sortie'!$AP$14:$AP$379,"&lt;&gt;0",'Degrémont sortie'!$A$14:$A$379,"&gt;="&amp;B57,'Degrémont sortie'!$A$14:$A$379,"&lt;="&amp;EOMONTH(B57,0))</f>
        <v>0.69000000000000006</v>
      </c>
      <c r="Z81" s="1069">
        <f t="shared" ref="Z81:Z83" si="29">IF(X81=0,0,Y81/X81)</f>
        <v>0.17250000000000001</v>
      </c>
      <c r="AA81" s="1277" t="e">
        <f ca="1">MINIFS('Degrémont sortie'!$AP$14:$AP$379,'Degrémont sortie'!$AP$14:$AP$379,"&lt;&gt;0",'Degrémont sortie'!$A$14:$A$379,"&gt;="&amp;B57,'Degrémont sortie'!$A$14:$A$379,"&lt;="&amp;EOMONTH(B57,0))</f>
        <v>#NAME?</v>
      </c>
      <c r="AB81" s="1069" t="e">
        <f ca="1">MAXIFS('Degrémont sortie'!$AP$14:$AP$379,'Degrémont sortie'!$AP$14:$AP$379,"&lt;&gt;0",'Degrémont sortie'!$A$14:$A$379,"&gt;="&amp;B57,'Degrémont sortie'!$A$14:$A$379,"&lt;="&amp;EOMONTH(B57,0))</f>
        <v>#NAME?</v>
      </c>
      <c r="AC81" s="1142">
        <f>COUNTIFS('Degrémont sortie'!$AP$14:$AP$379,"&gt;="&amp;W81,'Degrémont sortie'!$A$14:$A$379,"&gt;="&amp;B57,'Degrémont sortie'!$A$14:$A$379,"&lt;="&amp;EOMONTH(B57,0))</f>
        <v>0</v>
      </c>
      <c r="AD81" s="1087">
        <f t="shared" ref="AD81:AD82" si="30">AC81/X81</f>
        <v>0</v>
      </c>
      <c r="AE81" s="1075"/>
      <c r="AF81" s="1278"/>
      <c r="AG81" s="1278"/>
      <c r="AH81" s="1278"/>
      <c r="AI81" s="1278"/>
      <c r="AJ81" s="1278"/>
      <c r="AK81" s="1279"/>
      <c r="AL81" s="1278"/>
      <c r="AM81" s="1278"/>
      <c r="AN81" s="1278"/>
      <c r="AO81" s="1278"/>
      <c r="AP81" s="1278"/>
      <c r="AQ81" s="1279"/>
      <c r="AR81" s="1278"/>
      <c r="AS81" s="1278"/>
      <c r="AT81" s="1278"/>
      <c r="AU81" s="1278"/>
      <c r="AV81" s="1278"/>
      <c r="AW81" s="1278"/>
      <c r="AX81" s="1280"/>
      <c r="AY81" s="1094"/>
      <c r="AZ81" s="1095" t="e">
        <f t="shared" si="21"/>
        <v>#REF!</v>
      </c>
      <c r="BA81" s="2"/>
    </row>
    <row r="82" spans="1:53" ht="15.75" hidden="1" customHeight="1" outlineLevel="1">
      <c r="A82" s="1027"/>
      <c r="B82" s="1096"/>
      <c r="C82" s="1139" t="s">
        <v>34</v>
      </c>
      <c r="D82" s="1122">
        <f>Parametres!$D$32</f>
        <v>400</v>
      </c>
      <c r="E82" s="1068" t="e">
        <f>COUNTIFS(#REF!,"&gt;0",#REF!,"&gt;="&amp;B57,#REF!,"&lt;="&amp;EOMONTH(B57,0))</f>
        <v>#REF!</v>
      </c>
      <c r="F82" s="1069" t="e">
        <f>SUMIFS(#REF!,#REF!,"&lt;&gt;0",#REF!,"&gt;="&amp;B57,#REF!,"&lt;="&amp;EOMONTH(B57,0))</f>
        <v>#REF!</v>
      </c>
      <c r="G82" s="1069" t="e">
        <f t="shared" si="19"/>
        <v>#REF!</v>
      </c>
      <c r="H82" s="1070" t="e">
        <f ca="1">MINIFS(#REF!,#REF!,"&lt;&gt;0",#REF!,"&gt;="&amp;B57,#REF!,"&lt;="&amp;EOMONTH(B57,0))</f>
        <v>#NAME?</v>
      </c>
      <c r="I82" s="1069" t="e">
        <f ca="1">MAXIFS(#REF!,#REF!,"&lt;&gt;0",#REF!,"&gt;="&amp;B57,#REF!,"&lt;="&amp;EOMONTH(B57,0))</f>
        <v>#NAME?</v>
      </c>
      <c r="J82" s="1114" t="e">
        <f>COUNTIFS(#REF!,"&gt;="&amp;D82,#REF!,"&gt;="&amp;B57,#REF!,"&lt;="&amp;EOMONTH(B57,0))</f>
        <v>#REF!</v>
      </c>
      <c r="K82" s="1341" t="e">
        <f t="shared" si="26"/>
        <v>#REF!</v>
      </c>
      <c r="L82" s="1281"/>
      <c r="M82" s="1282"/>
      <c r="N82" s="1144">
        <f>Parametres!$L$32</f>
        <v>4000</v>
      </c>
      <c r="O82" s="1077">
        <f>COUNTIFS('Degrémont Entrée'!$G$14:$G$379,"&gt;0",'Degrémont Entrée'!$A$14:$A$379,"&gt;="&amp;B57,'Degrémont Entrée'!$A$14:$A$379,"&lt;="&amp;EOMONTH(B57,0))</f>
        <v>25</v>
      </c>
      <c r="P82" s="1078">
        <f>SUMIFS('Degrémont Entrée'!$G$14:$G$379,'Degrémont Entrée'!$G$14:$G$379,"&lt;&gt;0",'Degrémont Entrée'!$A$14:$A$379,"&gt;="&amp;B57,'Degrémont Entrée'!$A$14:$A$379,"&lt;="&amp;EOMONTH(B57,0))</f>
        <v>114791.83799007621</v>
      </c>
      <c r="Q82" s="1283">
        <f t="shared" si="27"/>
        <v>4591.6735196030486</v>
      </c>
      <c r="R82" s="1069" t="e">
        <f ca="1">MINIFS('Degrémont Entrée'!$G$14:$G$379,'Degrémont Entrée'!$G$14:$G$379,"&lt;&gt;0",'Degrémont Entrée'!$A$14:$A$379,"&gt;="&amp;B57,'Degrémont Entrée'!$A$14:$A$379,"&lt;="&amp;EOMONTH(B57,0))</f>
        <v>#NAME?</v>
      </c>
      <c r="S82" s="1284" t="e">
        <f ca="1">MAXIFS('Degrémont Entrée'!$G$14:$G$379,'Degrémont Entrée'!$G$14:$G$379,"&lt;&gt;0",'Degrémont Entrée'!$A$14:$A$379,"&gt;="&amp;B57,'Degrémont Entrée'!$A$14:$A$379,"&lt;="&amp;EOMONTH(B57,0))</f>
        <v>#NAME?</v>
      </c>
      <c r="T82" s="1141">
        <f>COUNTIFS('Degrémont Entrée'!$G$14:$G$379,"&gt;="&amp;N82,'Degrémont Entrée'!$A$14:$A$379,"&gt;="&amp;B57,'Degrémont Entrée'!$A$14:$A$379,"&lt;="&amp;EOMONTH(B57,0))</f>
        <v>14</v>
      </c>
      <c r="U82" s="1081">
        <f t="shared" si="28"/>
        <v>0.56000000000000005</v>
      </c>
      <c r="V82" s="1285"/>
      <c r="W82" s="1083">
        <f>Parametres!$T$32</f>
        <v>55</v>
      </c>
      <c r="X82" s="1142">
        <f>COUNTIFS('Degrémont sortie'!$G$14:$G$379,"&gt;0",'Degrémont sortie'!$A$14:$A$379,"&gt;="&amp;B57,'Degrémont sortie'!$A$14:$A$379,"&lt;="&amp;EOMONTH(B57,0))</f>
        <v>25</v>
      </c>
      <c r="Y82" s="1085">
        <f>SUMIFS('Degrémont sortie'!$G$14:$G$379,'Degrémont sortie'!$G$14:$G$379,"&lt;&gt;0",'Degrémont sortie'!$A$14:$A$379,"&gt;="&amp;B57,'Degrémont sortie'!$A$14:$A$379,"&lt;="&amp;EOMONTH(B57,0))</f>
        <v>527.50000000000023</v>
      </c>
      <c r="Z82" s="1069">
        <f t="shared" si="29"/>
        <v>21.100000000000009</v>
      </c>
      <c r="AA82" s="1286" t="e">
        <f ca="1">MINIFS('Degrémont sortie'!$G$14:$G$379,'Degrémont sortie'!$G$14:G$379,"&lt;&gt;0",'Degrémont sortie'!$A$14:$A$379,"&gt;="&amp;B57,'Degrémont sortie'!$A$14:$A$379,"&lt;="&amp;EOMONTH(B57,0))</f>
        <v>#NAME?</v>
      </c>
      <c r="AB82" s="1286" t="e">
        <f ca="1">MAXIFS('Degrémont sortie'!$G$14:$G$379,'Degrémont sortie'!$G$14:$G$379,"&lt;&gt;0",'Degrémont sortie'!$A$14:$A$379,"&gt;="&amp;B57,'Degrémont sortie'!$A$14:$A$379,"&lt;="&amp;EOMONTH(B57,0))</f>
        <v>#NAME?</v>
      </c>
      <c r="AC82" s="1141">
        <f>COUNTIFS('Degrémont sortie'!$G$14:$G$379,"&gt;="&amp;W82,'Degrémont sortie'!$A$14:$A$379,"&gt;="&amp;B57,'Degrémont sortie'!$A$14:$A$379,"&lt;="&amp;EOMONTH(B57,0))</f>
        <v>0</v>
      </c>
      <c r="AD82" s="1087">
        <f t="shared" si="30"/>
        <v>0</v>
      </c>
      <c r="AE82" s="1285"/>
      <c r="AF82" s="1205" t="e">
        <f>COUNTIFS(#REF!,"&gt;0",#REF!,"&gt;="&amp;B57,#REF!,"&lt;="&amp;EOMONTH(B57,0))</f>
        <v>#REF!</v>
      </c>
      <c r="AG82" s="1208" t="e">
        <f>SUMIFS(#REF!,#REF!,"&lt;&gt;0",#REF!,"&gt;="&amp;B57,#REF!,"&lt;="&amp;EOMONTH(B57,0))</f>
        <v>#REF!</v>
      </c>
      <c r="AH82" s="1208" t="e">
        <f>IF(AF82=0,0,AG82/AF82)</f>
        <v>#REF!</v>
      </c>
      <c r="AI82" s="1208" t="e">
        <f ca="1">MINIFS(#REF!,#REF!,"&lt;&gt;0",#REF!,"&gt;="&amp;B57,#REF!,"&lt;="&amp;EOMONTH(B57,0))</f>
        <v>#NAME?</v>
      </c>
      <c r="AJ82" s="1208" t="e">
        <f ca="1">MAXIFS(#REF!,#REF!,"&lt;&gt;0",#REF!,"&gt;="&amp;B57,#REF!,"&lt;="&amp;EOMONTH(B57,0))</f>
        <v>#NAME?</v>
      </c>
      <c r="AK82" s="1285"/>
      <c r="AL82" s="1205" t="e">
        <f>COUNTIFS(#REF!,"&gt;0",#REF!,"&gt;="&amp;B57,#REF!,"&lt;="&amp;EOMONTH(B57,0))</f>
        <v>#REF!</v>
      </c>
      <c r="AM82" s="1208" t="e">
        <f>SUMIFS(#REF!,#REF!,"&lt;&gt;0",#REF!,"&gt;="&amp;B57,#REF!,"&lt;="&amp;EOMONTH(B57,0))</f>
        <v>#REF!</v>
      </c>
      <c r="AN82" s="1208" t="e">
        <f>IF(AL82=0,0,AM82/AL82)</f>
        <v>#REF!</v>
      </c>
      <c r="AO82" s="1141" t="e">
        <f ca="1">MINIFS(#REF!,#REF!,"&lt;&gt;0",#REF!,"&gt;="&amp;B57,#REF!,"&lt;="&amp;EOMONTH(B57,0))</f>
        <v>#NAME?</v>
      </c>
      <c r="AP82" s="1141" t="e">
        <f ca="1">MAXIFS(#REF!,#REF!,"&lt;&gt;0",#REF!,"&gt;="&amp;B57,#REF!,"&lt;="&amp;EOMONTH(B57,0))</f>
        <v>#NAME?</v>
      </c>
      <c r="AQ82" s="1285"/>
      <c r="AR82" s="1220">
        <f>Parametres!$AM$32</f>
        <v>2600</v>
      </c>
      <c r="AS82" s="1205" t="e">
        <f>COUNTIFS(#REF!,"&gt;0",#REF!,"&gt;="&amp;B57,#REF!,"&lt;="&amp;EOMONTH(B57,0))</f>
        <v>#REF!</v>
      </c>
      <c r="AT82" s="1208" t="e">
        <f>SUMIFS(#REF!,#REF!,"&lt;&gt;0",#REF!,"&gt;="&amp;B57,#REF!,"&lt;="&amp;EOMONTH(B57,0))</f>
        <v>#REF!</v>
      </c>
      <c r="AU82" s="1208" t="e">
        <f>IF(AS82=0,0,AT82/AS82)</f>
        <v>#REF!</v>
      </c>
      <c r="AV82" s="1287" t="e">
        <f ca="1">MINIFS(#REF!,#REF!,"&lt;&gt;0",#REF!,"&gt;="&amp;B57,#REF!,"&lt;="&amp;EOMONTH(B57,0))</f>
        <v>#NAME?</v>
      </c>
      <c r="AW82" s="1141" t="e">
        <f ca="1">MAXIFS(#REF!,#REF!,"&lt;&gt;0",#REF!,"&gt;="&amp;B57,#REF!,"&lt;="&amp;EOMONTH(B57,0))</f>
        <v>#NAME?</v>
      </c>
      <c r="AX82" s="1288" t="e">
        <f>COUNTIFS(#REF!,"&gt;="&amp;AR82,#REF!,"&gt;="&amp;B57,#REF!,"&lt;="&amp;EOMONTH(B57,0))</f>
        <v>#REF!</v>
      </c>
      <c r="AY82" s="1342" t="e">
        <f>AX82/AS82</f>
        <v>#REF!</v>
      </c>
      <c r="AZ82" s="1095" t="e">
        <f t="shared" si="21"/>
        <v>#REF!</v>
      </c>
      <c r="BA82" s="2"/>
    </row>
    <row r="83" spans="1:53" ht="15.75" hidden="1" customHeight="1" outlineLevel="1">
      <c r="A83" s="1027"/>
      <c r="B83" s="1096"/>
      <c r="C83" s="1139" t="s">
        <v>118</v>
      </c>
      <c r="D83" s="1122">
        <f>Parametres!$D$33</f>
        <v>75</v>
      </c>
      <c r="E83" s="1068" t="e">
        <f>COUNTIFS(#REF!,"&gt;0",#REF!,"&gt;="&amp;B57,#REF!,"&lt;="&amp;EOMONTH(B57,0))</f>
        <v>#REF!</v>
      </c>
      <c r="F83" s="1069" t="e">
        <f>SUMIFS(#REF!,#REF!,"&lt;&gt;0",#REF!,"&gt;="&amp;B57,#REF!,"&lt;="&amp;EOMONTH(B57,0))</f>
        <v>#REF!</v>
      </c>
      <c r="G83" s="1069" t="e">
        <f t="shared" si="19"/>
        <v>#REF!</v>
      </c>
      <c r="H83" s="1070" t="e">
        <f ca="1">MINIFS(#REF!,#REF!,"&lt;&gt;0",#REF!,"&gt;="&amp;B57,#REF!,"&lt;="&amp;EOMONTH(B57,0))</f>
        <v>#NAME?</v>
      </c>
      <c r="I83" s="1069" t="e">
        <f ca="1">MAXIFS(#REF!,#REF!,"&lt;&gt;0",#REF!,"&gt;="&amp;B57,#REF!,"&lt;="&amp;EOMONTH(B57,0))</f>
        <v>#NAME?</v>
      </c>
      <c r="J83" s="1114" t="e">
        <f>COUNTIFS(#REF!,"&gt;="&amp;D83,#REF!,"&gt;="&amp;B57,#REF!,"&lt;="&amp;EOMONTH(B57,0))</f>
        <v>#REF!</v>
      </c>
      <c r="K83" s="1341" t="e">
        <f t="shared" si="26"/>
        <v>#REF!</v>
      </c>
      <c r="L83" s="1281"/>
      <c r="M83" s="1289"/>
      <c r="N83" s="1290"/>
      <c r="O83" s="1290"/>
      <c r="P83" s="1286"/>
      <c r="Q83" s="1283"/>
      <c r="R83" s="1286"/>
      <c r="S83" s="1286"/>
      <c r="T83" s="1290"/>
      <c r="U83" s="1290"/>
      <c r="V83" s="1285"/>
      <c r="W83" s="1083">
        <f>Parametres!$T$33</f>
        <v>150</v>
      </c>
      <c r="X83" s="1142">
        <f>COUNTIFS('Degrémont sortie'!$X$14:$X$379,"&gt;0",'Degrémont sortie'!$A$14:$A$379,"&gt;="&amp;B57,'Degrémont sortie'!$A$14:$A$379,"&lt;="&amp;EOMONTH(B57,0))</f>
        <v>4</v>
      </c>
      <c r="Y83" s="1085">
        <f>SUMIFS('Degrémont sortie'!$X$14:$X$379,'Degrémont sortie'!$X$14:$X$379,"&lt;&gt;0",'Degrémont sortie'!$A$14:$A$379,"&gt;="&amp;B57,'Degrémont sortie'!$A$14:$A$379,"&lt;="&amp;EOMONTH(B57,0))</f>
        <v>47.5</v>
      </c>
      <c r="Z83" s="1069">
        <f t="shared" si="29"/>
        <v>11.875</v>
      </c>
      <c r="AA83" s="1286" t="e">
        <f ca="1">MINIFS('Degrémont sortie'!$X$14:$X$379,'Degrémont sortie'!$X$14:$X$379,"&lt;&gt;0",'Degrémont sortie'!$A$14:$A$379,"&gt;="&amp;B57,'Degrémont sortie'!$A$14:$A$379,"&lt;="&amp;EOMONTH(B57,0))</f>
        <v>#NAME?</v>
      </c>
      <c r="AB83" s="1286" t="e">
        <f ca="1">MAXIFS('Degrémont sortie'!$X$14:$X$379,'Degrémont sortie'!$X$14:$X$379,"&lt;&gt;0",'Degrémont sortie'!$A$14:$A$379,"&gt;="&amp;B57,'Degrémont sortie'!$A$14:$A$379,"&lt;="&amp;EOMONTH(B57,0))</f>
        <v>#NAME?</v>
      </c>
      <c r="AC83" s="1291" t="s">
        <v>153</v>
      </c>
      <c r="AD83" s="1292" t="s">
        <v>153</v>
      </c>
      <c r="AE83" s="1285"/>
      <c r="AF83" s="1293"/>
      <c r="AG83" s="1293"/>
      <c r="AH83" s="1293"/>
      <c r="AI83" s="1293"/>
      <c r="AJ83" s="1293"/>
      <c r="AK83" s="1285"/>
      <c r="AL83" s="1293"/>
      <c r="AM83" s="1293"/>
      <c r="AN83" s="1293"/>
      <c r="AO83" s="1293"/>
      <c r="AP83" s="1293"/>
      <c r="AQ83" s="1285"/>
      <c r="AR83" s="1293"/>
      <c r="AS83" s="1293"/>
      <c r="AT83" s="1293"/>
      <c r="AU83" s="1293"/>
      <c r="AV83" s="1293"/>
      <c r="AW83" s="1293"/>
      <c r="AX83" s="1294"/>
      <c r="AY83" s="1295"/>
      <c r="AZ83" s="1095" t="e">
        <f t="shared" si="21"/>
        <v>#REF!</v>
      </c>
      <c r="BA83" s="2"/>
    </row>
    <row r="84" spans="1:53" ht="15.75" hidden="1" customHeight="1" outlineLevel="1">
      <c r="A84" s="1027"/>
      <c r="B84" s="1096"/>
      <c r="C84" s="1139" t="s">
        <v>285</v>
      </c>
      <c r="D84" s="1122">
        <f>Parametres!$D$34</f>
        <v>10000000</v>
      </c>
      <c r="E84" s="1068" t="e">
        <f>COUNTIFS(#REF!,"&gt;0",#REF!,"&gt;="&amp;B57,#REF!,"&lt;="&amp;EOMONTH(B57,0))</f>
        <v>#REF!</v>
      </c>
      <c r="F84" s="1069" t="e">
        <f>SUMIFS(#REF!,#REF!,"&lt;&gt;0",#REF!,"&gt;="&amp;B57,#REF!,"&lt;="&amp;EOMONTH(B57,0))</f>
        <v>#REF!</v>
      </c>
      <c r="G84" s="1069" t="e">
        <f t="shared" si="19"/>
        <v>#REF!</v>
      </c>
      <c r="H84" s="1070" t="e">
        <f ca="1">MINIFS(#REF!,#REF!,"&lt;&gt;0",#REF!,"&gt;="&amp;B57,#REF!,"&lt;="&amp;EOMONTH(B57,0))</f>
        <v>#NAME?</v>
      </c>
      <c r="I84" s="1069" t="e">
        <f ca="1">MAXIFS(#REF!,#REF!,"&lt;&gt;0",#REF!,"&gt;="&amp;B57,#REF!,"&lt;="&amp;EOMONTH(B57,0))</f>
        <v>#NAME?</v>
      </c>
      <c r="J84" s="1072" t="s">
        <v>153</v>
      </c>
      <c r="K84" s="1072" t="s">
        <v>153</v>
      </c>
      <c r="L84" s="1281"/>
      <c r="M84" s="1289"/>
      <c r="N84" s="1290"/>
      <c r="O84" s="1290"/>
      <c r="P84" s="1286"/>
      <c r="Q84" s="1283"/>
      <c r="R84" s="1286"/>
      <c r="S84" s="1286"/>
      <c r="T84" s="1290"/>
      <c r="U84" s="1290"/>
      <c r="V84" s="1285"/>
      <c r="W84" s="1293"/>
      <c r="X84" s="1293"/>
      <c r="Y84" s="1286"/>
      <c r="Z84" s="1286"/>
      <c r="AA84" s="1286"/>
      <c r="AB84" s="1286"/>
      <c r="AC84" s="1293"/>
      <c r="AD84" s="1249"/>
      <c r="AE84" s="1285"/>
      <c r="AF84" s="1293"/>
      <c r="AG84" s="1293"/>
      <c r="AH84" s="1293"/>
      <c r="AI84" s="1293"/>
      <c r="AJ84" s="1293"/>
      <c r="AK84" s="1285"/>
      <c r="AL84" s="1293"/>
      <c r="AM84" s="1293"/>
      <c r="AN84" s="1293"/>
      <c r="AO84" s="1293"/>
      <c r="AP84" s="1293"/>
      <c r="AQ84" s="1285"/>
      <c r="AR84" s="1293"/>
      <c r="AS84" s="1293"/>
      <c r="AT84" s="1293"/>
      <c r="AU84" s="1293"/>
      <c r="AV84" s="1293"/>
      <c r="AW84" s="1293"/>
      <c r="AX84" s="1294"/>
      <c r="AY84" s="1295"/>
      <c r="AZ84" s="1095" t="e">
        <f t="shared" si="21"/>
        <v>#REF!</v>
      </c>
      <c r="BA84" s="2"/>
    </row>
    <row r="85" spans="1:53" ht="15.75" hidden="1" customHeight="1" outlineLevel="1">
      <c r="A85" s="1027"/>
      <c r="B85" s="1096"/>
      <c r="C85" s="1139" t="s">
        <v>48</v>
      </c>
      <c r="D85" s="1122">
        <f>Parametres!$D$35</f>
        <v>0.5</v>
      </c>
      <c r="E85" s="1068" t="e">
        <f>COUNTIFS(#REF!,"&gt;0",#REF!,"&gt;="&amp;B57,#REF!,"&lt;="&amp;EOMONTH(B57,0))</f>
        <v>#REF!</v>
      </c>
      <c r="F85" s="1069" t="e">
        <f>SUMIFS(#REF!,#REF!,"&lt;&gt;0",#REF!,"&gt;="&amp;B57,#REF!,"&lt;="&amp;EOMONTH(B57,0))</f>
        <v>#REF!</v>
      </c>
      <c r="G85" s="1069" t="e">
        <f t="shared" si="19"/>
        <v>#REF!</v>
      </c>
      <c r="H85" s="1070" t="e">
        <f ca="1">MINIFS(#REF!,#REF!,"&lt;&gt;0",#REF!,"&gt;="&amp;B57,#REF!,"&lt;="&amp;EOMONTH(B57,0))</f>
        <v>#NAME?</v>
      </c>
      <c r="I85" s="1069" t="e">
        <f ca="1">MAXIFS(#REF!,#REF!,"&lt;&gt;0",#REF!,"&gt;="&amp;B57,#REF!,"&lt;="&amp;EOMONTH(B57,0))</f>
        <v>#NAME?</v>
      </c>
      <c r="J85" s="1114" t="e">
        <f>COUNTIFS(#REF!,"&gt;="&amp;D85,#REF!,"&gt;="&amp;B57,#REF!,"&lt;="&amp;EOMONTH(B57,0))</f>
        <v>#REF!</v>
      </c>
      <c r="K85" s="1341" t="e">
        <f>J85/E85</f>
        <v>#REF!</v>
      </c>
      <c r="L85" s="1281"/>
      <c r="M85" s="1289"/>
      <c r="N85" s="1144">
        <f>Parametres!$L$35</f>
        <v>30</v>
      </c>
      <c r="O85" s="1077">
        <f>COUNTIFS('Degrémont Entrée'!$BB$14:$BB$379,"&gt;0",'Degrémont Entrée'!$A$14:$A$379,"&gt;="&amp;B57,'Degrémont Entrée'!$A$14:$A$379,"&lt;="&amp;EOMONTH(B57,0))</f>
        <v>4</v>
      </c>
      <c r="P85" s="1078">
        <f>SUMIFS('Degrémont Entrée'!$BB$14:$BB$379,'Degrémont Entrée'!$BB$14:$BB$379,"&lt;&gt;0",'Degrémont Entrée'!$A$14:$A$379,"&gt;="&amp;B57,'Degrémont Entrée'!$A$14:$A$379,"&lt;="&amp;EOMONTH(B57,0))</f>
        <v>4.4000000000000004</v>
      </c>
      <c r="Q85" s="1283">
        <f>IF(O85=0,0,P85/O85)</f>
        <v>1.1000000000000001</v>
      </c>
      <c r="R85" s="1286" t="e">
        <f ca="1">MINIFS('Degrémont Entrée'!$BB$14:$BB$379,'Degrémont Entrée'!$BB$14:$BB$379,"&lt;&gt;0",'Degrémont Entrée'!$A$14:$A$379,"&gt;="&amp;B57,'Degrémont Entrée'!$A$14:$A$379,"&lt;="&amp;EOMONTH(B57,0))</f>
        <v>#NAME?</v>
      </c>
      <c r="S85" s="1286" t="e">
        <f ca="1">MAXIFS('Degrémont Entrée'!$BB$14:$BB$379,'Degrémont Entrée'!$BB$14:$BB$379,"&lt;&gt;0",'Degrémont Entrée'!$A$14:$A$379,"&gt;="&amp;B57,'Degrémont Entrée'!$A$14:$A$379,"&lt;="&amp;EOMONTH(B57,0))</f>
        <v>#NAME?</v>
      </c>
      <c r="T85" s="1141">
        <f>COUNTIFS('Degrémont Entrée'!$BB$14:$BB$379,"&gt;="&amp;N85,'Degrémont Entrée'!$A$14:$A$379,"&gt;="&amp;B57,'Degrémont Entrée'!$A$14:$A$379,"&lt;="&amp;EOMONTH(B57,0))</f>
        <v>0</v>
      </c>
      <c r="U85" s="1081">
        <f>T85/O85</f>
        <v>0</v>
      </c>
      <c r="V85" s="1285"/>
      <c r="W85" s="1083">
        <f>Parametres!$T$35</f>
        <v>0.16</v>
      </c>
      <c r="X85" s="1142">
        <f>COUNTIFS('Degrémont sortie'!$AV$14:$AV$379,"&gt;0",'Degrémont sortie'!$A$14:$A$379,"&gt;="&amp;B57,'Degrémont sortie'!$A$14:$A$379,"&lt;="&amp;EOMONTH(B57,0))</f>
        <v>4</v>
      </c>
      <c r="Y85" s="1085">
        <f>SUMIFS('Degrémont sortie'!$AV$14:$AV$379,'Degrémont sortie'!$AV$14:$AV$379,"&lt;&gt;0",'Degrémont sortie'!$A$14:$A$379,"&gt;="&amp;B57,'Degrémont sortie'!$A$14:$A$379,"&lt;="&amp;EOMONTH(B57,0))</f>
        <v>0.6</v>
      </c>
      <c r="Z85" s="1069">
        <f t="shared" ref="Z85:Z87" si="31">IF(X85=0,0,Y85/X85)</f>
        <v>0.15</v>
      </c>
      <c r="AA85" s="1286" t="e">
        <f ca="1">MINIFS('Degrémont sortie'!$AV$14:$AV$379,'Degrémont sortie'!$AV$14:$AV$379,"&lt;&gt;0",'Degrémont sortie'!$A$14:$A$379,"&gt;="&amp;B57,'Degrémont sortie'!$A$14:$A$379,"&lt;="&amp;EOMONTH(B57,0))</f>
        <v>#NAME?</v>
      </c>
      <c r="AB85" s="1286" t="e">
        <f ca="1">MAXIFS('Degrémont sortie'!$AV$14:$AV$379,'Degrémont sortie'!$AV$14:$AV$379,"&lt;&gt;0",'Degrémont sortie'!$A$14:$A$379,"&gt;="&amp;B57,'Degrémont sortie'!$A$14:$A$379,"&lt;="&amp;EOMONTH(B57,0))</f>
        <v>#NAME?</v>
      </c>
      <c r="AC85" s="1141">
        <f>COUNTIFS('Degrémont sortie'!$AV$14:$AV$379,"&gt;="&amp;W85,'Degrémont sortie'!$A$14:$A$379,"&gt;="&amp;B57,'Degrémont sortie'!$A$14:$A$379,"&lt;="&amp;EOMONTH(B57,0))</f>
        <v>0</v>
      </c>
      <c r="AD85" s="1087">
        <f>AC85/X85</f>
        <v>0</v>
      </c>
      <c r="AE85" s="1285"/>
      <c r="AF85" s="1293"/>
      <c r="AG85" s="1293"/>
      <c r="AH85" s="1293"/>
      <c r="AI85" s="1293"/>
      <c r="AJ85" s="1293"/>
      <c r="AK85" s="1285"/>
      <c r="AL85" s="1293"/>
      <c r="AM85" s="1293"/>
      <c r="AN85" s="1293"/>
      <c r="AO85" s="1293"/>
      <c r="AP85" s="1293"/>
      <c r="AQ85" s="1285"/>
      <c r="AR85" s="1293"/>
      <c r="AS85" s="1293"/>
      <c r="AT85" s="1293"/>
      <c r="AU85" s="1293"/>
      <c r="AV85" s="1293"/>
      <c r="AW85" s="1293"/>
      <c r="AX85" s="1294"/>
      <c r="AY85" s="1295"/>
      <c r="AZ85" s="1095" t="e">
        <f t="shared" si="21"/>
        <v>#REF!</v>
      </c>
      <c r="BA85" s="2"/>
    </row>
    <row r="86" spans="1:53" ht="15.75" hidden="1" customHeight="1" outlineLevel="1">
      <c r="A86" s="1027"/>
      <c r="B86" s="1096"/>
      <c r="C86" s="1139" t="s">
        <v>39</v>
      </c>
      <c r="D86" s="1122">
        <f>Parametres!$D$36</f>
        <v>10000000</v>
      </c>
      <c r="E86" s="1068" t="e">
        <f>COUNTIFS(#REF!,"&gt;0",#REF!,"&gt;="&amp;B57,#REF!,"&lt;="&amp;EOMONTH(B57,0))</f>
        <v>#REF!</v>
      </c>
      <c r="F86" s="1069" t="e">
        <f>SUMIFS(#REF!,#REF!,"&lt;&gt;0",#REF!,"&gt;="&amp;B57,#REF!,"&lt;="&amp;EOMONTH(B57,0))</f>
        <v>#REF!</v>
      </c>
      <c r="G86" s="1069" t="e">
        <f t="shared" si="19"/>
        <v>#REF!</v>
      </c>
      <c r="H86" s="1070" t="e">
        <f ca="1">MINIFS(#REF!,#REF!,"&lt;&gt;0",#REF!,"&gt;="&amp;B57,#REF!,"&lt;="&amp;EOMONTH(B57,0))</f>
        <v>#NAME?</v>
      </c>
      <c r="I86" s="1277" t="e">
        <f ca="1">MAXIFS(#REF!,#REF!,"&lt;&gt;0",#REF!,"&gt;="&amp;B57,#REF!,"&lt;="&amp;EOMONTH(B57,0))</f>
        <v>#NAME?</v>
      </c>
      <c r="J86" s="1072" t="s">
        <v>153</v>
      </c>
      <c r="K86" s="1072" t="s">
        <v>153</v>
      </c>
      <c r="L86" s="1281"/>
      <c r="M86" s="1289"/>
      <c r="N86" s="1290"/>
      <c r="O86" s="1290"/>
      <c r="P86" s="1286"/>
      <c r="Q86" s="1286"/>
      <c r="R86" s="1286"/>
      <c r="S86" s="1286"/>
      <c r="T86" s="1290"/>
      <c r="U86" s="1290"/>
      <c r="V86" s="1285"/>
      <c r="W86" s="1083">
        <f>Parametres!$T$36</f>
        <v>100000000</v>
      </c>
      <c r="X86" s="1142">
        <f>COUNTIFS('Degrémont sortie'!$R$14:$R$379,"&gt;0",'Degrémont sortie'!$A$14:$A$379,"&gt;="&amp;B57,'Degrémont sortie'!$A$14:$A$379,"&lt;="&amp;EOMONTH(B57,0))</f>
        <v>0</v>
      </c>
      <c r="Y86" s="1085">
        <f>SUMIFS('Degrémont sortie'!$R$14:$R$379,'Degrémont sortie'!$R$14:$R$379,"&lt;&gt;0",'Degrémont sortie'!$A$14:$A$379,"&gt;="&amp;B57,'Degrémont sortie'!$A$14:$A$379,"&lt;="&amp;EOMONTH(B57,0))</f>
        <v>0</v>
      </c>
      <c r="Z86" s="1069">
        <f t="shared" si="31"/>
        <v>0</v>
      </c>
      <c r="AA86" s="1286" t="e">
        <f ca="1">MINIFS('Degrémont sortie'!$R$14:$R$379,'Degrémont sortie'!$R$14:$R$379,"&lt;&gt;0",'Degrémont sortie'!$A$14:$A$379,"&gt;="&amp;B57,'Degrémont sortie'!$A$14:$A$379,"&lt;="&amp;EOMONTH(B57,0))</f>
        <v>#NAME?</v>
      </c>
      <c r="AB86" s="1286" t="e">
        <f ca="1">MAXIFS('Degrémont sortie'!$R$14:$R$379,'Degrémont sortie'!$R$14:$R$379,"&lt;&gt;0",'Degrémont sortie'!$A$14:$A$379,"&gt;="&amp;B57,'Degrémont sortie'!$A$14:$A$379,"&lt;="&amp;EOMONTH(B57,0))</f>
        <v>#NAME?</v>
      </c>
      <c r="AC86" s="1291" t="s">
        <v>153</v>
      </c>
      <c r="AD86" s="1292" t="s">
        <v>153</v>
      </c>
      <c r="AE86" s="1285"/>
      <c r="AF86" s="1293"/>
      <c r="AG86" s="1293"/>
      <c r="AH86" s="1293"/>
      <c r="AI86" s="1293"/>
      <c r="AJ86" s="1293"/>
      <c r="AK86" s="1285"/>
      <c r="AL86" s="1293"/>
      <c r="AM86" s="1293"/>
      <c r="AN86" s="1293"/>
      <c r="AO86" s="1293"/>
      <c r="AP86" s="1293"/>
      <c r="AQ86" s="1285"/>
      <c r="AR86" s="1293"/>
      <c r="AS86" s="1293"/>
      <c r="AT86" s="1293"/>
      <c r="AU86" s="1293"/>
      <c r="AV86" s="1293"/>
      <c r="AW86" s="1293"/>
      <c r="AX86" s="1294"/>
      <c r="AY86" s="1295"/>
      <c r="AZ86" s="1095" t="e">
        <f t="shared" si="21"/>
        <v>#REF!</v>
      </c>
      <c r="BA86" s="2"/>
    </row>
    <row r="87" spans="1:53" ht="15.75" hidden="1" customHeight="1" outlineLevel="1">
      <c r="A87" s="1027"/>
      <c r="B87" s="1096"/>
      <c r="C87" s="1139" t="s">
        <v>40</v>
      </c>
      <c r="D87" s="1122">
        <f>Parametres!$D$37</f>
        <v>10000000</v>
      </c>
      <c r="E87" s="1068" t="e">
        <f>COUNTIFS(#REF!,"&gt;0",#REF!,"&gt;="&amp;B57,#REF!,"&lt;="&amp;EOMONTH(B57,0))</f>
        <v>#REF!</v>
      </c>
      <c r="F87" s="1069" t="e">
        <f>SUMIFS(#REF!,#REF!,"&lt;&gt;0",#REF!,"&gt;="&amp;B57,#REF!,"&lt;="&amp;EOMONTH(B57,0))</f>
        <v>#REF!</v>
      </c>
      <c r="G87" s="1069" t="e">
        <f t="shared" si="19"/>
        <v>#REF!</v>
      </c>
      <c r="H87" s="1070" t="e">
        <f ca="1">MINIFS(#REF!,#REF!,"&lt;&gt;0",#REF!,"&gt;="&amp;B57,#REF!,"&lt;="&amp;EOMONTH(B57,0))</f>
        <v>#NAME?</v>
      </c>
      <c r="I87" s="1069" t="e">
        <f ca="1">MAXIFS(#REF!,#REF!,"&lt;&gt;0",#REF!,"&gt;="&amp;B57,#REF!,"&lt;="&amp;EOMONTH(B57,0))</f>
        <v>#NAME?</v>
      </c>
      <c r="J87" s="1072" t="s">
        <v>153</v>
      </c>
      <c r="K87" s="1072" t="s">
        <v>153</v>
      </c>
      <c r="L87" s="1281"/>
      <c r="M87" s="1289"/>
      <c r="N87" s="1290"/>
      <c r="O87" s="1290"/>
      <c r="P87" s="1286"/>
      <c r="Q87" s="1286"/>
      <c r="R87" s="1286"/>
      <c r="S87" s="1286"/>
      <c r="T87" s="1290"/>
      <c r="U87" s="1290"/>
      <c r="V87" s="1285"/>
      <c r="W87" s="1083">
        <f>Parametres!$T$37</f>
        <v>100000000</v>
      </c>
      <c r="X87" s="1142">
        <f>COUNTIFS('Degrémont sortie'!$U$14:$U$379,"&gt;0",'Degrémont sortie'!$A$14:$A$379,"&gt;="&amp;B57,'Degrémont sortie'!$A$14:$A$379,"&lt;="&amp;EOMONTH(B57,0))</f>
        <v>0</v>
      </c>
      <c r="Y87" s="1085">
        <f>SUMIFS('Degrémont sortie'!$U$14:$U$379,'Degrémont sortie'!$U$14:$U$379,"&lt;&gt;0",'Degrémont sortie'!$A$14:$A$379,"&gt;="&amp;B57,'Degrémont sortie'!$A$14:$A$379,"&lt;="&amp;EOMONTH(B57,0))</f>
        <v>0</v>
      </c>
      <c r="Z87" s="1069">
        <f t="shared" si="31"/>
        <v>0</v>
      </c>
      <c r="AA87" s="1286" t="e">
        <f ca="1">MINIFS('Degrémont sortie'!$U$14:$U$379,'Degrémont sortie'!$U$14:$U$379,"&lt;&gt;0",'Degrémont sortie'!$A$14:$A$379,"&gt;="&amp;B57,'Degrémont sortie'!$A$14:$A$379,"&lt;="&amp;EOMONTH(B57,0))</f>
        <v>#NAME?</v>
      </c>
      <c r="AB87" s="1286" t="e">
        <f ca="1">MAXIFS('Degrémont sortie'!$U$14:$U$379,'Degrémont sortie'!$U$14:$U$379,"&lt;&gt;0",'Degrémont sortie'!$A$14:$A$379,"&gt;="&amp;B57,'Degrémont sortie'!$A$14:$A$379,"&lt;="&amp;EOMONTH(B57,0))</f>
        <v>#NAME?</v>
      </c>
      <c r="AC87" s="1291" t="s">
        <v>153</v>
      </c>
      <c r="AD87" s="1292" t="s">
        <v>153</v>
      </c>
      <c r="AE87" s="1285"/>
      <c r="AF87" s="1293"/>
      <c r="AG87" s="1293"/>
      <c r="AH87" s="1293"/>
      <c r="AI87" s="1293"/>
      <c r="AJ87" s="1293"/>
      <c r="AK87" s="1285"/>
      <c r="AL87" s="1293"/>
      <c r="AM87" s="1293"/>
      <c r="AN87" s="1293"/>
      <c r="AO87" s="1293"/>
      <c r="AP87" s="1293"/>
      <c r="AQ87" s="1285"/>
      <c r="AR87" s="1293"/>
      <c r="AS87" s="1293"/>
      <c r="AT87" s="1293"/>
      <c r="AU87" s="1293"/>
      <c r="AV87" s="1293"/>
      <c r="AW87" s="1293"/>
      <c r="AX87" s="1294"/>
      <c r="AY87" s="1295"/>
      <c r="AZ87" s="1095" t="e">
        <f t="shared" si="21"/>
        <v>#REF!</v>
      </c>
      <c r="BA87" s="2"/>
    </row>
    <row r="88" spans="1:53" ht="15.75" hidden="1" customHeight="1" outlineLevel="1">
      <c r="A88" s="1027"/>
      <c r="B88" s="1096"/>
      <c r="C88" s="1121" t="s">
        <v>15</v>
      </c>
      <c r="D88" s="1122">
        <f>Parametres!$D$38</f>
        <v>1000000</v>
      </c>
      <c r="E88" s="1068" t="e">
        <f>COUNTIFS(#REF!,"&gt;0",#REF!,"&gt;="&amp;B57,#REF!,"&lt;="&amp;EOMONTH(B57,0))</f>
        <v>#REF!</v>
      </c>
      <c r="F88" s="1069" t="e">
        <f>SUMIFS(#REF!,#REF!,"&lt;&gt;0",#REF!,"&gt;="&amp;B57,#REF!,"&lt;="&amp;EOMONTH(B57,0))</f>
        <v>#REF!</v>
      </c>
      <c r="G88" s="1069" t="e">
        <f t="shared" si="19"/>
        <v>#REF!</v>
      </c>
      <c r="H88" s="1070" t="e">
        <f ca="1">MINIFS(#REF!,#REF!,"&lt;&gt;0",#REF!,"&gt;="&amp;B57,#REF!,"&lt;="&amp;EOMONTH(B57,0))</f>
        <v>#NAME?</v>
      </c>
      <c r="I88" s="1069" t="e">
        <f ca="1">MAXIFS(#REF!,#REF!,"&lt;&gt;0",#REF!,"&gt;="&amp;B57,#REF!,"&lt;="&amp;EOMONTH(B57,0))</f>
        <v>#NAME?</v>
      </c>
      <c r="J88" s="1072" t="e">
        <f>COUNTIFS(#REF!,"&gt;="&amp;D88,#REF!,"&gt;="&amp;B57,#REF!,"&lt;="&amp;EOMONTH(B57,0))</f>
        <v>#REF!</v>
      </c>
      <c r="K88" s="1341" t="e">
        <f t="shared" ref="K88:K89" si="32">J88/E88</f>
        <v>#REF!</v>
      </c>
      <c r="L88" s="1281"/>
      <c r="M88" s="1289"/>
      <c r="N88" s="1290"/>
      <c r="O88" s="1290"/>
      <c r="P88" s="1286"/>
      <c r="Q88" s="1286"/>
      <c r="R88" s="1286"/>
      <c r="S88" s="1286"/>
      <c r="T88" s="1290"/>
      <c r="U88" s="1290"/>
      <c r="V88" s="1285"/>
      <c r="W88" s="1293"/>
      <c r="X88" s="1293"/>
      <c r="Y88" s="1286"/>
      <c r="Z88" s="1286"/>
      <c r="AA88" s="1286"/>
      <c r="AB88" s="1286"/>
      <c r="AC88" s="1293"/>
      <c r="AD88" s="1249"/>
      <c r="AE88" s="1285"/>
      <c r="AF88" s="1293"/>
      <c r="AG88" s="1293"/>
      <c r="AH88" s="1293"/>
      <c r="AI88" s="1293"/>
      <c r="AJ88" s="1293"/>
      <c r="AK88" s="1285"/>
      <c r="AL88" s="1293"/>
      <c r="AM88" s="1293"/>
      <c r="AN88" s="1293"/>
      <c r="AO88" s="1293"/>
      <c r="AP88" s="1293"/>
      <c r="AQ88" s="1285"/>
      <c r="AR88" s="1293"/>
      <c r="AS88" s="1293"/>
      <c r="AT88" s="1293"/>
      <c r="AU88" s="1293"/>
      <c r="AV88" s="1293"/>
      <c r="AW88" s="1293"/>
      <c r="AX88" s="1294"/>
      <c r="AY88" s="1295"/>
      <c r="AZ88" s="1095" t="e">
        <f t="shared" si="21"/>
        <v>#REF!</v>
      </c>
      <c r="BA88" s="2"/>
    </row>
    <row r="89" spans="1:53" ht="15.75" hidden="1" customHeight="1" outlineLevel="1">
      <c r="A89" s="1027"/>
      <c r="B89" s="1096"/>
      <c r="C89" s="1121" t="s">
        <v>170</v>
      </c>
      <c r="D89" s="1122">
        <f>Parametres!$D$40</f>
        <v>10000000</v>
      </c>
      <c r="E89" s="1068" t="e">
        <f>COUNTIFS(#REF!,"&gt;0",#REF!,"&gt;="&amp;B57,#REF!,"&lt;="&amp;EOMONTH(B57,0))</f>
        <v>#REF!</v>
      </c>
      <c r="F89" s="1069" t="e">
        <f>SUMIFS(#REF!,#REF!,"&lt;&gt;0",#REF!,"&gt;="&amp;B57,#REF!,"&lt;="&amp;EOMONTH(B57,0))</f>
        <v>#REF!</v>
      </c>
      <c r="G89" s="1069" t="e">
        <f t="shared" si="19"/>
        <v>#REF!</v>
      </c>
      <c r="H89" s="1070" t="e">
        <f ca="1">MINIFS(#REF!,#REF!,"&lt;&gt;0",#REF!,"&gt;="&amp;B57,#REF!,"&lt;="&amp;EOMONTH(B57,0))</f>
        <v>#NAME?</v>
      </c>
      <c r="I89" s="1069" t="e">
        <f ca="1">MAXIFS(#REF!,#REF!,"&lt;&gt;0",#REF!,"&gt;="&amp;B57,#REF!,"&lt;="&amp;EOMONTH(B57,0))</f>
        <v>#NAME?</v>
      </c>
      <c r="J89" s="1114" t="e">
        <f>COUNTIFS(#REF!,"&gt;="&amp;D89,#REF!,"&gt;="&amp;B58,#REF!,"&lt;="&amp;EOMONTH(B58,0))</f>
        <v>#REF!</v>
      </c>
      <c r="K89" s="1341" t="e">
        <f t="shared" si="32"/>
        <v>#REF!</v>
      </c>
      <c r="L89" s="1281"/>
      <c r="M89" s="1289"/>
      <c r="N89" s="1313"/>
      <c r="O89" s="1313"/>
      <c r="P89" s="1315"/>
      <c r="Q89" s="1317"/>
      <c r="R89" s="1286"/>
      <c r="S89" s="1286"/>
      <c r="T89" s="1290"/>
      <c r="U89" s="1290"/>
      <c r="V89" s="1285"/>
      <c r="W89" s="1293"/>
      <c r="X89" s="1293"/>
      <c r="Y89" s="1315"/>
      <c r="Z89" s="1286"/>
      <c r="AA89" s="1286"/>
      <c r="AB89" s="1286"/>
      <c r="AC89" s="1293"/>
      <c r="AD89" s="1249"/>
      <c r="AE89" s="1285"/>
      <c r="AF89" s="1293"/>
      <c r="AG89" s="1293"/>
      <c r="AH89" s="1293"/>
      <c r="AI89" s="1293"/>
      <c r="AJ89" s="1293"/>
      <c r="AK89" s="1285"/>
      <c r="AL89" s="1321"/>
      <c r="AM89" s="1293"/>
      <c r="AN89" s="1293"/>
      <c r="AO89" s="1293"/>
      <c r="AP89" s="1293"/>
      <c r="AQ89" s="1285"/>
      <c r="AR89" s="1293"/>
      <c r="AS89" s="1293"/>
      <c r="AT89" s="1293"/>
      <c r="AU89" s="1293"/>
      <c r="AV89" s="1293"/>
      <c r="AW89" s="1293"/>
      <c r="AX89" s="1294"/>
      <c r="AY89" s="1295"/>
      <c r="AZ89" s="1095"/>
      <c r="BA89" s="2"/>
    </row>
    <row r="90" spans="1:53" ht="15.75" hidden="1" customHeight="1" outlineLevel="1">
      <c r="A90" s="1027"/>
      <c r="B90" s="1096"/>
      <c r="C90" s="1139" t="s">
        <v>38</v>
      </c>
      <c r="D90" s="1122">
        <f>Parametres!$D$39</f>
        <v>1000000</v>
      </c>
      <c r="E90" s="1068" t="e">
        <f>COUNTIFS(#REF!,"&gt;0",#REF!,"&gt;="&amp;B57,#REF!,"&lt;="&amp;EOMONTH(B57,0))</f>
        <v>#REF!</v>
      </c>
      <c r="F90" s="1069" t="e">
        <f>SUMIFS(#REF!,#REF!,"&lt;&gt;0",#REF!,"&gt;="&amp;B57,#REF!,"&lt;="&amp;EOMONTH(B57,0))</f>
        <v>#REF!</v>
      </c>
      <c r="G90" s="1069" t="e">
        <f t="shared" si="19"/>
        <v>#REF!</v>
      </c>
      <c r="H90" s="1070" t="e">
        <f ca="1">MINIFS(#REF!,#REF!,"&lt;&gt;0",#REF!,"&gt;="&amp;B57,#REF!,"&lt;="&amp;EOMONTH(B57,0))</f>
        <v>#NAME?</v>
      </c>
      <c r="I90" s="1069" t="e">
        <f ca="1">MAXIFS(#REF!,#REF!,"&lt;&gt;0",#REF!,"&gt;="&amp;B57,#REF!,"&lt;="&amp;EOMONTH(B57,0))</f>
        <v>#NAME?</v>
      </c>
      <c r="J90" s="1072" t="s">
        <v>153</v>
      </c>
      <c r="K90" s="1072" t="s">
        <v>153</v>
      </c>
      <c r="L90" s="1281"/>
      <c r="M90" s="1289"/>
      <c r="N90" s="1328">
        <f>Parametres!$L$39</f>
        <v>100000</v>
      </c>
      <c r="O90" s="1077">
        <f>COUNTIF('Degrémont Entrée'!$U$14:$U$44,"&gt;0")</f>
        <v>4</v>
      </c>
      <c r="P90" s="1078">
        <f>SUMIFS('Degrémont Entrée'!$U$14:$U$379,'Degrémont Entrée'!$U$14:$U$379,"&lt;&gt;0",'Degrémont Entrée'!$A$14:$A$379,"&gt;="&amp;B57,'Degrémont Entrée'!$A$14:$A$379,"&lt;="&amp;EOMONTH(B57,0))</f>
        <v>219</v>
      </c>
      <c r="Q90" s="1283">
        <f t="shared" ref="Q90:Q93" si="33">IF(O90=0,0,P90/O90)</f>
        <v>54.75</v>
      </c>
      <c r="R90" s="1286" t="e">
        <f ca="1">MINIFS('Degrémont Entrée'!$U$14:$U$379,'Degrémont Entrée'!$U$14:$U$379,"&lt;&gt;0",'Degrémont Entrée'!$A$14:$A$379,"&gt;="&amp;B57,'Degrémont Entrée'!$A$14:$A$379,"&lt;="&amp;EOMONTH(B57,0))</f>
        <v>#NAME?</v>
      </c>
      <c r="S90" s="1286" t="e">
        <f ca="1">MAXIFS('Degrémont Entrée'!$U$14:$U$379,'Degrémont Entrée'!$U$14:$U$379,"&lt;&gt;0",'Degrémont Entrée'!$A$14:$A$379,"&gt;="&amp;B57,'Degrémont Entrée'!$A$14:$A$379,"&lt;="&amp;EOMONTH(B57,0))</f>
        <v>#NAME?</v>
      </c>
      <c r="T90" s="1291" t="s">
        <v>153</v>
      </c>
      <c r="U90" s="1291" t="s">
        <v>153</v>
      </c>
      <c r="V90" s="1285"/>
      <c r="W90" s="1083">
        <f>Parametres!T88</f>
        <v>0</v>
      </c>
      <c r="X90" s="1142">
        <f>COUNTIFS('Degrémont sortie'!$O$14:$O$379,"&gt;0",'Degrémont sortie'!$A$14:$A$379,"&gt;="&amp;B57,'Degrémont sortie'!$A$14:$A$379,"&lt;="&amp;EOMONTH(B57,0))</f>
        <v>4</v>
      </c>
      <c r="Y90" s="1085">
        <f>SUMIFS('Degrémont sortie'!$O$14:$O$379,'Degrémont sortie'!$O$14:$O$379,"&lt;&gt;0",'Degrémont sortie'!$A$14:$A$379,"&gt;="&amp;B57,'Degrémont sortie'!$A$14:$A$379,"&lt;="&amp;EOMONTH(B57,0))</f>
        <v>47.5</v>
      </c>
      <c r="Z90" s="1069">
        <f t="shared" ref="Z90:Z96" si="34">IF(X90=0,0,Y90/X90)</f>
        <v>11.875</v>
      </c>
      <c r="AA90" s="1286" t="e">
        <f ca="1">MINIFS('Degrémont sortie'!$O$14:$O$379,'Degrémont sortie'!$O$14:$O$379,"&lt;&gt;0",'Degrémont sortie'!$A$14:$A$379,"&gt;="&amp;B57,'Degrémont sortie'!$A$14:$A$379,"&lt;="&amp;EOMONTH(B57,0))</f>
        <v>#NAME?</v>
      </c>
      <c r="AB90" s="1286" t="e">
        <f ca="1">MAXIFS('Degrémont sortie'!$O$14:$O$379,'Degrémont sortie'!$O$14:$O$379,"&lt;&gt;0",'Degrémont sortie'!$A$14:$A$379,"&gt;="&amp;B57,'Degrémont sortie'!$A$14:$A$379,"&lt;="&amp;EOMONTH(B57,0))</f>
        <v>#NAME?</v>
      </c>
      <c r="AC90" s="1291" t="s">
        <v>153</v>
      </c>
      <c r="AD90" s="1292" t="s">
        <v>153</v>
      </c>
      <c r="AE90" s="1285"/>
      <c r="AF90" s="1293"/>
      <c r="AG90" s="1293"/>
      <c r="AH90" s="1293"/>
      <c r="AI90" s="1293"/>
      <c r="AJ90" s="1293"/>
      <c r="AK90" s="1285"/>
      <c r="AL90" s="1205" t="e">
        <f>COUNTIFS(#REF!,"&gt;0",#REF!,"&gt;="&amp;B57,#REF!,"&lt;="&amp;EOMONTH(B57,0))</f>
        <v>#REF!</v>
      </c>
      <c r="AM90" s="1208" t="e">
        <f>SUMIFS(#REF!,#REF!,"&lt;&gt;0",#REF!,"&gt;="&amp;B57,#REF!,"&lt;="&amp;EOMONTH(B57,0))</f>
        <v>#REF!</v>
      </c>
      <c r="AN90" s="1208" t="e">
        <f>IF(AL90=0,0,AM90/AL90)</f>
        <v>#REF!</v>
      </c>
      <c r="AO90" s="1141" t="e">
        <f ca="1">MINIFS(#REF!,#REF!,"&lt;&gt;0",#REF!,"&gt;="&amp;B57,#REF!,"&lt;="&amp;EOMONTH(B57,0))</f>
        <v>#NAME?</v>
      </c>
      <c r="AP90" s="1141" t="e">
        <f ca="1">MAXIFS(#REF!,#REF!,"&lt;&gt;0",#REF!,"&gt;="&amp;B57,#REF!,"&lt;="&amp;EOMONTH(B57,0))</f>
        <v>#NAME?</v>
      </c>
      <c r="AQ90" s="1285"/>
      <c r="AR90" s="1293"/>
      <c r="AS90" s="1293"/>
      <c r="AT90" s="1293"/>
      <c r="AU90" s="1293"/>
      <c r="AV90" s="1293"/>
      <c r="AW90" s="1293"/>
      <c r="AX90" s="1294"/>
      <c r="AY90" s="1295"/>
      <c r="AZ90" s="1095" t="e">
        <f t="shared" ref="AZ90:AZ102" si="35">SUM(E90+O90+X90+AF90+AL90+AS90)</f>
        <v>#REF!</v>
      </c>
      <c r="BA90" s="2"/>
    </row>
    <row r="91" spans="1:53" ht="15.75" hidden="1" customHeight="1" outlineLevel="1">
      <c r="A91" s="1027"/>
      <c r="B91" s="1096"/>
      <c r="C91" s="1139" t="s">
        <v>33</v>
      </c>
      <c r="D91" s="1122" t="str">
        <f>Parametres!$D$41</f>
        <v>5,5-8,5</v>
      </c>
      <c r="E91" s="1068" t="e">
        <f>COUNTIFS(#REF!,"&gt;0",#REF!,"&gt;="&amp;B57,#REF!,"&lt;="&amp;EOMONTH(B57,0))</f>
        <v>#REF!</v>
      </c>
      <c r="F91" s="1069" t="e">
        <f>SUMIFS(#REF!,#REF!,"&lt;&gt;0",#REF!,"&gt;="&amp;B57,#REF!,"&lt;="&amp;EOMONTH(B57,0))</f>
        <v>#REF!</v>
      </c>
      <c r="G91" s="1069" t="e">
        <f t="shared" si="19"/>
        <v>#REF!</v>
      </c>
      <c r="H91" s="1070" t="e">
        <f ca="1">MINIFS(#REF!,#REF!,"&lt;&gt;0",#REF!,"&gt;="&amp;B57,#REF!,"&lt;="&amp;EOMONTH(B57,0))</f>
        <v>#NAME?</v>
      </c>
      <c r="I91" s="1069" t="e">
        <f ca="1">MAXIFS(#REF!,#REF!,"&lt;&gt;0",#REF!,"&gt;="&amp;B57,#REF!,"&lt;="&amp;EOMONTH(B57,0))</f>
        <v>#NAME?</v>
      </c>
      <c r="J91" s="1114" t="e">
        <f>COUNTIFS(#REF!,"&lt;="&amp;D91,#REF!,"&gt;="&amp;B57,#REF!,"&lt;="&amp;EOMONTH(B57,0))</f>
        <v>#REF!</v>
      </c>
      <c r="K91" s="1341" t="e">
        <f t="shared" ref="K91:K93" si="36">J91/E91</f>
        <v>#REF!</v>
      </c>
      <c r="L91" s="1281"/>
      <c r="M91" s="1289"/>
      <c r="N91" s="1144">
        <f>Parametres!$L$41</f>
        <v>100000000</v>
      </c>
      <c r="O91" s="1077">
        <f>COUNTIFS('Degrémont Entrée'!$C$14:$C$379,"&gt;0",'Degrémont Entrée'!$A$14:$A$379,"&gt;="&amp;B57,'Degrémont Entrée'!$A$14:$A$379,"&lt;="&amp;EOMONTH(B57,0))</f>
        <v>25</v>
      </c>
      <c r="P91" s="1078">
        <f>SUMIFS('Degrémont Entrée'!$C$14:$C$379,'Degrémont Entrée'!$C$14:$C$379,"&lt;&gt;0",'Degrémont Entrée'!$A$14:$A$379,"&gt;="&amp;B57,'Degrémont Entrée'!$A$14:$A$379,"&lt;="&amp;EOMONTH(B57,0))</f>
        <v>195.60000000000002</v>
      </c>
      <c r="Q91" s="1283">
        <f t="shared" si="33"/>
        <v>7.8240000000000007</v>
      </c>
      <c r="R91" s="1286" t="e">
        <f ca="1">MINIFS('Degrémont Entrée'!$C$14:$C$379,'Degrémont Entrée'!$C$14:$C$379,"&lt;&gt;0",'Degrémont Entrée'!$A$14:$A$379,"&gt;="&amp;B57,'Degrémont Entrée'!$A$14:$A$379,"&lt;="&amp;EOMONTH(B57,0))</f>
        <v>#NAME?</v>
      </c>
      <c r="S91" s="1286" t="e">
        <f ca="1">MAXIFS('Degrémont Entrée'!$C$14:$C$379,'Degrémont Entrée'!$C$14:$C$379,"&lt;&gt;0",'Degrémont Entrée'!$A$14:$A$379,"&gt;="&amp;B57,'Degrémont Entrée'!$A$14:$A$379,"&lt;="&amp;EOMONTH(B57,0))</f>
        <v>#NAME?</v>
      </c>
      <c r="T91" s="1291" t="s">
        <v>153</v>
      </c>
      <c r="U91" s="1291" t="s">
        <v>153</v>
      </c>
      <c r="V91" s="1285"/>
      <c r="W91" s="1083">
        <f>Parametres!$T$41</f>
        <v>100000000</v>
      </c>
      <c r="X91" s="1142">
        <f>COUNTIFS('Degrémont sortie'!$C$14:$C$379,"&gt;0",'Degrémont sortie'!$A$14:$A$379,"&gt;="&amp;B57,'Degrémont sortie'!$A$14:$A$379,"&lt;="&amp;EOMONTH(B57,0))</f>
        <v>25</v>
      </c>
      <c r="Y91" s="1085">
        <f>SUMIFS('Degrémont sortie'!$C$14:$C$379,'Degrémont sortie'!$C$14:$C$379,"&lt;&gt;0",'Degrémont sortie'!$A$14:$A$379,"&gt;="&amp;B57,'Degrémont sortie'!$A$14:$A$379,"&lt;="&amp;EOMONTH(B57,0))</f>
        <v>218.89999999999995</v>
      </c>
      <c r="Z91" s="1069">
        <f t="shared" si="34"/>
        <v>8.7559999999999985</v>
      </c>
      <c r="AA91" s="1286" t="e">
        <f ca="1">MINIFS('Degrémont sortie'!$C$14:$C$379,'Degrémont sortie'!$C$14:$C$379,"&lt;&gt;0",'Degrémont sortie'!$A$14:$A$379,"&gt;="&amp;B57,'Degrémont sortie'!$A$14:$A$379,"&lt;="&amp;EOMONTH(B57,0))</f>
        <v>#NAME?</v>
      </c>
      <c r="AB91" s="1286" t="e">
        <f ca="1">MAXIFS('Degrémont sortie'!$C$14:$C$379,'Degrémont sortie'!$C$14:$C$379,"&lt;&gt;0",'Degrémont sortie'!$A$14:$A$379,"&gt;="&amp;B57,'Degrémont sortie'!$A$14:$A$379,"&lt;="&amp;EOMONTH(B57,0))</f>
        <v>#NAME?</v>
      </c>
      <c r="AC91" s="1291" t="s">
        <v>153</v>
      </c>
      <c r="AD91" s="1292" t="s">
        <v>153</v>
      </c>
      <c r="AE91" s="1285"/>
      <c r="AF91" s="1293"/>
      <c r="AG91" s="1293"/>
      <c r="AH91" s="1293"/>
      <c r="AI91" s="1293"/>
      <c r="AJ91" s="1293"/>
      <c r="AK91" s="1285"/>
      <c r="AL91" s="1293"/>
      <c r="AM91" s="1293"/>
      <c r="AN91" s="1293"/>
      <c r="AO91" s="1293"/>
      <c r="AP91" s="1293"/>
      <c r="AQ91" s="1285"/>
      <c r="AR91" s="1293"/>
      <c r="AS91" s="1293"/>
      <c r="AT91" s="1293"/>
      <c r="AU91" s="1293"/>
      <c r="AV91" s="1293"/>
      <c r="AW91" s="1293"/>
      <c r="AX91" s="1294"/>
      <c r="AY91" s="1295"/>
      <c r="AZ91" s="1095" t="e">
        <f t="shared" si="35"/>
        <v>#REF!</v>
      </c>
      <c r="BA91" s="2"/>
    </row>
    <row r="92" spans="1:53" ht="15.75" hidden="1" customHeight="1" outlineLevel="1">
      <c r="A92" s="1027"/>
      <c r="B92" s="1096"/>
      <c r="C92" s="1139" t="s">
        <v>49</v>
      </c>
      <c r="D92" s="1122">
        <f>Parametres!$D$42</f>
        <v>0.5</v>
      </c>
      <c r="E92" s="1068" t="e">
        <f>COUNTIFS(#REF!,"&gt;0",#REF!,"&gt;="&amp;B57,#REF!,"&lt;="&amp;EOMONTH(B57,0))</f>
        <v>#REF!</v>
      </c>
      <c r="F92" s="1069" t="e">
        <f>SUMIFS(#REF!,#REF!,"&lt;&gt;0",#REF!,"&gt;="&amp;B57,#REF!,"&lt;="&amp;EOMONTH(B57,0))</f>
        <v>#REF!</v>
      </c>
      <c r="G92" s="1069" t="e">
        <f t="shared" si="19"/>
        <v>#REF!</v>
      </c>
      <c r="H92" s="1070" t="e">
        <f ca="1">MINIFS(#REF!,#REF!,"&lt;&gt;0",#REF!,"&gt;="&amp;B57,#REF!,"&lt;="&amp;EOMONTH(B57,0))</f>
        <v>#NAME?</v>
      </c>
      <c r="I92" s="1069" t="e">
        <f ca="1">MAXIFS(#REF!,#REF!,"&lt;&gt;0",#REF!,"&gt;="&amp;B57,#REF!,"&lt;="&amp;EOMONTH(B57,0))</f>
        <v>#NAME?</v>
      </c>
      <c r="J92" s="1114" t="e">
        <f>COUNTIFS(#REF!,"&gt;="&amp;D92,#REF!,"&gt;="&amp;B57,#REF!,"&lt;="&amp;EOMONTH(B57,0))</f>
        <v>#REF!</v>
      </c>
      <c r="K92" s="1341" t="e">
        <f t="shared" si="36"/>
        <v>#REF!</v>
      </c>
      <c r="L92" s="1281"/>
      <c r="M92" s="1289"/>
      <c r="N92" s="1144">
        <f>Parametres!$L$42</f>
        <v>0.3</v>
      </c>
      <c r="O92" s="1077">
        <f>COUNTIFS('Degrémont Entrée'!$BE$14:$BE$379,"&gt;0",'Degrémont Entrée'!$A$14:$A$379,"&gt;="&amp;B57,'Degrémont Entrée'!$A$14:$A$379,"&lt;="&amp;EOMONTH(B57,0))</f>
        <v>4</v>
      </c>
      <c r="P92" s="1078">
        <f>SUMIFS('Degrémont Entrée'!$BE$14:$BE$379,'Degrémont Entrée'!$BE$14:$BE$379,"&lt;&gt;0",'Degrémont Entrée'!$A$14:$A$379,"&gt;="&amp;B57,'Degrémont Entrée'!$A$14:$A$379,"&lt;="&amp;EOMONTH(B57,0))</f>
        <v>0.52</v>
      </c>
      <c r="Q92" s="1283">
        <f t="shared" si="33"/>
        <v>0.13</v>
      </c>
      <c r="R92" s="1286" t="e">
        <f ca="1">MINIFS('Degrémont Entrée'!$BE$14:$BE$379,'Degrémont Entrée'!$BE$14:$BE$379,"&lt;&gt;0",'Degrémont Entrée'!$A$14:$A$379,"&gt;="&amp;B57,'Degrémont Entrée'!$A$14:$A$379,"&lt;="&amp;EOMONTH(B57,0))</f>
        <v>#NAME?</v>
      </c>
      <c r="S92" s="1286" t="e">
        <f ca="1">MAXIFS('Degrémont Entrée'!$BE$14:$BE$379,'Degrémont Entrée'!$BE$14:$BE$379,"&lt;&gt;0",'Degrémont Entrée'!$A$14:$A$379,"&gt;="&amp;B57,'Degrémont Entrée'!$A$14:$A$379,"&lt;="&amp;EOMONTH(B57,0))</f>
        <v>#NAME?</v>
      </c>
      <c r="T92" s="1141">
        <f>COUNTIFS('Degrémont Entrée'!$BE$14:$BE$379,"&gt;="&amp;N92,'Degrémont Entrée'!$A$14:$A$379,"&gt;="&amp;B57,'Degrémont Entrée'!$A$14:$A$379,"&lt;="&amp;EOMONTH(B57,0))</f>
        <v>0</v>
      </c>
      <c r="U92" s="1081">
        <f t="shared" ref="U92:U93" si="37">T92/O92</f>
        <v>0</v>
      </c>
      <c r="V92" s="1285"/>
      <c r="W92" s="1083">
        <f>Parametres!$T$42</f>
        <v>0.08</v>
      </c>
      <c r="X92" s="1142">
        <f>COUNTIFS('Degrémont sortie'!$AY$14:$AY$379,"&gt;0",'Degrémont sortie'!$A$14:$A$379,"&gt;="&amp;B57,'Degrémont sortie'!$A$14:$A$379,"&lt;="&amp;EOMONTH(B57,0))</f>
        <v>4</v>
      </c>
      <c r="Y92" s="1085">
        <f>SUMIFS('Degrémont sortie'!$AY$14:$AY$379,'Degrémont sortie'!$AY$14:$AY$379,"&lt;&gt;0",'Degrémont sortie'!$A$14:$A$379,"&gt;="&amp;B57,'Degrémont sortie'!$A$14:$A$379,"&lt;="&amp;EOMONTH(B57,0))</f>
        <v>0.52</v>
      </c>
      <c r="Z92" s="1069">
        <f t="shared" si="34"/>
        <v>0.13</v>
      </c>
      <c r="AA92" s="1286" t="e">
        <f ca="1">MINIFS('Degrémont sortie'!$AY$14:$AY$379,'Degrémont sortie'!$AY$14:$AY$379,"&lt;&gt;0",'Degrémont sortie'!$A$14:$A$379,"&gt;="&amp;B57,'Degrémont sortie'!$A$14:$A$379,"&lt;="&amp;EOMONTH(B57,0))</f>
        <v>#NAME?</v>
      </c>
      <c r="AB92" s="1286" t="e">
        <f ca="1">MAXIFS('Degrémont sortie'!$AY$14:$AY$379,'Degrémont sortie'!$AY$14:$AY$379,"&lt;&gt;0",'Degrémont sortie'!$A$14:$A$379,"&gt;="&amp;B57,'Degrémont sortie'!$A$14:$A$379,"&lt;="&amp;EOMONTH(B57,0))</f>
        <v>#NAME?</v>
      </c>
      <c r="AC92" s="1141">
        <f>COUNTIFS('Degrémont sortie'!$AY$14:$AY$379,"&gt;="&amp;W92,'Degrémont sortie'!$A$14:$A$379,"&gt;="&amp;B57,'Degrémont sortie'!$A$14:$A$379,"&lt;="&amp;EOMONTH(B57,0))</f>
        <v>4</v>
      </c>
      <c r="AD92" s="1087">
        <f t="shared" ref="AD92:AD93" si="38">AC92/X92</f>
        <v>1</v>
      </c>
      <c r="AE92" s="1285"/>
      <c r="AF92" s="1293"/>
      <c r="AG92" s="1293"/>
      <c r="AH92" s="1293"/>
      <c r="AI92" s="1293"/>
      <c r="AJ92" s="1293"/>
      <c r="AK92" s="1285"/>
      <c r="AL92" s="1293"/>
      <c r="AM92" s="1293"/>
      <c r="AN92" s="1293"/>
      <c r="AO92" s="1293"/>
      <c r="AP92" s="1293"/>
      <c r="AQ92" s="1285"/>
      <c r="AR92" s="1293"/>
      <c r="AS92" s="1293"/>
      <c r="AT92" s="1293"/>
      <c r="AU92" s="1293"/>
      <c r="AV92" s="1293"/>
      <c r="AW92" s="1293"/>
      <c r="AX92" s="1294"/>
      <c r="AY92" s="1295"/>
      <c r="AZ92" s="1095" t="e">
        <f t="shared" si="35"/>
        <v>#REF!</v>
      </c>
      <c r="BA92" s="2"/>
    </row>
    <row r="93" spans="1:53" ht="15.75" hidden="1" customHeight="1" outlineLevel="1">
      <c r="A93" s="1027"/>
      <c r="B93" s="1096"/>
      <c r="C93" s="1139" t="s">
        <v>37</v>
      </c>
      <c r="D93" s="1122">
        <f>Parametres!$D$43</f>
        <v>15</v>
      </c>
      <c r="E93" s="1069"/>
      <c r="F93" s="1069"/>
      <c r="G93" s="1069">
        <f t="shared" si="19"/>
        <v>0</v>
      </c>
      <c r="H93" s="1070" t="e">
        <f ca="1">MINIFS(#REF!,#REF!,"&lt;&gt;0",#REF!,"&gt;="&amp;B57,#REF!,"&lt;="&amp;EOMONTH(B57,0))</f>
        <v>#NAME?</v>
      </c>
      <c r="I93" s="1069" t="e">
        <f ca="1">MAXIFS(#REF!,#REF!,"&lt;&gt;0",#REF!,"&gt;="&amp;B57,#REF!,"&lt;="&amp;EOMONTH(B57,0))</f>
        <v>#NAME?</v>
      </c>
      <c r="J93" s="1114" t="e">
        <f>COUNTIFS(#REF!,"&gt;="&amp;D93,#REF!,"&gt;="&amp;B58,#REF!,"&lt;="&amp;EOMONTH(B58,0))</f>
        <v>#REF!</v>
      </c>
      <c r="K93" s="1341" t="e">
        <f t="shared" si="36"/>
        <v>#REF!</v>
      </c>
      <c r="L93" s="1281"/>
      <c r="M93" s="1289"/>
      <c r="N93" s="1144">
        <f>Parametres!$L$43</f>
        <v>500</v>
      </c>
      <c r="O93" s="1077">
        <f>COUNTIFS('Degrémont Entrée'!$S$14:$S$379,"&gt;0",'Degrémont Entrée'!$A$14:$A$379,"&gt;="&amp;B57,'Degrémont Entrée'!$A$14:$A$379,"&lt;="&amp;EOMONTH(B57,0))</f>
        <v>25</v>
      </c>
      <c r="P93" s="1078">
        <f>SUMIFS('Degrémont Entrée'!$S$14:$S$379,'Degrémont Entrée'!$S$14:$S$379,"&lt;&gt;0",'Degrémont Entrée'!$A$14:$A$379,"&gt;="&amp;B57,'Degrémont Entrée'!$A$14:$A$379,"&lt;="&amp;EOMONTH(B57,0))</f>
        <v>5407.3</v>
      </c>
      <c r="Q93" s="1283">
        <f t="shared" si="33"/>
        <v>216.292</v>
      </c>
      <c r="R93" s="1286" t="e">
        <f ca="1">MINIFS('Degrémont Entrée'!$S$14:$S$379,'Degrémont Entrée'!$S$14:$S$379,"&lt;&gt;0",'Degrémont Entrée'!$A$14:$A$379,"&gt;="&amp;B57,'Degrémont Entrée'!$A$14:$A$379,"&lt;="&amp;EOMONTH(B57,0))</f>
        <v>#NAME?</v>
      </c>
      <c r="S93" s="1286" t="e">
        <f ca="1">MAXIFS('Degrémont Entrée'!$S$14:$S$379,'Degrémont Entrée'!$S$14:$S$379,"&lt;&gt;0",'Degrémont Entrée'!$A$14:$A$379,"&gt;="&amp;B57,'Degrémont Entrée'!$A$14:$A$379,"&lt;="&amp;EOMONTH(B57,0))</f>
        <v>#NAME?</v>
      </c>
      <c r="T93" s="1141">
        <f>COUNTIFS('Degrémont Entrée'!$S$14:$S$379,"&gt;="&amp;N93,'Degrémont Entrée'!$A$14:$A$379,"&gt;="&amp;B57,'Degrémont Entrée'!$A$14:$A$379,"&lt;="&amp;EOMONTH(B57,0))</f>
        <v>0</v>
      </c>
      <c r="U93" s="1081">
        <f t="shared" si="37"/>
        <v>0</v>
      </c>
      <c r="V93" s="1285"/>
      <c r="W93" s="1083">
        <f>Parametres!$T$43</f>
        <v>20</v>
      </c>
      <c r="X93" s="1142">
        <f>COUNTIFS('Degrémont sortie'!$M$14:$M$379,"&gt;0",'Degrémont sortie'!$A$14:$A$379,"&gt;="&amp;B57,'Degrémont sortie'!$A$14:$A$379,"&lt;="&amp;EOMONTH(B57,0))</f>
        <v>25</v>
      </c>
      <c r="Y93" s="1085">
        <f>SUMIFS('Degrémont sortie'!$M$14:$M$379,'Degrémont sortie'!$M$14:$M$379,"&lt;&gt;0",'Degrémont sortie'!$A$14:$A$379,"&gt;="&amp;B57,'Degrémont sortie'!$A$14:$A$379,"&lt;="&amp;EOMONTH(B57,0))</f>
        <v>42.329999999999991</v>
      </c>
      <c r="Z93" s="1069">
        <f t="shared" si="34"/>
        <v>1.6931999999999996</v>
      </c>
      <c r="AA93" s="1286" t="e">
        <f ca="1">MINIFS('Degrémont sortie'!$M$14:$M$379,'Degrémont sortie'!$M$14:$M$379,"&lt;&gt;0",'Degrémont sortie'!$A$14:$A$379,"&gt;="&amp;B57,'Degrémont sortie'!$A$14:$A$379,"&lt;="&amp;EOMONTH(B57,0))</f>
        <v>#NAME?</v>
      </c>
      <c r="AB93" s="1286" t="e">
        <f ca="1">MAXIFS('Degrémont sortie'!$M$14:$M$379,'Degrémont sortie'!$M$14:$M$379,"&lt;&gt;0",'Degrémont sortie'!$A$14:$A$379,"&gt;="&amp;B57,'Degrémont sortie'!$A$14:$A$379,"&lt;="&amp;EOMONTH(B57,0))</f>
        <v>#NAME?</v>
      </c>
      <c r="AC93" s="1141">
        <f>COUNTIFS('Degrémont sortie'!$M$14:$M$379,"&gt;="&amp;W93,'Degrémont sortie'!$A$14:$A$379,"&gt;="&amp;B57,'Degrémont sortie'!$A$14:$A$379,"&lt;="&amp;EOMONTH(B57,0))</f>
        <v>0</v>
      </c>
      <c r="AD93" s="1087">
        <f t="shared" si="38"/>
        <v>0</v>
      </c>
      <c r="AE93" s="1285"/>
      <c r="AF93" s="1293"/>
      <c r="AG93" s="1293"/>
      <c r="AH93" s="1293"/>
      <c r="AI93" s="1293"/>
      <c r="AJ93" s="1293"/>
      <c r="AK93" s="1285"/>
      <c r="AL93" s="1205" t="e">
        <f>COUNTIFS(#REF!,"&gt;0",#REF!,"&gt;="&amp;B57,#REF!,"&lt;="&amp;EOMONTH(B57,0))</f>
        <v>#REF!</v>
      </c>
      <c r="AM93" s="1208" t="e">
        <f>SUMIFS(#REF!,#REF!,"&lt;&gt;0",#REF!,"&gt;="&amp;B57,#REF!,"&lt;="&amp;EOMONTH(B57,0))</f>
        <v>#REF!</v>
      </c>
      <c r="AN93" s="1208" t="e">
        <f t="shared" ref="AN93:AN95" si="39">IF(AL93=0,0,AM93/AL93)</f>
        <v>#REF!</v>
      </c>
      <c r="AO93" s="1141" t="e">
        <f ca="1">MINIFS(#REF!,#REF!,"&lt;&gt;0",#REF!,"&gt;="&amp;B57,#REF!,"&lt;="&amp;EOMONTH(B57,0))</f>
        <v>#NAME?</v>
      </c>
      <c r="AP93" s="1141" t="e">
        <f ca="1">MAXIFS(#REF!,#REF!,"&lt;&gt;0",#REF!,"&gt;="&amp;B57,#REF!,"&lt;="&amp;EOMONTH(B57,0))</f>
        <v>#NAME?</v>
      </c>
      <c r="AQ93" s="1285"/>
      <c r="AR93" s="1293"/>
      <c r="AS93" s="1293"/>
      <c r="AT93" s="1293"/>
      <c r="AU93" s="1293"/>
      <c r="AV93" s="1293"/>
      <c r="AW93" s="1293"/>
      <c r="AX93" s="1294"/>
      <c r="AY93" s="1295"/>
      <c r="AZ93" s="1095" t="e">
        <f t="shared" si="35"/>
        <v>#REF!</v>
      </c>
      <c r="BA93" s="2"/>
    </row>
    <row r="94" spans="1:53" ht="15.75" hidden="1" customHeight="1" outlineLevel="1">
      <c r="A94" s="1027"/>
      <c r="B94" s="1096"/>
      <c r="C94" s="1139" t="s">
        <v>301</v>
      </c>
      <c r="D94" s="1102"/>
      <c r="E94" s="1069"/>
      <c r="F94" s="1069"/>
      <c r="G94" s="1069"/>
      <c r="H94" s="1069"/>
      <c r="I94" s="1069"/>
      <c r="J94" s="1102"/>
      <c r="K94" s="1102"/>
      <c r="L94" s="1281"/>
      <c r="M94" s="1289"/>
      <c r="N94" s="1290"/>
      <c r="O94" s="1290"/>
      <c r="P94" s="1286"/>
      <c r="Q94" s="1283"/>
      <c r="R94" s="1286"/>
      <c r="S94" s="1286"/>
      <c r="T94" s="1290"/>
      <c r="U94" s="1290"/>
      <c r="V94" s="1285"/>
      <c r="W94" s="1083">
        <f>Parametres!$T$44</f>
        <v>100000</v>
      </c>
      <c r="X94" s="1329">
        <f>COUNTIFS('Degrémont sortie'!$BA$14:$BA$379,"&gt;0",'Degrémont sortie'!$A$14:$A$379,"&gt;="&amp;B57,'Degrémont sortie'!$A$14:$A$379,"&lt;="&amp;EOMONTH(B57,0))</f>
        <v>25</v>
      </c>
      <c r="Y94" s="1286" t="e">
        <f>SUMIFS('Degrémont sortie'!$BA$14:$BA$379,'Degrémont sortie'!$BA$14:$BA$379,"&lt;&gt;0",'Degrémont sortie'!$A$14:$A$379,"&gt;="&amp;B57,'Degrémont sortie'!$A$14:$A$379,"&lt;="&amp;EOMONTH(B57,0))</f>
        <v>#DIV/0!</v>
      </c>
      <c r="Z94" s="1069" t="e">
        <f t="shared" si="34"/>
        <v>#DIV/0!</v>
      </c>
      <c r="AA94" s="1286" t="e">
        <f ca="1">MINIFS('Degrémont sortie'!$BA$14:$BA$379,'Degrémont sortie'!$BA$14:$BA$379,"&lt;&gt;0",'Degrémont sortie'!$A$14:$A$379,"&gt;="&amp;B57,'Degrémont sortie'!$A$14:$A$379,"&lt;="&amp;EOMONTH(B57,0))</f>
        <v>#NAME?</v>
      </c>
      <c r="AB94" s="1286" t="e">
        <f ca="1">MAXIFS('Degrémont sortie'!$BA$14:$BA$379,'Degrémont sortie'!$BA$14:$BA$379,"&lt;&gt;0",'Degrémont sortie'!$A$14:$A$379,"&gt;="&amp;B57,'Degrémont sortie'!$A$14:$A$379,"&lt;="&amp;EOMONTH(B57,0))</f>
        <v>#NAME?</v>
      </c>
      <c r="AC94" s="1213" t="s">
        <v>153</v>
      </c>
      <c r="AD94" s="1330" t="s">
        <v>153</v>
      </c>
      <c r="AE94" s="1285"/>
      <c r="AF94" s="1293"/>
      <c r="AG94" s="1293"/>
      <c r="AH94" s="1293"/>
      <c r="AI94" s="1293"/>
      <c r="AJ94" s="1293"/>
      <c r="AK94" s="1285"/>
      <c r="AL94" s="1205" t="e">
        <f>COUNTIFS(#REF!,"&gt;0",#REF!,"&gt;="&amp;B57,#REF!,"&lt;="&amp;EOMONTH(B57,0))</f>
        <v>#REF!</v>
      </c>
      <c r="AM94" s="1208" t="e">
        <f>SUMIFS(#REF!,#REF!,"&lt;&gt;0",#REF!,"&gt;="&amp;B57,#REF!,"&lt;="&amp;EOMONTH(B57,0))</f>
        <v>#REF!</v>
      </c>
      <c r="AN94" s="1208" t="e">
        <f t="shared" si="39"/>
        <v>#REF!</v>
      </c>
      <c r="AO94" s="1208" t="e">
        <f ca="1">MINIFS(#REF!,#REF!,"&lt;&gt;0",#REF!,"&gt;="&amp;B57,#REF!,"&lt;="&amp;EOMONTH(B57,0))</f>
        <v>#NAME?</v>
      </c>
      <c r="AP94" s="1208" t="e">
        <f ca="1">MAXIFS(#REF!,#REF!,"&lt;&gt;0",#REF!,"&gt;="&amp;B57,#REF!,"&lt;="&amp;EOMONTH(B57,0))</f>
        <v>#NAME?</v>
      </c>
      <c r="AQ94" s="1285"/>
      <c r="AR94" s="1293"/>
      <c r="AS94" s="1293"/>
      <c r="AT94" s="1293"/>
      <c r="AU94" s="1293"/>
      <c r="AV94" s="1293"/>
      <c r="AW94" s="1293"/>
      <c r="AX94" s="1294"/>
      <c r="AY94" s="1295"/>
      <c r="AZ94" s="1095" t="e">
        <f t="shared" si="35"/>
        <v>#REF!</v>
      </c>
      <c r="BA94" s="2"/>
    </row>
    <row r="95" spans="1:53" ht="15.75" hidden="1" customHeight="1" outlineLevel="1">
      <c r="A95" s="1027"/>
      <c r="B95" s="1096"/>
      <c r="C95" s="1139" t="s">
        <v>302</v>
      </c>
      <c r="D95" s="1102"/>
      <c r="E95" s="1069"/>
      <c r="F95" s="1069"/>
      <c r="G95" s="1069"/>
      <c r="H95" s="1069"/>
      <c r="I95" s="1069"/>
      <c r="J95" s="1102"/>
      <c r="K95" s="1102"/>
      <c r="L95" s="1281"/>
      <c r="M95" s="1289"/>
      <c r="N95" s="1290"/>
      <c r="O95" s="1290"/>
      <c r="P95" s="1286"/>
      <c r="Q95" s="1283"/>
      <c r="R95" s="1286"/>
      <c r="S95" s="1286"/>
      <c r="T95" s="1290"/>
      <c r="U95" s="1290"/>
      <c r="V95" s="1285"/>
      <c r="W95" s="1083">
        <f>Parametres!$T$45</f>
        <v>10000</v>
      </c>
      <c r="X95" s="1331">
        <f>COUNTIFS('Degrémont sortie'!BB$14:BB$379,"&gt;0",'Degrémont sortie'!$A$14:$A$379,"&gt;="&amp;B57,'Degrémont sortie'!$A$14:$A$379,"&lt;="&amp;EOMONTH(B57,0))</f>
        <v>25</v>
      </c>
      <c r="Y95" s="1286" t="e">
        <f>SUMIFS('Degrémont sortie'!$BB$14:$BB$379,'Degrémont sortie'!$BB$14:$BB$379,"&lt;&gt;0",'Degrémont sortie'!$A$14:$A$379,"&gt;="&amp;B57,'Degrémont sortie'!$A$14:$A$379,"&lt;="&amp;EOMONTH(B57,0))</f>
        <v>#DIV/0!</v>
      </c>
      <c r="Z95" s="1069" t="e">
        <f t="shared" si="34"/>
        <v>#DIV/0!</v>
      </c>
      <c r="AA95" s="1286" t="e">
        <f ca="1">MINIFS('Degrémont sortie'!$BB$14:$BB$379,'Degrémont sortie'!$BB$14:$BB$379,"&lt;&gt;0",'Degrémont sortie'!$A$14:$A$379,"&gt;="&amp;B57,'Degrémont sortie'!$A$14:$A$379,"&lt;="&amp;EOMONTH(B57,0))</f>
        <v>#NAME?</v>
      </c>
      <c r="AB95" s="1286" t="e">
        <f ca="1">MAXIFS('Degrémont sortie'!$BB$14:$BB$379,'Degrémont sortie'!$BB$14:$BB$379,"&lt;&gt;0",'Degrémont sortie'!$A$14:$A$379,"&gt;="&amp;B57,'Degrémont sortie'!$A$14:$A$379,"&lt;="&amp;EOMONTH(B57,0))</f>
        <v>#NAME?</v>
      </c>
      <c r="AC95" s="1213" t="s">
        <v>153</v>
      </c>
      <c r="AD95" s="1330" t="s">
        <v>153</v>
      </c>
      <c r="AE95" s="1285"/>
      <c r="AF95" s="1293"/>
      <c r="AG95" s="1293"/>
      <c r="AH95" s="1293"/>
      <c r="AI95" s="1293"/>
      <c r="AJ95" s="1293"/>
      <c r="AK95" s="1285"/>
      <c r="AL95" s="1205" t="e">
        <f>COUNTIFS(#REF!,"&gt;0",#REF!,"&gt;="&amp;B57,#REF!,"&lt;="&amp;EOMONTH(B57,0))</f>
        <v>#REF!</v>
      </c>
      <c r="AM95" s="1208" t="e">
        <f>SUMIFS(#REF!,#REF!,"&lt;&gt;0",#REF!,"&gt;="&amp;B57,#REF!,"&lt;="&amp;EOMONTH(B57,0))</f>
        <v>#REF!</v>
      </c>
      <c r="AN95" s="1208" t="e">
        <f t="shared" si="39"/>
        <v>#REF!</v>
      </c>
      <c r="AO95" s="1208" t="e">
        <f ca="1">MINIFS(#REF!,#REF!,"&lt;&gt;0",#REF!,"&gt;="&amp;B57,#REF!,"&lt;="&amp;EOMONTH(B57,0))</f>
        <v>#NAME?</v>
      </c>
      <c r="AP95" s="1208" t="e">
        <f ca="1">MAXIFS(#REF!,#REF!,"&lt;&gt;0",#REF!,"&gt;="&amp;B57,#REF!,"&lt;="&amp;EOMONTH(B57,0))</f>
        <v>#NAME?</v>
      </c>
      <c r="AQ95" s="1285"/>
      <c r="AR95" s="1293"/>
      <c r="AS95" s="1293"/>
      <c r="AT95" s="1293"/>
      <c r="AU95" s="1293"/>
      <c r="AV95" s="1293"/>
      <c r="AW95" s="1293"/>
      <c r="AX95" s="1294"/>
      <c r="AY95" s="1295"/>
      <c r="AZ95" s="1095" t="e">
        <f t="shared" si="35"/>
        <v>#REF!</v>
      </c>
      <c r="BA95" s="2"/>
    </row>
    <row r="96" spans="1:53" ht="15.75" hidden="1" customHeight="1" outlineLevel="1">
      <c r="A96" s="1027"/>
      <c r="B96" s="1096"/>
      <c r="C96" s="1139" t="s">
        <v>303</v>
      </c>
      <c r="D96" s="1102"/>
      <c r="E96" s="1069"/>
      <c r="F96" s="1069"/>
      <c r="G96" s="1069"/>
      <c r="H96" s="1069"/>
      <c r="I96" s="1069"/>
      <c r="J96" s="1102"/>
      <c r="K96" s="1102"/>
      <c r="L96" s="1281"/>
      <c r="M96" s="1289"/>
      <c r="N96" s="1290"/>
      <c r="O96" s="1290"/>
      <c r="P96" s="1286"/>
      <c r="Q96" s="1283"/>
      <c r="R96" s="1286"/>
      <c r="S96" s="1286"/>
      <c r="T96" s="1290"/>
      <c r="U96" s="1290"/>
      <c r="V96" s="1285"/>
      <c r="W96" s="1083">
        <f>Parametres!$T$46</f>
        <v>10000</v>
      </c>
      <c r="X96" s="1142">
        <f>COUNTIFS('Degrémont sortie'!$BC$14:$BC$379,"&gt;0",'Degrémont sortie'!$A$14:$A$379,"&gt;="&amp;B57,'Degrémont sortie'!$A$14:$A$379,"&lt;="&amp;EOMONTH(B57,0))</f>
        <v>25</v>
      </c>
      <c r="Y96" s="1085">
        <f>SUMIFS('Degrémont sortie'!$BC$14:$BC$379,'Degrémont sortie'!$BC$14:$BC$379,"&lt;&gt;0",'Degrémont sortie'!$A$14:$A$379,"&gt;="&amp;B57,'Degrémont sortie'!$A$14:$A$379,"&lt;="&amp;EOMONTH(B57,0))</f>
        <v>2455.7324472401533</v>
      </c>
      <c r="Z96" s="1069">
        <f t="shared" si="34"/>
        <v>98.22929788960613</v>
      </c>
      <c r="AA96" s="1286" t="e">
        <f ca="1">MINIFS('Degrémont sortie'!$BC$14:$BC$379,'Degrémont sortie'!$BC$14:$BC$379,"&lt;&gt;0",'Degrémont sortie'!$A$14:$A$379,"&gt;="&amp;B57,'Degrémont sortie'!$A$14:$A$379,"&lt;="&amp;EOMONTH(B57,0))</f>
        <v>#NAME?</v>
      </c>
      <c r="AB96" s="1286" t="e">
        <f ca="1">MAXIFS('Degrémont sortie'!$BC$14:$BC$379,'Degrémont sortie'!$BC$14:$BC$379,"&lt;&gt;0",'Degrémont sortie'!$A$14:$A$379,"&gt;="&amp;B57,'Degrémont sortie'!$A$14:$A$379,"&lt;="&amp;EOMONTH(B57,0))</f>
        <v>#NAME?</v>
      </c>
      <c r="AC96" s="1291" t="s">
        <v>153</v>
      </c>
      <c r="AD96" s="1292" t="s">
        <v>153</v>
      </c>
      <c r="AE96" s="1285"/>
      <c r="AF96" s="1293"/>
      <c r="AG96" s="1293"/>
      <c r="AH96" s="1293"/>
      <c r="AI96" s="1293"/>
      <c r="AJ96" s="1293"/>
      <c r="AK96" s="1285"/>
      <c r="AL96" s="1293"/>
      <c r="AM96" s="1293"/>
      <c r="AN96" s="1293"/>
      <c r="AO96" s="1293"/>
      <c r="AP96" s="1293"/>
      <c r="AQ96" s="1285"/>
      <c r="AR96" s="1293"/>
      <c r="AS96" s="1293"/>
      <c r="AT96" s="1293"/>
      <c r="AU96" s="1293"/>
      <c r="AV96" s="1293"/>
      <c r="AW96" s="1293"/>
      <c r="AX96" s="1294"/>
      <c r="AY96" s="1295"/>
      <c r="AZ96" s="1095">
        <f t="shared" si="35"/>
        <v>25</v>
      </c>
      <c r="BA96" s="2"/>
    </row>
    <row r="97" spans="1:53" ht="15.75" hidden="1" customHeight="1" outlineLevel="1">
      <c r="A97" s="1027"/>
      <c r="B97" s="1096"/>
      <c r="C97" s="1139" t="s">
        <v>338</v>
      </c>
      <c r="D97" s="1102"/>
      <c r="E97" s="1069"/>
      <c r="F97" s="1069"/>
      <c r="G97" s="1069"/>
      <c r="H97" s="1069"/>
      <c r="I97" s="1069"/>
      <c r="J97" s="1102"/>
      <c r="K97" s="1102"/>
      <c r="L97" s="1281"/>
      <c r="M97" s="1289"/>
      <c r="N97" s="1290"/>
      <c r="O97" s="1290"/>
      <c r="P97" s="1286"/>
      <c r="Q97" s="1283"/>
      <c r="R97" s="1286"/>
      <c r="S97" s="1286"/>
      <c r="T97" s="1290"/>
      <c r="U97" s="1290"/>
      <c r="V97" s="1285"/>
      <c r="W97" s="1293"/>
      <c r="X97" s="1293"/>
      <c r="Y97" s="1286"/>
      <c r="Z97" s="1286"/>
      <c r="AA97" s="1286"/>
      <c r="AB97" s="1286"/>
      <c r="AC97" s="1293"/>
      <c r="AD97" s="1249"/>
      <c r="AE97" s="1285"/>
      <c r="AF97" s="1293"/>
      <c r="AG97" s="1293"/>
      <c r="AH97" s="1293"/>
      <c r="AI97" s="1293"/>
      <c r="AJ97" s="1293"/>
      <c r="AK97" s="1285"/>
      <c r="AL97" s="1293"/>
      <c r="AM97" s="1293"/>
      <c r="AN97" s="1293"/>
      <c r="AO97" s="1293"/>
      <c r="AP97" s="1293"/>
      <c r="AQ97" s="1285"/>
      <c r="AR97" s="1293"/>
      <c r="AS97" s="1293"/>
      <c r="AT97" s="1293"/>
      <c r="AU97" s="1293"/>
      <c r="AV97" s="1293"/>
      <c r="AW97" s="1293"/>
      <c r="AX97" s="1294"/>
      <c r="AY97" s="1295"/>
      <c r="AZ97" s="1095">
        <f t="shared" si="35"/>
        <v>0</v>
      </c>
      <c r="BA97" s="2"/>
    </row>
    <row r="98" spans="1:53" ht="15.75" hidden="1" customHeight="1" outlineLevel="1">
      <c r="A98" s="1027"/>
      <c r="B98" s="1096"/>
      <c r="C98" s="1139" t="s">
        <v>339</v>
      </c>
      <c r="D98" s="1122">
        <f>Parametres!$D$48</f>
        <v>30</v>
      </c>
      <c r="E98" s="1068" t="e">
        <f>COUNTIFS(#REF!,"&gt;0",#REF!,"&gt;="&amp;B57,#REF!,"&lt;="&amp;EOMONTH(B57,0))</f>
        <v>#REF!</v>
      </c>
      <c r="F98" s="1069" t="e">
        <f>SUMIFS(#REF!,#REF!,"&lt;&gt;0",#REF!,"&gt;="&amp;B57,#REF!,"&lt;="&amp;EOMONTH(B57,0))</f>
        <v>#REF!</v>
      </c>
      <c r="G98" s="1069" t="e">
        <f t="shared" ref="G98:G102" si="40">IF(E98=0,0,F98/E98)</f>
        <v>#REF!</v>
      </c>
      <c r="H98" s="1069" t="e">
        <f ca="1">MINIFS(#REF!,#REF!,"&lt;&gt;0",#REF!,"&gt;="&amp;B57,#REF!,"&lt;="&amp;EOMONTH(B57,0))</f>
        <v>#NAME?</v>
      </c>
      <c r="I98" s="1069" t="e">
        <f ca="1">MAXIFS(#REF!,#REF!,"&lt;&gt;0",#REF!,"&gt;="&amp;B57,#REF!,"&lt;="&amp;EOMONTH(B57,0))</f>
        <v>#NAME?</v>
      </c>
      <c r="J98" s="1114" t="e">
        <f>COUNTIFS(#REF!,"&gt;="&amp;D98,#REF!,"&gt;="&amp;B57,#REF!,"&lt;="&amp;EOMONTH(B57,0))</f>
        <v>#REF!</v>
      </c>
      <c r="K98" s="1341" t="e">
        <f t="shared" ref="K98:K102" si="41">J98/E98</f>
        <v>#REF!</v>
      </c>
      <c r="L98" s="1281"/>
      <c r="M98" s="1289"/>
      <c r="N98" s="1290"/>
      <c r="O98" s="1290"/>
      <c r="P98" s="1286"/>
      <c r="Q98" s="1283"/>
      <c r="R98" s="1286"/>
      <c r="S98" s="1286"/>
      <c r="T98" s="1290"/>
      <c r="U98" s="1290"/>
      <c r="V98" s="1285"/>
      <c r="W98" s="1293"/>
      <c r="X98" s="1293"/>
      <c r="Y98" s="1286"/>
      <c r="Z98" s="1286"/>
      <c r="AA98" s="1286"/>
      <c r="AB98" s="1286"/>
      <c r="AC98" s="1293"/>
      <c r="AD98" s="1249"/>
      <c r="AE98" s="1285"/>
      <c r="AF98" s="1293"/>
      <c r="AG98" s="1293"/>
      <c r="AH98" s="1293"/>
      <c r="AI98" s="1293"/>
      <c r="AJ98" s="1293"/>
      <c r="AK98" s="1285"/>
      <c r="AL98" s="1293"/>
      <c r="AM98" s="1293"/>
      <c r="AN98" s="1293"/>
      <c r="AO98" s="1293"/>
      <c r="AP98" s="1293"/>
      <c r="AQ98" s="1285"/>
      <c r="AR98" s="1293"/>
      <c r="AS98" s="1293"/>
      <c r="AT98" s="1293"/>
      <c r="AU98" s="1293"/>
      <c r="AV98" s="1293"/>
      <c r="AW98" s="1293"/>
      <c r="AX98" s="1294"/>
      <c r="AY98" s="1295"/>
      <c r="AZ98" s="1095" t="e">
        <f t="shared" si="35"/>
        <v>#REF!</v>
      </c>
      <c r="BA98" s="2"/>
    </row>
    <row r="99" spans="1:53" ht="15.75" hidden="1" customHeight="1" outlineLevel="1">
      <c r="A99" s="1027"/>
      <c r="B99" s="1096"/>
      <c r="C99" s="1302" t="s">
        <v>24</v>
      </c>
      <c r="D99" s="1122">
        <f>Parametres!$D$50</f>
        <v>4</v>
      </c>
      <c r="E99" s="1068" t="e">
        <f>COUNTIFS(#REF!,"&gt;0",#REF!,"&gt;="&amp;B57,#REF!,"&lt;="&amp;EOMONTH(B57,0))</f>
        <v>#REF!</v>
      </c>
      <c r="F99" s="1069" t="e">
        <f>SUMIFS(#REF!,#REF!,"&lt;&gt;0",#REF!,"&gt;="&amp;B57,#REF!,"&lt;="&amp;EOMONTH(B57,0))</f>
        <v>#REF!</v>
      </c>
      <c r="G99" s="1069" t="e">
        <f t="shared" si="40"/>
        <v>#REF!</v>
      </c>
      <c r="H99" s="1069" t="e">
        <f ca="1">MINIFS(#REF!,#REF!,"&lt;&gt;0",#REF!,"&gt;="&amp;B57,#REF!,"&lt;="&amp;EOMONTH(B57,0))</f>
        <v>#NAME?</v>
      </c>
      <c r="I99" s="1069" t="e">
        <f ca="1">MAXIFS(#REF!,#REF!,"&lt;&gt;0",#REF!,"&gt;="&amp;B57,#REF!,"&lt;="&amp;EOMONTH(B57,0))</f>
        <v>#NAME?</v>
      </c>
      <c r="J99" s="1114" t="e">
        <f>COUNTIFS(#REF!,"&gt;="&amp;D99,#REF!,"&gt;="&amp;B57,#REF!,"&lt;="&amp;EOMONTH(B57,0))</f>
        <v>#REF!</v>
      </c>
      <c r="K99" s="1341" t="e">
        <f t="shared" si="41"/>
        <v>#REF!</v>
      </c>
      <c r="L99" s="1281"/>
      <c r="M99" s="1289"/>
      <c r="N99" s="1290"/>
      <c r="O99" s="1290"/>
      <c r="P99" s="1286"/>
      <c r="Q99" s="1283"/>
      <c r="R99" s="1286"/>
      <c r="S99" s="1286"/>
      <c r="T99" s="1290"/>
      <c r="U99" s="1290"/>
      <c r="V99" s="1285"/>
      <c r="W99" s="1293"/>
      <c r="X99" s="1293"/>
      <c r="Y99" s="1286"/>
      <c r="Z99" s="1286"/>
      <c r="AA99" s="1286"/>
      <c r="AB99" s="1286"/>
      <c r="AC99" s="1293"/>
      <c r="AD99" s="1249"/>
      <c r="AE99" s="1285"/>
      <c r="AF99" s="1293"/>
      <c r="AG99" s="1293"/>
      <c r="AH99" s="1293"/>
      <c r="AI99" s="1293"/>
      <c r="AJ99" s="1293"/>
      <c r="AK99" s="1285"/>
      <c r="AL99" s="1293"/>
      <c r="AM99" s="1293"/>
      <c r="AN99" s="1293"/>
      <c r="AO99" s="1293"/>
      <c r="AP99" s="1293"/>
      <c r="AQ99" s="1285"/>
      <c r="AR99" s="1293"/>
      <c r="AS99" s="1293"/>
      <c r="AT99" s="1293"/>
      <c r="AU99" s="1293"/>
      <c r="AV99" s="1293"/>
      <c r="AW99" s="1293"/>
      <c r="AX99" s="1294"/>
      <c r="AY99" s="1295"/>
      <c r="AZ99" s="1095" t="e">
        <f t="shared" si="35"/>
        <v>#REF!</v>
      </c>
      <c r="BA99" s="2"/>
    </row>
    <row r="100" spans="1:53" ht="15.75" hidden="1" customHeight="1" outlineLevel="1">
      <c r="A100" s="1027"/>
      <c r="B100" s="1096"/>
      <c r="C100" s="1302" t="s">
        <v>168</v>
      </c>
      <c r="D100" s="1122" t="e">
        <f>#REF!</f>
        <v>#REF!</v>
      </c>
      <c r="E100" s="1068" t="e">
        <f>COUNTIFS(#REF!,"&gt;0",#REF!,"&gt;="&amp;B57,#REF!,"&lt;="&amp;EOMONTH(B57,0))</f>
        <v>#REF!</v>
      </c>
      <c r="F100" s="1069" t="e">
        <f>SUMIFS(#REF!,#REF!,"&lt;&gt;0",#REF!,"&gt;="&amp;B57,#REF!,"&lt;="&amp;EOMONTH(B57,0))</f>
        <v>#REF!</v>
      </c>
      <c r="G100" s="1069" t="e">
        <f t="shared" si="40"/>
        <v>#REF!</v>
      </c>
      <c r="H100" s="1069" t="e">
        <f ca="1">MINIFS(#REF!,#REF!,"&lt;&gt;0",#REF!,"&gt;="&amp;B57,#REF!,"&lt;="&amp;EOMONTH(B57,0))</f>
        <v>#NAME?</v>
      </c>
      <c r="I100" s="1069" t="e">
        <f ca="1">MAXIFS(#REF!,#REF!,"&lt;&gt;0",#REF!,"&gt;="&amp;B57,#REF!,"&lt;="&amp;EOMONTH(B57,0))</f>
        <v>#NAME?</v>
      </c>
      <c r="J100" s="1072" t="e">
        <f>COUNTIFS(#REF!,"&gt;="&amp;D100,#REF!,"&gt;="&amp;B57,#REF!,"&lt;="&amp;EOMONTH(B57,0))</f>
        <v>#REF!</v>
      </c>
      <c r="K100" s="1341" t="e">
        <f t="shared" si="41"/>
        <v>#REF!</v>
      </c>
      <c r="L100" s="1281"/>
      <c r="M100" s="1289"/>
      <c r="N100" s="1290"/>
      <c r="O100" s="1290"/>
      <c r="P100" s="1286"/>
      <c r="Q100" s="1283"/>
      <c r="R100" s="1286"/>
      <c r="S100" s="1286"/>
      <c r="T100" s="1290"/>
      <c r="U100" s="1290"/>
      <c r="V100" s="1285"/>
      <c r="W100" s="1293"/>
      <c r="X100" s="1293"/>
      <c r="Y100" s="1286"/>
      <c r="Z100" s="1286"/>
      <c r="AA100" s="1286"/>
      <c r="AB100" s="1286"/>
      <c r="AC100" s="1293"/>
      <c r="AD100" s="1249"/>
      <c r="AE100" s="1285"/>
      <c r="AF100" s="1293"/>
      <c r="AG100" s="1293"/>
      <c r="AH100" s="1293"/>
      <c r="AI100" s="1293"/>
      <c r="AJ100" s="1293"/>
      <c r="AK100" s="1285"/>
      <c r="AL100" s="1293"/>
      <c r="AM100" s="1293"/>
      <c r="AN100" s="1293"/>
      <c r="AO100" s="1293"/>
      <c r="AP100" s="1293"/>
      <c r="AQ100" s="1285"/>
      <c r="AR100" s="1293"/>
      <c r="AS100" s="1293"/>
      <c r="AT100" s="1293"/>
      <c r="AU100" s="1293"/>
      <c r="AV100" s="1293"/>
      <c r="AW100" s="1293"/>
      <c r="AX100" s="1294"/>
      <c r="AY100" s="1295"/>
      <c r="AZ100" s="1095" t="e">
        <f t="shared" si="35"/>
        <v>#REF!</v>
      </c>
      <c r="BA100" s="2"/>
    </row>
    <row r="101" spans="1:53" ht="15.75" hidden="1" customHeight="1" outlineLevel="1">
      <c r="A101" s="1027"/>
      <c r="B101" s="1096"/>
      <c r="C101" s="1302" t="s">
        <v>25</v>
      </c>
      <c r="D101" s="1122">
        <f>Parametres!$D$51</f>
        <v>1.5</v>
      </c>
      <c r="E101" s="1068" t="e">
        <f>COUNTIFS(#REF!,"&gt;0",#REF!,"&gt;="&amp;B57,#REF!,"&lt;="&amp;EOMONTH(B57,0))</f>
        <v>#REF!</v>
      </c>
      <c r="F101" s="1069" t="e">
        <f>SUMIFS(#REF!,#REF!,"&lt;&gt;0",#REF!,"&gt;="&amp;B57,#REF!,"&lt;="&amp;EOMONTH(B57,0))</f>
        <v>#REF!</v>
      </c>
      <c r="G101" s="1069" t="e">
        <f t="shared" si="40"/>
        <v>#REF!</v>
      </c>
      <c r="H101" s="1069" t="e">
        <f ca="1">MINIFS(#REF!,#REF!,"&lt;&gt;0",#REF!,"&gt;="&amp;B57,#REF!,"&lt;="&amp;EOMONTH(B57,0))</f>
        <v>#NAME?</v>
      </c>
      <c r="I101" s="1069" t="e">
        <f ca="1">MAXIFS(#REF!,#REF!,"&lt;&gt;0",#REF!,"&gt;="&amp;B57,#REF!,"&lt;="&amp;EOMONTH(B57,0))</f>
        <v>#NAME?</v>
      </c>
      <c r="J101" s="1114" t="e">
        <f>COUNTIFS(#REF!,"&gt;="&amp;D101,#REF!,"&gt;="&amp;B57,#REF!,"&lt;="&amp;EOMONTH(B57,0))</f>
        <v>#REF!</v>
      </c>
      <c r="K101" s="1341" t="e">
        <f t="shared" si="41"/>
        <v>#REF!</v>
      </c>
      <c r="L101" s="1281"/>
      <c r="M101" s="1289"/>
      <c r="N101" s="1290"/>
      <c r="O101" s="1290"/>
      <c r="P101" s="1286"/>
      <c r="Q101" s="1283"/>
      <c r="R101" s="1286"/>
      <c r="S101" s="1286"/>
      <c r="T101" s="1290"/>
      <c r="U101" s="1290"/>
      <c r="V101" s="1285"/>
      <c r="W101" s="1293"/>
      <c r="X101" s="1293"/>
      <c r="Y101" s="1286"/>
      <c r="Z101" s="1286"/>
      <c r="AA101" s="1286"/>
      <c r="AB101" s="1286"/>
      <c r="AC101" s="1293"/>
      <c r="AD101" s="1249"/>
      <c r="AE101" s="1285"/>
      <c r="AF101" s="1293"/>
      <c r="AG101" s="1293"/>
      <c r="AH101" s="1293"/>
      <c r="AI101" s="1293"/>
      <c r="AJ101" s="1293"/>
      <c r="AK101" s="1285"/>
      <c r="AL101" s="1293"/>
      <c r="AM101" s="1293"/>
      <c r="AN101" s="1293"/>
      <c r="AO101" s="1293"/>
      <c r="AP101" s="1293"/>
      <c r="AQ101" s="1285"/>
      <c r="AR101" s="1293"/>
      <c r="AS101" s="1293"/>
      <c r="AT101" s="1293"/>
      <c r="AU101" s="1293"/>
      <c r="AV101" s="1293"/>
      <c r="AW101" s="1293"/>
      <c r="AX101" s="1294"/>
      <c r="AY101" s="1295"/>
      <c r="AZ101" s="1095" t="e">
        <f t="shared" si="35"/>
        <v>#REF!</v>
      </c>
      <c r="BA101" s="2"/>
    </row>
    <row r="102" spans="1:53" ht="15.75" hidden="1" customHeight="1" outlineLevel="1">
      <c r="A102" s="1027"/>
      <c r="B102" s="1332"/>
      <c r="C102" s="1139" t="s">
        <v>47</v>
      </c>
      <c r="D102" s="1122">
        <f>Parametres!$D$52</f>
        <v>2</v>
      </c>
      <c r="E102" s="1068" t="e">
        <f>COUNTIFS(#REF!,"&gt;0",#REF!,"&gt;="&amp;B57,#REF!,"&lt;="&amp;EOMONTH(B57,0))</f>
        <v>#REF!</v>
      </c>
      <c r="F102" s="1069" t="e">
        <f>SUMIFS(#REF!,#REF!,"&lt;&gt;0",#REF!,"&gt;="&amp;B57,#REF!,"&lt;="&amp;EOMONTH(B57,0))</f>
        <v>#REF!</v>
      </c>
      <c r="G102" s="1069" t="e">
        <f t="shared" si="40"/>
        <v>#REF!</v>
      </c>
      <c r="H102" s="1069" t="e">
        <f ca="1">MINIFS(#REF!,#REF!,"&lt;&gt;0",#REF!,"&gt;="&amp;B57,#REF!,"&lt;="&amp;EOMONTH(B57,0))</f>
        <v>#NAME?</v>
      </c>
      <c r="I102" s="1069" t="e">
        <f ca="1">MAXIFS(#REF!,#REF!,"&lt;&gt;0",#REF!,"&gt;="&amp;B57,#REF!,"&lt;="&amp;EOMONTH(B57,0))</f>
        <v>#NAME?</v>
      </c>
      <c r="J102" s="1072" t="e">
        <f>COUNTIFS(#REF!,"&gt;="&amp;D102,#REF!,"&gt;="&amp;B57,#REF!,"&lt;="&amp;EOMONTH(B57,0))</f>
        <v>#REF!</v>
      </c>
      <c r="K102" s="1341" t="e">
        <f t="shared" si="41"/>
        <v>#REF!</v>
      </c>
      <c r="L102" s="1281"/>
      <c r="M102" s="1289"/>
      <c r="N102" s="1144">
        <f>Parametres!$L$52</f>
        <v>90</v>
      </c>
      <c r="O102" s="1077">
        <f>COUNTIFS('Degrémont Entrée'!$AY$14:$AY$379,"&gt;0",'Degrémont Entrée'!$A$14:$A$379,"&gt;="&amp;B57,'Degrémont Entrée'!$A$14:$A$379,"&lt;="&amp;EOMONTH(B57,0))</f>
        <v>4</v>
      </c>
      <c r="P102" s="1078">
        <f>SUMIFS('Degrémont Entrée'!$AY$14:$AY$379,'Degrémont Entrée'!$AY$14:$AY$379,"&lt;&gt;0",'Degrémont Entrée'!$A$14:$A$379,"&gt;="&amp;B57,'Degrémont Entrée'!$A$14:$A$379,"&lt;="&amp;EOMONTH(B57,0))</f>
        <v>832.8</v>
      </c>
      <c r="Q102" s="1283">
        <f>IF(O102=0,0,P102/O102)</f>
        <v>208.2</v>
      </c>
      <c r="R102" s="1286" t="e">
        <f ca="1">MINIFS('Degrémont Entrée'!$AY$14:$AY$379,'Degrémont Entrée'!$AY$14:$AY$379,"&lt;&gt;0",'Degrémont Entrée'!$A$14:$A$379,"&gt;="&amp;B57,'Degrémont Entrée'!$A$14:$A$379,"&lt;="&amp;EOMONTH(B57,0))</f>
        <v>#NAME?</v>
      </c>
      <c r="S102" s="1286" t="e">
        <f ca="1">MAXIFS('Degrémont Entrée'!$AY$14:$AY$379,'Degrémont Entrée'!$AY$14:$AY$379,"&lt;&gt;0",'Degrémont Entrée'!$A$14:$A$379,"&gt;="&amp;B57,'Degrémont Entrée'!$A$14:$A$379,"&lt;="&amp;EOMONTH(B57,0))</f>
        <v>#NAME?</v>
      </c>
      <c r="T102" s="1141">
        <f>COUNTIFS('Degrémont Entrée'!$AY$14:$AY$379,"&gt;="&amp;N102,'Degrémont Entrée'!$A$14:$A$379,"&gt;="&amp;B57,'Degrémont Entrée'!$A$14:$A$379,"&lt;="&amp;EOMONTH(B57,0))</f>
        <v>4</v>
      </c>
      <c r="U102" s="1081">
        <f>T102/O102</f>
        <v>1</v>
      </c>
      <c r="V102" s="1285"/>
      <c r="W102" s="1083">
        <f>Parametres!$T$52</f>
        <v>0.64</v>
      </c>
      <c r="X102" s="1142">
        <f>COUNTIFS('Degrémont sortie'!$AS$14:$AS$379,"&gt;0",'Degrémont sortie'!$A$14:$A$379,"&gt;="&amp;B57,'Degrémont sortie'!$A$14:$A$379,"&lt;="&amp;EOMONTH(B57,0))</f>
        <v>4</v>
      </c>
      <c r="Y102" s="1085">
        <f>SUMIFS('Degrémont sortie'!$AS$14:$AS$379,'Degrémont sortie'!$AS$14:$AS$379,"&lt;&gt;0",'Degrémont sortie'!$A$14:$A$379,"&gt;="&amp;B57,'Degrémont sortie'!$A$14:$A$379,"&lt;="&amp;EOMONTH(B57,0))</f>
        <v>1.46</v>
      </c>
      <c r="Z102" s="1069">
        <f>IF(X102=0,0,Y102/X102)</f>
        <v>0.36499999999999999</v>
      </c>
      <c r="AA102" s="1286" t="e">
        <f ca="1">MINIFS('Degrémont sortie'!$AS$14:$AS$379,'Degrémont sortie'!$AS$14:$AS$379,"&lt;&gt;0",'Degrémont sortie'!$A$14:$A$379,"&gt;="&amp;B57,'Degrémont sortie'!$A$14:$A$379,"&lt;="&amp;EOMONTH(B57,0))</f>
        <v>#NAME?</v>
      </c>
      <c r="AB102" s="1286" t="e">
        <f ca="1">MAXIFS('Degrémont sortie'!$AS$14:$AS$379,'Degrémont sortie'!$AS$14:$AS$379,"&lt;&gt;0",'Degrémont sortie'!$A$14:$A$379,"&gt;="&amp;B57,'Degrémont sortie'!$A$14:$A$379,"&lt;="&amp;EOMONTH(B57,0))</f>
        <v>#NAME?</v>
      </c>
      <c r="AC102" s="1141">
        <f>COUNTIFS('Degrémont sortie'!$AS$14:$AS$379,"&gt;="&amp;W102,'Degrémont sortie'!$A$14:$A$379,"&gt;="&amp;B57,'Degrémont sortie'!$A$14:$A$379,"&lt;="&amp;EOMONTH(B57,0))</f>
        <v>0</v>
      </c>
      <c r="AD102" s="1087">
        <f>AC102/X102</f>
        <v>0</v>
      </c>
      <c r="AE102" s="1285"/>
      <c r="AF102" s="1293"/>
      <c r="AG102" s="1293"/>
      <c r="AH102" s="1293"/>
      <c r="AI102" s="1293"/>
      <c r="AJ102" s="1293"/>
      <c r="AK102" s="1285"/>
      <c r="AL102" s="1293"/>
      <c r="AM102" s="1293"/>
      <c r="AN102" s="1293"/>
      <c r="AO102" s="1293"/>
      <c r="AP102" s="1293"/>
      <c r="AQ102" s="1285"/>
      <c r="AR102" s="1293"/>
      <c r="AS102" s="1293"/>
      <c r="AT102" s="1293"/>
      <c r="AU102" s="1293"/>
      <c r="AV102" s="1293"/>
      <c r="AW102" s="1293"/>
      <c r="AX102" s="1294"/>
      <c r="AY102" s="1295"/>
      <c r="AZ102" s="1095" t="e">
        <f t="shared" si="35"/>
        <v>#REF!</v>
      </c>
      <c r="BA102" s="2"/>
    </row>
    <row r="103" spans="1:53" ht="15.75" customHeight="1" collapsed="1">
      <c r="A103" s="1027"/>
      <c r="B103" s="1033"/>
      <c r="C103" s="2"/>
      <c r="D103" s="2"/>
      <c r="E103" s="1034"/>
      <c r="F103" s="1034"/>
      <c r="G103" s="1035"/>
      <c r="H103" s="1034"/>
      <c r="I103" s="1034"/>
      <c r="J103" s="2"/>
      <c r="K103" s="2"/>
      <c r="L103" s="2"/>
      <c r="M103" s="2"/>
      <c r="N103" s="2"/>
      <c r="O103" s="2"/>
      <c r="P103" s="1034"/>
      <c r="Q103" s="1034"/>
      <c r="R103" s="1034"/>
      <c r="S103" s="1034"/>
      <c r="T103" s="2"/>
      <c r="U103" s="2"/>
      <c r="V103" s="2"/>
      <c r="W103" s="2"/>
      <c r="X103" s="2"/>
      <c r="Y103" s="1034"/>
      <c r="Z103" s="1034"/>
      <c r="AA103" s="1034"/>
      <c r="AB103" s="1034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</row>
    <row r="104" spans="1:53" ht="15.75" hidden="1" customHeight="1" outlineLevel="1">
      <c r="A104" s="1027"/>
      <c r="B104" s="1033"/>
      <c r="C104" s="2"/>
      <c r="D104" s="1039"/>
      <c r="E104" s="1555" t="s">
        <v>283</v>
      </c>
      <c r="F104" s="1420"/>
      <c r="G104" s="1420"/>
      <c r="H104" s="1420"/>
      <c r="I104" s="1420"/>
      <c r="J104" s="1420"/>
      <c r="K104" s="1420"/>
      <c r="L104" s="1421"/>
      <c r="M104" s="1045"/>
      <c r="N104" s="1333"/>
      <c r="O104" s="1550" t="s">
        <v>288</v>
      </c>
      <c r="P104" s="1420"/>
      <c r="Q104" s="1420"/>
      <c r="R104" s="1420"/>
      <c r="S104" s="1420"/>
      <c r="T104" s="1421"/>
      <c r="U104" s="1334"/>
      <c r="V104" s="1046"/>
      <c r="W104" s="1335"/>
      <c r="X104" s="1549" t="s">
        <v>289</v>
      </c>
      <c r="Y104" s="1517"/>
      <c r="Z104" s="1517"/>
      <c r="AA104" s="1517"/>
      <c r="AB104" s="1517"/>
      <c r="AC104" s="1514"/>
      <c r="AD104" s="1335"/>
      <c r="AE104" s="1046"/>
      <c r="AF104" s="1549" t="s">
        <v>199</v>
      </c>
      <c r="AG104" s="1517"/>
      <c r="AH104" s="1517"/>
      <c r="AI104" s="1517"/>
      <c r="AJ104" s="1514"/>
      <c r="AK104" s="1046"/>
      <c r="AL104" s="1549" t="s">
        <v>200</v>
      </c>
      <c r="AM104" s="1517"/>
      <c r="AN104" s="1517"/>
      <c r="AO104" s="1517"/>
      <c r="AP104" s="1514"/>
      <c r="AQ104" s="1046"/>
      <c r="AR104" s="1335"/>
      <c r="AS104" s="1549" t="s">
        <v>290</v>
      </c>
      <c r="AT104" s="1517"/>
      <c r="AU104" s="1517"/>
      <c r="AV104" s="1517"/>
      <c r="AW104" s="1517"/>
      <c r="AX104" s="1514"/>
      <c r="AY104" s="1027"/>
      <c r="AZ104" s="2"/>
      <c r="BA104" s="2"/>
    </row>
    <row r="105" spans="1:53" ht="15.75" hidden="1" customHeight="1" outlineLevel="1">
      <c r="A105" s="1027"/>
      <c r="B105" s="1033"/>
      <c r="C105" s="2"/>
      <c r="D105" s="1336"/>
      <c r="E105" s="1048" t="s">
        <v>292</v>
      </c>
      <c r="F105" s="1049" t="s">
        <v>293</v>
      </c>
      <c r="G105" s="1050" t="s">
        <v>294</v>
      </c>
      <c r="H105" s="1049" t="s">
        <v>295</v>
      </c>
      <c r="I105" s="1051" t="s">
        <v>296</v>
      </c>
      <c r="J105" s="1063" t="s">
        <v>297</v>
      </c>
      <c r="K105" s="1337" t="s">
        <v>216</v>
      </c>
      <c r="L105" s="1338" t="s">
        <v>298</v>
      </c>
      <c r="M105" s="1055"/>
      <c r="N105" s="1056" t="s">
        <v>291</v>
      </c>
      <c r="O105" s="1057" t="s">
        <v>292</v>
      </c>
      <c r="P105" s="1051" t="s">
        <v>293</v>
      </c>
      <c r="Q105" s="1058" t="s">
        <v>294</v>
      </c>
      <c r="R105" s="1051" t="s">
        <v>295</v>
      </c>
      <c r="S105" s="1051" t="s">
        <v>296</v>
      </c>
      <c r="T105" s="1059" t="s">
        <v>299</v>
      </c>
      <c r="U105" s="1060" t="s">
        <v>216</v>
      </c>
      <c r="V105" s="1055"/>
      <c r="W105" s="1056" t="s">
        <v>291</v>
      </c>
      <c r="X105" s="1057" t="s">
        <v>292</v>
      </c>
      <c r="Y105" s="1051" t="s">
        <v>293</v>
      </c>
      <c r="Z105" s="1058" t="s">
        <v>294</v>
      </c>
      <c r="AA105" s="1051" t="s">
        <v>295</v>
      </c>
      <c r="AB105" s="1051" t="s">
        <v>296</v>
      </c>
      <c r="AC105" s="1059" t="s">
        <v>299</v>
      </c>
      <c r="AD105" s="1060" t="s">
        <v>216</v>
      </c>
      <c r="AE105" s="1055"/>
      <c r="AF105" s="1057" t="s">
        <v>292</v>
      </c>
      <c r="AG105" s="1061" t="s">
        <v>293</v>
      </c>
      <c r="AH105" s="1062" t="s">
        <v>294</v>
      </c>
      <c r="AI105" s="1061" t="s">
        <v>295</v>
      </c>
      <c r="AJ105" s="1061" t="s">
        <v>296</v>
      </c>
      <c r="AK105" s="1055"/>
      <c r="AL105" s="1057" t="s">
        <v>292</v>
      </c>
      <c r="AM105" s="1061" t="s">
        <v>293</v>
      </c>
      <c r="AN105" s="1062" t="s">
        <v>294</v>
      </c>
      <c r="AO105" s="1061" t="s">
        <v>295</v>
      </c>
      <c r="AP105" s="1061" t="s">
        <v>296</v>
      </c>
      <c r="AQ105" s="1055"/>
      <c r="AR105" s="1056" t="s">
        <v>291</v>
      </c>
      <c r="AS105" s="1057" t="s">
        <v>292</v>
      </c>
      <c r="AT105" s="1061" t="s">
        <v>293</v>
      </c>
      <c r="AU105" s="1062" t="s">
        <v>294</v>
      </c>
      <c r="AV105" s="1061" t="s">
        <v>295</v>
      </c>
      <c r="AW105" s="1061" t="s">
        <v>296</v>
      </c>
      <c r="AX105" s="1059" t="s">
        <v>299</v>
      </c>
      <c r="AY105" s="1340" t="s">
        <v>216</v>
      </c>
      <c r="AZ105" s="1065" t="s">
        <v>300</v>
      </c>
      <c r="BA105" s="2"/>
    </row>
    <row r="106" spans="1:53" ht="15.75" hidden="1" customHeight="1" outlineLevel="1">
      <c r="A106" s="1027"/>
      <c r="B106" s="54">
        <v>43525</v>
      </c>
      <c r="C106" s="1066" t="s">
        <v>43</v>
      </c>
      <c r="D106" s="1067">
        <f>Parametres!$D$5</f>
        <v>5</v>
      </c>
      <c r="E106" s="1068" t="e">
        <f>COUNTIFS(#REF!,"&gt;0",#REF!,"&gt;="&amp;B106,#REF!,"&lt;="&amp;EOMONTH(B106,0))</f>
        <v>#REF!</v>
      </c>
      <c r="F106" s="1069" t="e">
        <f>SUMIFS(#REF!,#REF!,"&lt;&gt;0",#REF!,"&gt;="&amp;B106,#REF!,"&lt;="&amp;EOMONTH(B106,0))</f>
        <v>#REF!</v>
      </c>
      <c r="G106" s="1069" t="e">
        <f t="shared" ref="G106:G142" si="42">IF(E106=0,0,F106/E106)</f>
        <v>#REF!</v>
      </c>
      <c r="H106" s="1070" t="e">
        <f ca="1">MINIFS(#REF!,#REF!,"&lt;&gt;0",#REF!,"&gt;="&amp;B106,#REF!,"&lt;="&amp;EOMONTH(B106,0))</f>
        <v>#NAME?</v>
      </c>
      <c r="I106" s="1071" t="e">
        <f ca="1">MAXIFS(#REF!,#REF!,"&lt;&gt;0",#REF!,"&gt;="&amp;B106,#REF!,"&lt;="&amp;EOMONTH(B106,0))</f>
        <v>#NAME?</v>
      </c>
      <c r="J106" s="1072" t="e">
        <f>COUNTIFS(#REF!,"&gt;="&amp;D106,#REF!,"&gt;="&amp;B106,#REF!,"&lt;="&amp;EOMONTH(B106,0))</f>
        <v>#REF!</v>
      </c>
      <c r="K106" s="1341" t="e">
        <f t="shared" ref="K106:K119" si="43">J106/E106</f>
        <v>#REF!</v>
      </c>
      <c r="L106" s="1074"/>
      <c r="M106" s="1075"/>
      <c r="N106" s="1076">
        <f>Parametres!$L$5</f>
        <v>50</v>
      </c>
      <c r="O106" s="1077">
        <f>COUNTIFS('Degrémont Entrée'!$AM$14:$AM$379,"&gt;0",'Degrémont Entrée'!$A$14:$A$379,"&gt;="&amp;B106,'Degrémont Entrée'!$A$14:$A$379,"&lt;="&amp;EOMONTH(B106,0))</f>
        <v>4</v>
      </c>
      <c r="P106" s="1078">
        <f>SUMIFS('Degrémont Entrée'!$AM$14:$AM$379,'Degrémont Entrée'!$AM$14:$AM$379,"&lt;&gt;0",'Degrémont Entrée'!$A$14:$A$379,"&gt;="&amp;B106,'Degrémont Entrée'!$A$14:$A$379,"&lt;="&amp;EOMONTH(B106,0))</f>
        <v>93.8</v>
      </c>
      <c r="Q106" s="1078">
        <f>IF(O106=0,0,P106/O106)</f>
        <v>23.45</v>
      </c>
      <c r="R106" s="1079" t="e">
        <f ca="1">MINIFS('Degrémont Entrée'!$AM$14:$AM$379,'Degrémont Entrée'!$AM$14:$AM$379,"&lt;&gt;0",'Degrémont Entrée'!$A$14:$A$379,"&gt;="&amp;B106,'Degrémont Entrée'!$A$14:$A$379,"&lt;="&amp;EOMONTH(B106,0))</f>
        <v>#NAME?</v>
      </c>
      <c r="S106" s="1078" t="e">
        <f ca="1">MAXIFS('Degrémont Entrée'!$AM$14:$AM$379,'Degrémont Entrée'!$AM$14:$AM$379,"&lt;&gt;0",'Degrémont Entrée'!$A$14:$A$379,"&gt;="&amp;B106,'Degrémont Entrée'!$A$14:$A$379,"&lt;="&amp;EOMONTH(B106,0))</f>
        <v>#NAME?</v>
      </c>
      <c r="T106" s="1080">
        <f>COUNTIFS('Degrémont Entrée'!$AM$14:$AM$379,"&gt;="&amp;N106,'Degrémont Entrée'!$A$14:$A$379,"&gt;="&amp;B106,'Degrémont Entrée'!$A$14:$A$379,"&lt;="&amp;EOMONTH(B106,0))</f>
        <v>1</v>
      </c>
      <c r="U106" s="1081">
        <f>T106/O106</f>
        <v>0.25</v>
      </c>
      <c r="V106" s="1082"/>
      <c r="W106" s="1083">
        <f>Parametres!$T$5</f>
        <v>3</v>
      </c>
      <c r="X106" s="1084">
        <f>COUNTIFS('Degrémont sortie'!$AG$14:$AG$379,"&gt;0",'Degrémont sortie'!$A$14:$A$379,"&gt;="&amp;B106,'Degrémont sortie'!$A$14:$A$379,"&lt;="&amp;EOMONTH(B106,0))</f>
        <v>4</v>
      </c>
      <c r="Y106" s="1085">
        <f>SUMIFS('Degrémont sortie'!$AG$14:$AG$379,'Degrémont sortie'!$AG$14:$AG$379,"&lt;&gt;0",'Degrémont sortie'!$A$14:$A$379,"&gt;="&amp;B106,'Degrémont sortie'!$A$14:$A$379,"&lt;="&amp;EOMONTH(B106,0))</f>
        <v>2.34</v>
      </c>
      <c r="Z106" s="1085">
        <f>IF(X106=0,0,Y106/X106)</f>
        <v>0.58499999999999996</v>
      </c>
      <c r="AA106" s="1085" t="e">
        <f ca="1">MINIFS('Degrémont sortie'!$AG$14:$AG$379,'Degrémont sortie'!$AG$14:$AG$379,"&lt;&gt;0",'Degrémont sortie'!$A$14:$A$379,"&gt;="&amp;B106,'Degrémont sortie'!$A$14:$A$379,"&lt;="&amp;EOMONTH(B106,0))</f>
        <v>#NAME?</v>
      </c>
      <c r="AB106" s="1085" t="e">
        <f ca="1">MAXIFS('Degrémont sortie'!$AG$14:$AG$379,'Degrémont sortie'!$AG$14:$AG$379,"&lt;&gt;0",'Degrémont sortie'!$A$14:$A$379,"&gt;="&amp;B106,'Degrémont sortie'!$A$14:$A$379,"&lt;="&amp;EOMONTH(B106,0))</f>
        <v>#NAME?</v>
      </c>
      <c r="AC106" s="1086">
        <f>COUNTIFS('Degrémont sortie'!$AG$14:$AG$379,"&gt;="&amp;W106,'Degrémont sortie'!$A$14:$A$379,"&gt;="&amp;B106,'Degrémont sortie'!$A$14:$A$379,"&lt;="&amp;EOMONTH(B106,0))</f>
        <v>0</v>
      </c>
      <c r="AD106" s="1087">
        <f>AC106/X106</f>
        <v>0</v>
      </c>
      <c r="AE106" s="1088"/>
      <c r="AF106" s="1089"/>
      <c r="AG106" s="1090"/>
      <c r="AH106" s="1090"/>
      <c r="AI106" s="1090"/>
      <c r="AJ106" s="1090"/>
      <c r="AK106" s="1088"/>
      <c r="AL106" s="1089"/>
      <c r="AM106" s="1090"/>
      <c r="AN106" s="1090"/>
      <c r="AO106" s="1090"/>
      <c r="AP106" s="1090"/>
      <c r="AQ106" s="1088"/>
      <c r="AR106" s="1091"/>
      <c r="AS106" s="1089"/>
      <c r="AT106" s="1090"/>
      <c r="AU106" s="1090"/>
      <c r="AV106" s="1090"/>
      <c r="AW106" s="1092"/>
      <c r="AX106" s="1093"/>
      <c r="AY106" s="1094"/>
      <c r="AZ106" s="1095" t="e">
        <f t="shared" ref="AZ106:AZ137" si="44">SUM(E106+O106+X106+AF106+AL106+AS106)</f>
        <v>#REF!</v>
      </c>
      <c r="BA106" s="2"/>
    </row>
    <row r="107" spans="1:53" ht="15.75" hidden="1" customHeight="1" outlineLevel="1">
      <c r="A107" s="1027"/>
      <c r="B107" s="1096"/>
      <c r="C107" s="1097" t="s">
        <v>16</v>
      </c>
      <c r="D107" s="1067">
        <f>Parametres!$D$6</f>
        <v>10000000</v>
      </c>
      <c r="E107" s="1068" t="e">
        <f>COUNTIFS(#REF!,"&gt;0",#REF!,"&gt;="&amp;B106,#REF!,"&lt;="&amp;EOMONTH(B106,0))</f>
        <v>#REF!</v>
      </c>
      <c r="F107" s="1069" t="e">
        <f>SUMIFS(#REF!,#REF!,"&lt;&gt;0",#REF!,"&gt;="&amp;B106,#REF!,"&lt;="&amp;EOMONTH(B106,0))</f>
        <v>#REF!</v>
      </c>
      <c r="G107" s="1098" t="e">
        <f t="shared" si="42"/>
        <v>#REF!</v>
      </c>
      <c r="H107" s="1070" t="e">
        <f ca="1">MINIFS(#REF!,#REF!,"&lt;&gt;0",#REF!,"&gt;="&amp;B106,#REF!,"&lt;="&amp;EOMONTH(B106,0))</f>
        <v>#NAME?</v>
      </c>
      <c r="I107" s="1069" t="e">
        <f ca="1">MAXIFS(#REF!,#REF!,"&lt;&gt;0",#REF!,"&gt;="&amp;B106,#REF!,"&lt;="&amp;EOMONTH(B106,0))</f>
        <v>#NAME?</v>
      </c>
      <c r="J107" s="1072" t="e">
        <f>COUNTIFS(#REF!,"&gt;="&amp;D107,#REF!,"&gt;="&amp;B106,#REF!,"&lt;="&amp;EOMONTH(B106,0))</f>
        <v>#REF!</v>
      </c>
      <c r="K107" s="1341" t="e">
        <f t="shared" si="43"/>
        <v>#REF!</v>
      </c>
      <c r="L107" s="1099"/>
      <c r="M107" s="1082"/>
      <c r="N107" s="1100"/>
      <c r="O107" s="1100"/>
      <c r="P107" s="1078"/>
      <c r="Q107" s="1078"/>
      <c r="R107" s="1078"/>
      <c r="S107" s="1078"/>
      <c r="T107" s="1101"/>
      <c r="U107" s="1101"/>
      <c r="V107" s="1082"/>
      <c r="W107" s="1102"/>
      <c r="X107" s="1102"/>
      <c r="Y107" s="1069"/>
      <c r="Z107" s="1069"/>
      <c r="AA107" s="1069"/>
      <c r="AB107" s="1069"/>
      <c r="AC107" s="1103"/>
      <c r="AD107" s="1104"/>
      <c r="AE107" s="1082"/>
      <c r="AF107" s="1105"/>
      <c r="AG107" s="1106"/>
      <c r="AH107" s="1106"/>
      <c r="AI107" s="1106"/>
      <c r="AJ107" s="1106"/>
      <c r="AK107" s="1107"/>
      <c r="AL107" s="1108"/>
      <c r="AM107" s="1109"/>
      <c r="AN107" s="1109"/>
      <c r="AO107" s="1109"/>
      <c r="AP107" s="1109"/>
      <c r="AQ107" s="1107"/>
      <c r="AR107" s="1110"/>
      <c r="AS107" s="1105"/>
      <c r="AT107" s="1109"/>
      <c r="AU107" s="1109"/>
      <c r="AV107" s="1109"/>
      <c r="AW107" s="1111"/>
      <c r="AX107" s="1112"/>
      <c r="AY107" s="1094"/>
      <c r="AZ107" s="1095" t="e">
        <f t="shared" si="44"/>
        <v>#REF!</v>
      </c>
      <c r="BA107" s="2"/>
    </row>
    <row r="108" spans="1:53" ht="15.75" hidden="1" customHeight="1" outlineLevel="1">
      <c r="A108" s="1027"/>
      <c r="B108" s="1096"/>
      <c r="C108" s="1097" t="s">
        <v>17</v>
      </c>
      <c r="D108" s="1067">
        <f>Parametres!$D$7</f>
        <v>0.8</v>
      </c>
      <c r="E108" s="1068" t="e">
        <f>COUNTIFS(#REF!,"&gt;0",#REF!,"&gt;="&amp;B106,#REF!,"&lt;="&amp;EOMONTH(B106,0))</f>
        <v>#REF!</v>
      </c>
      <c r="F108" s="1069" t="e">
        <f>SUMIFS(#REF!,#REF!,"&lt;&gt;0",#REF!,"&gt;="&amp;B106,#REF!,"&lt;="&amp;EOMONTH(B106,0))</f>
        <v>#REF!</v>
      </c>
      <c r="G108" s="1098" t="e">
        <f t="shared" si="42"/>
        <v>#REF!</v>
      </c>
      <c r="H108" s="1113" t="e">
        <f ca="1">MINIFS(#REF!,#REF!,"&lt;&gt;0",#REF!,"&gt;="&amp;B106,#REF!,"&lt;="&amp;EOMONTH(B106,0))</f>
        <v>#NAME?</v>
      </c>
      <c r="I108" s="1078" t="e">
        <f ca="1">MAXIFS(#REF!,#REF!,"&lt;&gt;0",#REF!,"&gt;="&amp;B106,#REF!,"&lt;="&amp;EOMONTH(B106,0))</f>
        <v>#NAME?</v>
      </c>
      <c r="J108" s="1114" t="e">
        <f>COUNTIFS(#REF!,"&gt;="&amp;D108,#REF!,"&gt;="&amp;B106,#REF!,"&lt;="&amp;EOMONTH(B106,0))</f>
        <v>#REF!</v>
      </c>
      <c r="K108" s="1341" t="e">
        <f t="shared" si="43"/>
        <v>#REF!</v>
      </c>
      <c r="L108" s="1115"/>
      <c r="M108" s="1082"/>
      <c r="N108" s="1100"/>
      <c r="O108" s="1100"/>
      <c r="P108" s="1078"/>
      <c r="Q108" s="1078"/>
      <c r="R108" s="1078"/>
      <c r="S108" s="1078"/>
      <c r="T108" s="1101"/>
      <c r="U108" s="1101"/>
      <c r="V108" s="1082"/>
      <c r="W108" s="1102"/>
      <c r="X108" s="1102"/>
      <c r="Y108" s="1069"/>
      <c r="Z108" s="1069"/>
      <c r="AA108" s="1069"/>
      <c r="AB108" s="1069"/>
      <c r="AC108" s="1103"/>
      <c r="AD108" s="1104"/>
      <c r="AE108" s="1082"/>
      <c r="AF108" s="1116"/>
      <c r="AG108" s="1117"/>
      <c r="AH108" s="1117"/>
      <c r="AI108" s="1117"/>
      <c r="AJ108" s="1117"/>
      <c r="AK108" s="1082"/>
      <c r="AL108" s="1105"/>
      <c r="AM108" s="1106"/>
      <c r="AN108" s="1106"/>
      <c r="AO108" s="1106"/>
      <c r="AP108" s="1106"/>
      <c r="AQ108" s="1082"/>
      <c r="AR108" s="1118"/>
      <c r="AS108" s="1116"/>
      <c r="AT108" s="1106"/>
      <c r="AU108" s="1106"/>
      <c r="AV108" s="1106"/>
      <c r="AW108" s="1119"/>
      <c r="AX108" s="1120"/>
      <c r="AY108" s="1094"/>
      <c r="AZ108" s="1095" t="e">
        <f t="shared" si="44"/>
        <v>#REF!</v>
      </c>
      <c r="BA108" s="2"/>
    </row>
    <row r="109" spans="1:53" ht="15.75" hidden="1" customHeight="1" outlineLevel="1">
      <c r="A109" s="1027"/>
      <c r="B109" s="1096"/>
      <c r="C109" s="1121" t="s">
        <v>18</v>
      </c>
      <c r="D109" s="1122">
        <f>Parametres!$D$8</f>
        <v>0.05</v>
      </c>
      <c r="E109" s="1068" t="e">
        <f>COUNTIFS(#REF!,"&gt;0",#REF!,"&gt;="&amp;B106,#REF!,"&lt;="&amp;EOMONTH(B106,0))</f>
        <v>#REF!</v>
      </c>
      <c r="F109" s="1069" t="e">
        <f>SUMIFS(#REF!,#REF!,"&lt;&gt;0",#REF!,"&gt;="&amp;B106,#REF!,"&lt;="&amp;EOMONTH(B106,0))</f>
        <v>#REF!</v>
      </c>
      <c r="G109" s="1098" t="e">
        <f t="shared" si="42"/>
        <v>#REF!</v>
      </c>
      <c r="H109" s="1113" t="e">
        <f ca="1">MINIFS(#REF!,#REF!,"&lt;&gt;0",#REF!,"&gt;="&amp;B106,#REF!,"&lt;="&amp;EOMONTH(B106,0))</f>
        <v>#NAME?</v>
      </c>
      <c r="I109" s="1078" t="e">
        <f ca="1">MAXIFS(#REF!,#REF!,"&lt;&gt;0",#REF!,"&gt;="&amp;B106,#REF!,"&lt;="&amp;EOMONTH(B106,0))</f>
        <v>#NAME?</v>
      </c>
      <c r="J109" s="1072" t="e">
        <f>COUNTIFS(#REF!,"&gt;="&amp;D109,#REF!,"&gt;="&amp;B106,#REF!,"&lt;="&amp;EOMONTH(B106,0))</f>
        <v>#REF!</v>
      </c>
      <c r="K109" s="1341" t="e">
        <f t="shared" si="43"/>
        <v>#REF!</v>
      </c>
      <c r="L109" s="1115"/>
      <c r="M109" s="1082"/>
      <c r="N109" s="1100"/>
      <c r="O109" s="1100"/>
      <c r="P109" s="1078"/>
      <c r="Q109" s="1078"/>
      <c r="R109" s="1078"/>
      <c r="S109" s="1078"/>
      <c r="T109" s="1101"/>
      <c r="U109" s="1101"/>
      <c r="V109" s="1082"/>
      <c r="W109" s="1102"/>
      <c r="X109" s="1102"/>
      <c r="Y109" s="1069"/>
      <c r="Z109" s="1069"/>
      <c r="AA109" s="1069"/>
      <c r="AB109" s="1069"/>
      <c r="AC109" s="1103"/>
      <c r="AD109" s="1104"/>
      <c r="AE109" s="1107"/>
      <c r="AF109" s="1108"/>
      <c r="AG109" s="1109"/>
      <c r="AH109" s="1109"/>
      <c r="AI109" s="1109"/>
      <c r="AJ109" s="1109"/>
      <c r="AK109" s="1123"/>
      <c r="AL109" s="1108"/>
      <c r="AM109" s="1109"/>
      <c r="AN109" s="1109"/>
      <c r="AO109" s="1109"/>
      <c r="AP109" s="1109"/>
      <c r="AQ109" s="1123"/>
      <c r="AR109" s="1124"/>
      <c r="AS109" s="1108"/>
      <c r="AT109" s="1109"/>
      <c r="AU109" s="1109"/>
      <c r="AV109" s="1109"/>
      <c r="AW109" s="1111"/>
      <c r="AX109" s="1112"/>
      <c r="AY109" s="1094"/>
      <c r="AZ109" s="1095" t="e">
        <f t="shared" si="44"/>
        <v>#REF!</v>
      </c>
      <c r="BA109" s="2"/>
    </row>
    <row r="110" spans="1:53" ht="15.75" hidden="1" customHeight="1" outlineLevel="1">
      <c r="A110" s="1027"/>
      <c r="B110" s="1096"/>
      <c r="C110" s="1097" t="s">
        <v>11</v>
      </c>
      <c r="D110" s="1067">
        <f>Parametres!$D$9</f>
        <v>0.2</v>
      </c>
      <c r="E110" s="1068" t="e">
        <f>COUNTIFS(#REF!,"&gt;0",#REF!,"&gt;="&amp;B106,#REF!,"&lt;="&amp;EOMONTH(B106,0))</f>
        <v>#REF!</v>
      </c>
      <c r="F110" s="1069" t="e">
        <f>SUMIFS(#REF!,#REF!,"&lt;&gt;0",#REF!,"&gt;="&amp;B106,#REF!,"&lt;="&amp;EOMONTH(B106,0))</f>
        <v>#REF!</v>
      </c>
      <c r="G110" s="1098" t="e">
        <f t="shared" si="42"/>
        <v>#REF!</v>
      </c>
      <c r="H110" s="1113" t="e">
        <f ca="1">MINIFS(#REF!,#REF!,"&lt;&gt;0",#REF!,"&gt;="&amp;B106,#REF!,"&lt;="&amp;EOMONTH(B106,0))</f>
        <v>#NAME?</v>
      </c>
      <c r="I110" s="1078" t="e">
        <f ca="1">MAXIFS(#REF!,#REF!,"&lt;&gt;0",#REF!,"&gt;="&amp;B106,#REF!,"&lt;="&amp;EOMONTH(B106,0))</f>
        <v>#NAME?</v>
      </c>
      <c r="J110" s="1072" t="e">
        <f>COUNTIFS(#REF!,"&gt;="&amp;D110,#REF!,"&gt;="&amp;B106,#REF!,"&lt;="&amp;EOMONTH(B106,0))</f>
        <v>#REF!</v>
      </c>
      <c r="K110" s="1341" t="e">
        <f t="shared" si="43"/>
        <v>#REF!</v>
      </c>
      <c r="L110" s="1115"/>
      <c r="M110" s="1082"/>
      <c r="N110" s="1100"/>
      <c r="O110" s="1100"/>
      <c r="P110" s="1078"/>
      <c r="Q110" s="1078"/>
      <c r="R110" s="1078"/>
      <c r="S110" s="1078"/>
      <c r="T110" s="1101"/>
      <c r="U110" s="1101"/>
      <c r="V110" s="1082"/>
      <c r="W110" s="1102"/>
      <c r="X110" s="1102"/>
      <c r="Y110" s="1069"/>
      <c r="Z110" s="1069"/>
      <c r="AA110" s="1069"/>
      <c r="AB110" s="1069"/>
      <c r="AC110" s="1103"/>
      <c r="AD110" s="1104"/>
      <c r="AE110" s="1075"/>
      <c r="AF110" s="1125"/>
      <c r="AG110" s="1126"/>
      <c r="AH110" s="1126"/>
      <c r="AI110" s="1126"/>
      <c r="AJ110" s="1126"/>
      <c r="AK110" s="1107"/>
      <c r="AL110" s="1125"/>
      <c r="AM110" s="1126"/>
      <c r="AN110" s="1126"/>
      <c r="AO110" s="1126"/>
      <c r="AP110" s="1126"/>
      <c r="AQ110" s="1107"/>
      <c r="AR110" s="1110"/>
      <c r="AS110" s="1125"/>
      <c r="AT110" s="1126"/>
      <c r="AU110" s="1126"/>
      <c r="AV110" s="1126"/>
      <c r="AW110" s="1127"/>
      <c r="AX110" s="1128"/>
      <c r="AY110" s="1094"/>
      <c r="AZ110" s="1095" t="e">
        <f t="shared" si="44"/>
        <v>#REF!</v>
      </c>
      <c r="BA110" s="2"/>
    </row>
    <row r="111" spans="1:53" ht="15.75" hidden="1" customHeight="1" outlineLevel="1">
      <c r="A111" s="1027"/>
      <c r="B111" s="1096"/>
      <c r="C111" s="1097" t="s">
        <v>12</v>
      </c>
      <c r="D111" s="1067">
        <f>Parametres!$D$10</f>
        <v>10000000</v>
      </c>
      <c r="E111" s="1068" t="e">
        <f>COUNTIFS(#REF!,"&gt;0",#REF!,"&gt;="&amp;B106,#REF!,"&lt;="&amp;EOMONTH(B106,0))</f>
        <v>#REF!</v>
      </c>
      <c r="F111" s="1069" t="e">
        <f>SUMIFS(#REF!,#REF!,"&lt;&gt;0",#REF!,"&gt;="&amp;B106,#REF!,"&lt;="&amp;EOMONTH(B106,0))</f>
        <v>#REF!</v>
      </c>
      <c r="G111" s="1098" t="e">
        <f t="shared" si="42"/>
        <v>#REF!</v>
      </c>
      <c r="H111" s="1113" t="e">
        <f ca="1">MINIFS(#REF!,#REF!,"&lt;&gt;0",#REF!,"&gt;="&amp;B106,#REF!,"&lt;="&amp;EOMONTH(B106,0))</f>
        <v>#NAME?</v>
      </c>
      <c r="I111" s="1078" t="e">
        <f ca="1">MAXIFS(#REF!,#REF!,"&lt;&gt;0",#REF!,"&gt;="&amp;B106,#REF!,"&lt;="&amp;EOMONTH(B106,0))</f>
        <v>#NAME?</v>
      </c>
      <c r="J111" s="1072" t="e">
        <f>COUNTIFS(#REF!,"&gt;="&amp;D111,#REF!,"&gt;="&amp;B106,#REF!,"&lt;="&amp;EOMONTH(B106,0))</f>
        <v>#REF!</v>
      </c>
      <c r="K111" s="1341" t="e">
        <f t="shared" si="43"/>
        <v>#REF!</v>
      </c>
      <c r="L111" s="1115"/>
      <c r="M111" s="1082"/>
      <c r="N111" s="1100"/>
      <c r="O111" s="1100"/>
      <c r="P111" s="1078"/>
      <c r="Q111" s="1078"/>
      <c r="R111" s="1078"/>
      <c r="S111" s="1078"/>
      <c r="T111" s="1101"/>
      <c r="U111" s="1101"/>
      <c r="V111" s="1082"/>
      <c r="W111" s="1129"/>
      <c r="X111" s="1129"/>
      <c r="Y111" s="1069"/>
      <c r="Z111" s="1069"/>
      <c r="AA111" s="1069"/>
      <c r="AB111" s="1069"/>
      <c r="AC111" s="1130"/>
      <c r="AD111" s="1131"/>
      <c r="AE111" s="1082"/>
      <c r="AF111" s="1105"/>
      <c r="AG111" s="1106"/>
      <c r="AH111" s="1106"/>
      <c r="AI111" s="1106"/>
      <c r="AJ111" s="1106"/>
      <c r="AK111" s="1132"/>
      <c r="AL111" s="1105"/>
      <c r="AM111" s="1106"/>
      <c r="AN111" s="1106"/>
      <c r="AO111" s="1106"/>
      <c r="AP111" s="1106"/>
      <c r="AQ111" s="1133"/>
      <c r="AR111" s="1134"/>
      <c r="AS111" s="1135"/>
      <c r="AT111" s="1106"/>
      <c r="AU111" s="1106"/>
      <c r="AV111" s="1106"/>
      <c r="AW111" s="1119"/>
      <c r="AX111" s="1120"/>
      <c r="AY111" s="1094"/>
      <c r="AZ111" s="1095" t="e">
        <f t="shared" si="44"/>
        <v>#REF!</v>
      </c>
      <c r="BA111" s="2"/>
    </row>
    <row r="112" spans="1:53" ht="15.75" hidden="1" customHeight="1" outlineLevel="1">
      <c r="A112" s="1027"/>
      <c r="B112" s="1096"/>
      <c r="C112" s="1097" t="s">
        <v>19</v>
      </c>
      <c r="D112" s="1067">
        <f>Parametres!$D$11</f>
        <v>1.5</v>
      </c>
      <c r="E112" s="1068" t="e">
        <f>COUNTIFS(#REF!,"&gt;0",#REF!,"&gt;="&amp;B106,#REF!,"&lt;="&amp;EOMONTH(B106,0))</f>
        <v>#REF!</v>
      </c>
      <c r="F112" s="1069" t="e">
        <f>SUMIFS(#REF!,#REF!,"&lt;&gt;0",#REF!,"&gt;="&amp;B106,#REF!,"&lt;="&amp;EOMONTH(B106,0))</f>
        <v>#REF!</v>
      </c>
      <c r="G112" s="1098" t="e">
        <f t="shared" si="42"/>
        <v>#REF!</v>
      </c>
      <c r="H112" s="1113" t="e">
        <f ca="1">MINIFS(#REF!,#REF!,"&lt;&gt;0",#REF!,"&gt;="&amp;B106,#REF!,"&lt;="&amp;EOMONTH(B106,0))</f>
        <v>#NAME?</v>
      </c>
      <c r="I112" s="1078" t="e">
        <f ca="1">MAXIFS(#REF!,#REF!,"&lt;&gt;0",#REF!,"&gt;="&amp;B106,#REF!,"&lt;="&amp;EOMONTH(B106,0))</f>
        <v>#NAME?</v>
      </c>
      <c r="J112" s="1072" t="e">
        <f>COUNTIFS(#REF!,"&gt;="&amp;D112,#REF!,"&gt;="&amp;B106,#REF!,"&lt;="&amp;EOMONTH(B106,0))</f>
        <v>#REF!</v>
      </c>
      <c r="K112" s="1341" t="e">
        <f t="shared" si="43"/>
        <v>#REF!</v>
      </c>
      <c r="L112" s="1115"/>
      <c r="M112" s="1082"/>
      <c r="N112" s="1100"/>
      <c r="O112" s="1100"/>
      <c r="P112" s="1078"/>
      <c r="Q112" s="1078"/>
      <c r="R112" s="1078"/>
      <c r="S112" s="1078"/>
      <c r="T112" s="1101"/>
      <c r="U112" s="1101"/>
      <c r="V112" s="1082"/>
      <c r="W112" s="1129"/>
      <c r="X112" s="1129"/>
      <c r="Y112" s="1069"/>
      <c r="Z112" s="1069"/>
      <c r="AA112" s="1069"/>
      <c r="AB112" s="1069"/>
      <c r="AC112" s="1130"/>
      <c r="AD112" s="1131"/>
      <c r="AE112" s="1082"/>
      <c r="AF112" s="1105"/>
      <c r="AG112" s="1106"/>
      <c r="AH112" s="1106"/>
      <c r="AI112" s="1106"/>
      <c r="AJ112" s="1106"/>
      <c r="AK112" s="1082"/>
      <c r="AL112" s="1136"/>
      <c r="AM112" s="1137"/>
      <c r="AN112" s="1137"/>
      <c r="AO112" s="1137"/>
      <c r="AP112" s="1137"/>
      <c r="AQ112" s="1082"/>
      <c r="AR112" s="1118"/>
      <c r="AS112" s="1105"/>
      <c r="AT112" s="1106"/>
      <c r="AU112" s="1106"/>
      <c r="AV112" s="1106"/>
      <c r="AW112" s="1138"/>
      <c r="AX112" s="1120"/>
      <c r="AY112" s="1094"/>
      <c r="AZ112" s="1095" t="e">
        <f t="shared" si="44"/>
        <v>#REF!</v>
      </c>
      <c r="BA112" s="2"/>
    </row>
    <row r="113" spans="1:53" ht="15.75" hidden="1" customHeight="1" outlineLevel="1">
      <c r="A113" s="1027"/>
      <c r="B113" s="1096"/>
      <c r="C113" s="1139" t="s">
        <v>42</v>
      </c>
      <c r="D113" s="1122">
        <f>Parametres!$D$12</f>
        <v>0.1</v>
      </c>
      <c r="E113" s="1068" t="e">
        <f>COUNTIFS(#REF!,"&gt;0",#REF!,"&gt;="&amp;B106,#REF!,"&lt;="&amp;EOMONTH(B106,0))</f>
        <v>#REF!</v>
      </c>
      <c r="F113" s="1069" t="e">
        <f>SUMIFS(#REF!,#REF!,"&lt;&gt;0",#REF!,"&gt;="&amp;B106,#REF!,"&lt;="&amp;EOMONTH(B106,0))</f>
        <v>#REF!</v>
      </c>
      <c r="G113" s="1098" t="e">
        <f t="shared" si="42"/>
        <v>#REF!</v>
      </c>
      <c r="H113" s="1113" t="e">
        <f ca="1">MINIFS(#REF!,#REF!,"&lt;&gt;0",#REF!,"&gt;="&amp;B106,#REF!,"&lt;="&amp;EOMONTH(B106,0))</f>
        <v>#NAME?</v>
      </c>
      <c r="I113" s="1078" t="e">
        <f ca="1">MAXIFS(#REF!,#REF!,"&lt;&gt;0",#REF!,"&gt;="&amp;B106,#REF!,"&lt;="&amp;EOMONTH(B106,0))</f>
        <v>#NAME?</v>
      </c>
      <c r="J113" s="1114" t="e">
        <f>COUNTIFS(#REF!,"&gt;="&amp;D113,#REF!,"&gt;="&amp;B106,#REF!,"&lt;="&amp;EOMONTH(B106,0))</f>
        <v>#REF!</v>
      </c>
      <c r="K113" s="1341" t="e">
        <f t="shared" si="43"/>
        <v>#REF!</v>
      </c>
      <c r="L113" s="1115"/>
      <c r="M113" s="1082"/>
      <c r="N113" s="1076">
        <f>Parametres!$L$12</f>
        <v>100000</v>
      </c>
      <c r="O113" s="1077">
        <f>COUNTIFS('Degrémont Entrée'!$AG$14:$AG$379,"&gt;0",'Degrémont Entrée'!$A$14:$A$379,"&gt;="&amp;B106,'Degrémont Entrée'!$A$14:$A$379,"&lt;="&amp;EOMONTH(B106,0))</f>
        <v>26</v>
      </c>
      <c r="P113" s="1078">
        <f>SUMIFS('Degrémont Entrée'!$AG$14:$AG$379,'Degrémont Entrée'!$AG$14:$AG$379,"&lt;&gt;0",'Degrémont Entrée'!$A$14:$A$379,"&gt;="&amp;B106,'Degrémont Entrée'!$A$14:$A$379,"&lt;="&amp;EOMONTH(B106,0))</f>
        <v>0.27000000000000007</v>
      </c>
      <c r="Q113" s="1078">
        <f>IF(O113=0,0,P113/O113)</f>
        <v>1.0384615384615388E-2</v>
      </c>
      <c r="R113" s="1078" t="e">
        <f ca="1">MINIFS('Degrémont Entrée'!$AG$14:$AG$379,'Degrémont Entrée'!$AG$14:$AG$379,"&lt;&gt;0",'Degrémont Entrée'!$A$14:$A$379,"&gt;="&amp;B106,'Degrémont Entrée'!$A$14:$A$379,"&lt;="&amp;EOMONTH(B106,0))</f>
        <v>#NAME?</v>
      </c>
      <c r="S113" s="1078" t="e">
        <f ca="1">MAXIFS('Degrémont Entrée'!$AG$14:$AG$379,'Degrémont Entrée'!$AG$14:$AG$379,"&lt;&gt;0",'Degrémont Entrée'!$A$14:$A$379,"&gt;="&amp;B106,'Degrémont Entrée'!$A$14:$A$379,"&lt;="&amp;EOMONTH(B106,0))</f>
        <v>#NAME?</v>
      </c>
      <c r="T113" s="1140" t="s">
        <v>153</v>
      </c>
      <c r="U113" s="1140" t="s">
        <v>153</v>
      </c>
      <c r="V113" s="1082"/>
      <c r="W113" s="1083">
        <f>Parametres!$T$12</f>
        <v>0.1</v>
      </c>
      <c r="X113" s="1142">
        <f>COUNTIFS('Degrémont sortie'!$AA$14:$AA$379,"&gt;0",'Degrémont sortie'!$A$14:$A$379,"&gt;="&amp;B106,'Degrémont sortie'!$A$14:$A$379,"&lt;="&amp;EOMONTH(B106,0))</f>
        <v>27</v>
      </c>
      <c r="Y113" s="1085">
        <f>SUMIFS('Degrémont sortie'!$AA$14:$AA$379,'Degrémont sortie'!$AA$14:$AA$379,"&lt;&gt;0",'Degrémont sortie'!$A$14:$A$379,"&gt;="&amp;B106,'Degrémont sortie'!$A$14:$A$379,"&lt;="&amp;EOMONTH(B106,0))</f>
        <v>0.3600000000000001</v>
      </c>
      <c r="Z113" s="1069">
        <f t="shared" ref="Z113:Z115" si="45">IF(X113=0,0,Y113/X113)</f>
        <v>1.3333333333333338E-2</v>
      </c>
      <c r="AA113" s="1069" t="e">
        <f ca="1">MINIFS('Degrémont sortie'!$AA$14:$AA$379,'Degrémont sortie'!$AA$14:$AA$379,"&lt;&gt;0",'Degrémont sortie'!$A$14:$A$379,"&gt;="&amp;B106,'Degrémont sortie'!$A$14:$A$379,"&lt;="&amp;EOMONTH(B106,0))</f>
        <v>#NAME?</v>
      </c>
      <c r="AB113" s="1069" t="e">
        <f ca="1">MAXIFS('Degrémont sortie'!$AA$14:$AA$379,'Degrémont sortie'!$AA$14:$AA$379,"&lt;&gt;0",'Degrémont sortie'!$A$14:$A$379,"&gt;="&amp;B106,'Degrémont sortie'!$A$14:$A$379,"&lt;="&amp;EOMONTH(B106,0))</f>
        <v>#NAME?</v>
      </c>
      <c r="AC113" s="1142">
        <f>COUNTIFS('Degrémont sortie'!$AA$14:$AA$379,"&gt;="&amp;W113,'Degrémont sortie'!$A$14:$A$379,"&gt;="&amp;B106,'Degrémont sortie'!$A$14:$A$379,"&lt;="&amp;EOMONTH(B106,0))</f>
        <v>1</v>
      </c>
      <c r="AD113" s="1087">
        <f t="shared" ref="AD113:AD115" si="46">AC113/X113</f>
        <v>3.7037037037037035E-2</v>
      </c>
      <c r="AE113" s="1082"/>
      <c r="AF113" s="1105"/>
      <c r="AG113" s="1106"/>
      <c r="AH113" s="1106"/>
      <c r="AI113" s="1106"/>
      <c r="AJ113" s="1106"/>
      <c r="AK113" s="1082"/>
      <c r="AL113" s="1116"/>
      <c r="AM113" s="1117"/>
      <c r="AN113" s="1117"/>
      <c r="AO113" s="1117"/>
      <c r="AP113" s="1117"/>
      <c r="AQ113" s="1082"/>
      <c r="AR113" s="1118"/>
      <c r="AS113" s="1105"/>
      <c r="AT113" s="1106"/>
      <c r="AU113" s="1106"/>
      <c r="AV113" s="1106"/>
      <c r="AW113" s="1119"/>
      <c r="AX113" s="1120"/>
      <c r="AY113" s="1094"/>
      <c r="AZ113" s="1095" t="e">
        <f t="shared" si="44"/>
        <v>#REF!</v>
      </c>
      <c r="BA113" s="2"/>
    </row>
    <row r="114" spans="1:53" ht="15.75" hidden="1" customHeight="1" outlineLevel="1">
      <c r="A114" s="1027"/>
      <c r="B114" s="1096"/>
      <c r="C114" s="1139" t="s">
        <v>286</v>
      </c>
      <c r="D114" s="1122">
        <f>Parametres!$D$13</f>
        <v>0.5</v>
      </c>
      <c r="E114" s="1068" t="e">
        <f>COUNTIFS(#REF!,"&gt;0",#REF!,"&gt;="&amp;B106,#REF!,"&lt;="&amp;EOMONTH(B106,0))</f>
        <v>#REF!</v>
      </c>
      <c r="F114" s="1069" t="e">
        <f>SUMIFS(#REF!,#REF!,"&lt;&gt;0",#REF!,"&gt;="&amp;B106,#REF!,"&lt;="&amp;EOMONTH(B106,0))</f>
        <v>#REF!</v>
      </c>
      <c r="G114" s="1098" t="e">
        <f t="shared" si="42"/>
        <v>#REF!</v>
      </c>
      <c r="H114" s="1113" t="e">
        <f ca="1">MINIFS(#REF!,#REF!,"&lt;&gt;0",#REF!,"&gt;="&amp;B106,#REF!,"&lt;="&amp;EOMONTH(B106,0))</f>
        <v>#NAME?</v>
      </c>
      <c r="I114" s="1078" t="e">
        <f ca="1">MAXIFS(#REF!,#REF!,"&lt;&gt;0",#REF!,"&gt;="&amp;B106,#REF!,"&lt;="&amp;EOMONTH(B106,0))</f>
        <v>#NAME?</v>
      </c>
      <c r="J114" s="1114" t="e">
        <f>COUNTIFS(#REF!,"&gt;="&amp;D114,#REF!,"&gt;="&amp;B106,#REF!,"&lt;="&amp;EOMONTH(B106,0))</f>
        <v>#REF!</v>
      </c>
      <c r="K114" s="1341" t="e">
        <f t="shared" si="43"/>
        <v>#REF!</v>
      </c>
      <c r="L114" s="1115"/>
      <c r="M114" s="1082"/>
      <c r="N114" s="1129"/>
      <c r="O114" s="1129"/>
      <c r="P114" s="1069"/>
      <c r="Q114" s="1069"/>
      <c r="R114" s="1069"/>
      <c r="S114" s="1069"/>
      <c r="T114" s="1143"/>
      <c r="U114" s="1143"/>
      <c r="V114" s="1132"/>
      <c r="W114" s="1083">
        <f>Parametres!$T$13</f>
        <v>0.08</v>
      </c>
      <c r="X114" s="1142">
        <f>COUNTIFS('Degrémont sortie'!$AD$14:$AD$379,"&gt;0",'Degrémont sortie'!$A$14:$A$379,"&gt;="&amp;B106,'Degrémont sortie'!$A$14:$A$379,"&lt;="&amp;EOMONTH(B106,0))</f>
        <v>0</v>
      </c>
      <c r="Y114" s="1085">
        <f>SUMIFS('Degrémont sortie'!$AD$14:$AD$379,'Degrémont sortie'!$AD$14:$AD$379,"&lt;&gt;0",'Degrémont sortie'!$A$14:$A$379,"&gt;="&amp;B106,'Degrémont sortie'!$A$14:$A$379,"&lt;="&amp;EOMONTH(B106,0))</f>
        <v>0</v>
      </c>
      <c r="Z114" s="1069">
        <f t="shared" si="45"/>
        <v>0</v>
      </c>
      <c r="AA114" s="1069" t="e">
        <f ca="1">MINIFS('Degrémont sortie'!$AD$14:$AD$379,'Degrémont sortie'!$AD$14:$AD$379,"&lt;&gt;0",'Degrémont sortie'!$A$14:$A$379,"&gt;="&amp;B106,'Degrémont sortie'!$A$14:$A$379,"&lt;="&amp;EOMONTH(B106,0))</f>
        <v>#NAME?</v>
      </c>
      <c r="AB114" s="1069" t="e">
        <f ca="1">MAXIFS('Degrémont sortie'!$AD$14:$AD$379,'Degrémont sortie'!$AD$14:$AD$379,"&lt;&gt;0",'Degrémont sortie'!$A$14:$A$379,"&gt;="&amp;B106,'Degrémont sortie'!$A$14:$A$379,"&lt;="&amp;EOMONTH(B106,0))</f>
        <v>#NAME?</v>
      </c>
      <c r="AC114" s="1142">
        <f>COUNTIFS('Degrémont sortie'!$AD$14:$AD$379,"&gt;="&amp;W114,'Degrémont sortie'!$A$14:$A$379,"&gt;="&amp;B106,'Degrémont sortie'!$A$14:$A$379,"&lt;="&amp;EOMONTH(B106,0))</f>
        <v>0</v>
      </c>
      <c r="AD114" s="1087" t="e">
        <f t="shared" si="46"/>
        <v>#DIV/0!</v>
      </c>
      <c r="AE114" s="1132"/>
      <c r="AF114" s="1105"/>
      <c r="AG114" s="1106"/>
      <c r="AH114" s="1106"/>
      <c r="AI114" s="1106"/>
      <c r="AJ114" s="1106"/>
      <c r="AK114" s="1132"/>
      <c r="AL114" s="1105"/>
      <c r="AM114" s="1106"/>
      <c r="AN114" s="1106"/>
      <c r="AO114" s="1106"/>
      <c r="AP114" s="1106"/>
      <c r="AQ114" s="1133"/>
      <c r="AR114" s="1134"/>
      <c r="AS114" s="1135"/>
      <c r="AT114" s="1106"/>
      <c r="AU114" s="1106"/>
      <c r="AV114" s="1106"/>
      <c r="AW114" s="1119"/>
      <c r="AX114" s="1120"/>
      <c r="AY114" s="1094"/>
      <c r="AZ114" s="1095" t="e">
        <f t="shared" si="44"/>
        <v>#REF!</v>
      </c>
      <c r="BA114" s="2"/>
    </row>
    <row r="115" spans="1:53" ht="15.75" hidden="1" customHeight="1" outlineLevel="1">
      <c r="A115" s="1027"/>
      <c r="B115" s="1096"/>
      <c r="C115" s="1139" t="s">
        <v>45</v>
      </c>
      <c r="D115" s="1122">
        <f>Parametres!$D$14</f>
        <v>0.5</v>
      </c>
      <c r="E115" s="1068" t="e">
        <f>COUNTIFS(#REF!,"&gt;0",#REF!,"&gt;="&amp;B106,#REF!,"&lt;="&amp;EOMONTH(B106,0))</f>
        <v>#REF!</v>
      </c>
      <c r="F115" s="1069" t="e">
        <f>SUMIFS(#REF!,#REF!,"&lt;&gt;0",#REF!,"&gt;="&amp;B106,#REF!,"&lt;="&amp;EOMONTH(B106,0))</f>
        <v>#REF!</v>
      </c>
      <c r="G115" s="1098" t="e">
        <f t="shared" si="42"/>
        <v>#REF!</v>
      </c>
      <c r="H115" s="1070" t="e">
        <f ca="1">MINIFS(#REF!,#REF!,"&lt;&gt;0",#REF!,"&gt;="&amp;B106,#REF!,"&lt;="&amp;EOMONTH(B106,0))</f>
        <v>#NAME?</v>
      </c>
      <c r="I115" s="1078" t="e">
        <f ca="1">MAXIFS(#REF!,#REF!,"&lt;&gt;0",#REF!,"&gt;="&amp;B106,#REF!,"&lt;="&amp;EOMONTH(B106,0))</f>
        <v>#NAME?</v>
      </c>
      <c r="J115" s="1114" t="e">
        <f>COUNTIFS(#REF!,"&gt;="&amp;D115,#REF!,"&gt;="&amp;B106,#REF!,"&lt;="&amp;EOMONTH(B106,0))</f>
        <v>#REF!</v>
      </c>
      <c r="K115" s="1341" t="e">
        <f t="shared" si="43"/>
        <v>#REF!</v>
      </c>
      <c r="L115" s="1115"/>
      <c r="M115" s="1082"/>
      <c r="N115" s="1144">
        <f>Parametres!$L$14</f>
        <v>3</v>
      </c>
      <c r="O115" s="1077">
        <f>COUNTIFS('Degrémont Entrée'!$AS$14:$AS$379,"&gt;0",'Degrémont Entrée'!$A$14:$A$379,"&gt;="&amp;B106,'Degrémont Entrée'!$A$14:$A$379,"&lt;="&amp;EOMONTH(B106,0))</f>
        <v>4</v>
      </c>
      <c r="P115" s="1078">
        <f>SUMIFS('Degrémont Entrée'!$AS$14:$AS$379,'Degrémont Entrée'!$AS$14:$AS$379,"&lt;&gt;0",'Degrémont Entrée'!$A$14:$A$379,"&gt;="&amp;B106,'Degrémont Entrée'!$A$14:$A$379,"&lt;="&amp;EOMONTH(B106,0))</f>
        <v>1.25</v>
      </c>
      <c r="Q115" s="1078">
        <f>IF(O115=0,0,P115/O115)</f>
        <v>0.3125</v>
      </c>
      <c r="R115" s="1069" t="e">
        <f ca="1">MINIFS('Degrémont Entrée'!$AS$14:$AS$379,'Degrémont Entrée'!$AS$14:$AS$379,"&lt;&gt;0",'Degrémont Entrée'!$A$14:$A$379,"&gt;="&amp;B106,'Degrémont Entrée'!$A$14:$A$379,"&lt;="&amp;EOMONTH(B106,0))</f>
        <v>#NAME?</v>
      </c>
      <c r="S115" s="1069" t="e">
        <f ca="1">MAXIFS('Degrémont Entrée'!$AS$14:$AS$379,'Degrémont Entrée'!$AS$14:$AS$379,"&lt;&gt;0",'Degrémont Entrée'!$A$14:$A$379,"&gt;="&amp;B106,'Degrémont Entrée'!$A$14:$A$379,"&lt;="&amp;EOMONTH(B106,0))</f>
        <v>#NAME?</v>
      </c>
      <c r="T115" s="1145">
        <f>COUNTIFS('Degrémont Entrée'!$AS$14:$AS$379,"&gt;="&amp;N115,'Degrémont Entrée'!$A$14:$A$379,"&gt;="&amp;B106,'Degrémont Entrée'!$A$14:$A$379,"&lt;="&amp;EOMONTH(B106,0))</f>
        <v>0</v>
      </c>
      <c r="U115" s="1081">
        <f>T115/O115</f>
        <v>0</v>
      </c>
      <c r="V115" s="1132"/>
      <c r="W115" s="1083">
        <f>Parametres!$T$14</f>
        <v>0.12</v>
      </c>
      <c r="X115" s="1142">
        <f>COUNTIFS('Degrémont sortie'!$AM$14:$AM$379,"&gt;0",'Degrémont sortie'!$A$14:$A$379,"&gt;="&amp;B106,'Degrémont sortie'!$A$14:$A$379,"&lt;="&amp;EOMONTH(B106,0))</f>
        <v>4</v>
      </c>
      <c r="Y115" s="1085">
        <f>SUMIFS('Degrémont sortie'!$AM$14:$AM$379,'Degrémont sortie'!$AM$14:$AM$379,"&lt;&gt;0",'Degrémont sortie'!$A$14:$A$379,"&gt;="&amp;B106,'Degrémont sortie'!$A$14:$A$379,"&lt;="&amp;EOMONTH(B106,0))</f>
        <v>0.28000000000000003</v>
      </c>
      <c r="Z115" s="1069">
        <f t="shared" si="45"/>
        <v>7.0000000000000007E-2</v>
      </c>
      <c r="AA115" s="1069" t="e">
        <f ca="1">MINIFS('Degrémont sortie'!$AM$14:$AM$379,'Degrémont sortie'!$AM$14:$AM$379,"&lt;&gt;0",'Degrémont sortie'!$A$14:$A$379,"&gt;="&amp;B106,'Degrémont sortie'!$A$14:$A$379,"&lt;="&amp;EOMONTH(B106,0))</f>
        <v>#NAME?</v>
      </c>
      <c r="AB115" s="1069" t="e">
        <f ca="1">MAXIFS('Degrémont sortie'!$AM$14:$AM$379,'Degrémont sortie'!$AM$14:$AM$379,"&lt;&gt;0",'Degrémont sortie'!$A$14:$A$379,"&gt;="&amp;B106,'Degrémont sortie'!$A$14:$A$379,"&lt;="&amp;EOMONTH(B106,0))</f>
        <v>#NAME?</v>
      </c>
      <c r="AC115" s="1142">
        <f>COUNTIFS('Degrémont sortie'!$AM$14:$AM$379,"&gt;="&amp;W115,'Degrémont sortie'!$A$14:$A$379,"&gt;="&amp;B106,'Degrémont sortie'!$A$14:$A$379,"&lt;="&amp;EOMONTH(B106,0))</f>
        <v>0</v>
      </c>
      <c r="AD115" s="1087">
        <f t="shared" si="46"/>
        <v>0</v>
      </c>
      <c r="AE115" s="1132"/>
      <c r="AF115" s="1105"/>
      <c r="AG115" s="1106"/>
      <c r="AH115" s="1106"/>
      <c r="AI115" s="1106"/>
      <c r="AJ115" s="1106"/>
      <c r="AK115" s="1132"/>
      <c r="AL115" s="1105"/>
      <c r="AM115" s="1106"/>
      <c r="AN115" s="1106"/>
      <c r="AO115" s="1106"/>
      <c r="AP115" s="1106"/>
      <c r="AQ115" s="1132"/>
      <c r="AR115" s="1148"/>
      <c r="AS115" s="1105"/>
      <c r="AT115" s="1106"/>
      <c r="AU115" s="1106"/>
      <c r="AV115" s="1106"/>
      <c r="AW115" s="1138"/>
      <c r="AX115" s="1120"/>
      <c r="AY115" s="1094"/>
      <c r="AZ115" s="1095" t="e">
        <f t="shared" si="44"/>
        <v>#REF!</v>
      </c>
      <c r="BA115" s="2"/>
    </row>
    <row r="116" spans="1:53" ht="15.75" hidden="1" customHeight="1" outlineLevel="1">
      <c r="A116" s="1027"/>
      <c r="B116" s="1096"/>
      <c r="C116" s="1121" t="s">
        <v>20</v>
      </c>
      <c r="D116" s="1122">
        <f>Parametres!$D$15</f>
        <v>0.1</v>
      </c>
      <c r="E116" s="1068" t="e">
        <f>COUNTIFS(#REF!,"&gt;0",#REF!,"&gt;="&amp;B106,#REF!,"&lt;="&amp;EOMONTH(B106,0))</f>
        <v>#REF!</v>
      </c>
      <c r="F116" s="1069" t="e">
        <f>SUMIFS(#REF!,#REF!,"&lt;&gt;0",#REF!,"&gt;="&amp;B106,#REF!,"&lt;="&amp;EOMONTH(B106,0))</f>
        <v>#REF!</v>
      </c>
      <c r="G116" s="1098" t="e">
        <f t="shared" si="42"/>
        <v>#REF!</v>
      </c>
      <c r="H116" s="1070" t="e">
        <f ca="1">MINIFS(#REF!,#REF!,"&lt;&gt;0",#REF!,"&gt;="&amp;B106,#REF!,"&lt;="&amp;EOMONTH(B106,0))</f>
        <v>#NAME?</v>
      </c>
      <c r="I116" s="1078" t="e">
        <f ca="1">MAXIFS(#REF!,#REF!,"&lt;&gt;0",#REF!,"&gt;="&amp;B106,#REF!,"&lt;="&amp;EOMONTH(B106,0))</f>
        <v>#NAME?</v>
      </c>
      <c r="J116" s="1072" t="e">
        <f>COUNTIFS(#REF!,"&gt;="&amp;D116,#REF!,"&gt;="&amp;B106,#REF!,"&lt;="&amp;EOMONTH(B106,0))</f>
        <v>#REF!</v>
      </c>
      <c r="K116" s="1341" t="e">
        <f t="shared" si="43"/>
        <v>#REF!</v>
      </c>
      <c r="L116" s="1115"/>
      <c r="M116" s="1082"/>
      <c r="N116" s="1129"/>
      <c r="O116" s="1129"/>
      <c r="P116" s="1069"/>
      <c r="Q116" s="1069"/>
      <c r="R116" s="1069"/>
      <c r="S116" s="1069"/>
      <c r="T116" s="1143"/>
      <c r="U116" s="1143"/>
      <c r="V116" s="1132"/>
      <c r="W116" s="1129"/>
      <c r="X116" s="1129"/>
      <c r="Y116" s="1069"/>
      <c r="Z116" s="1069"/>
      <c r="AA116" s="1069"/>
      <c r="AB116" s="1069"/>
      <c r="AC116" s="1130"/>
      <c r="AD116" s="1131"/>
      <c r="AE116" s="1132"/>
      <c r="AF116" s="1105"/>
      <c r="AG116" s="1106"/>
      <c r="AH116" s="1106"/>
      <c r="AI116" s="1106"/>
      <c r="AJ116" s="1106"/>
      <c r="AK116" s="1132"/>
      <c r="AL116" s="1105"/>
      <c r="AM116" s="1106"/>
      <c r="AN116" s="1106"/>
      <c r="AO116" s="1106"/>
      <c r="AP116" s="1106"/>
      <c r="AQ116" s="1132"/>
      <c r="AR116" s="1148"/>
      <c r="AS116" s="1105"/>
      <c r="AT116" s="1106"/>
      <c r="AU116" s="1106"/>
      <c r="AV116" s="1106"/>
      <c r="AW116" s="1119"/>
      <c r="AX116" s="1120"/>
      <c r="AY116" s="1094"/>
      <c r="AZ116" s="1095" t="e">
        <f t="shared" si="44"/>
        <v>#REF!</v>
      </c>
      <c r="BA116" s="2"/>
    </row>
    <row r="117" spans="1:53" ht="15.75" hidden="1" customHeight="1" outlineLevel="1">
      <c r="A117" s="1027"/>
      <c r="B117" s="1096"/>
      <c r="C117" s="1121" t="s">
        <v>14</v>
      </c>
      <c r="D117" s="1122">
        <f>Parametres!$D$16</f>
        <v>10000000</v>
      </c>
      <c r="E117" s="1068" t="e">
        <f>COUNTIFS(#REF!,"&gt;0",#REF!,"&gt;="&amp;B106,#REF!,"&lt;="&amp;EOMONTH(B106,0))</f>
        <v>#REF!</v>
      </c>
      <c r="F117" s="1069" t="e">
        <f>SUMIFS(#REF!,#REF!,"&lt;&gt;0",#REF!,"&gt;="&amp;B106,#REF!,"&lt;="&amp;EOMONTH(B106,0))</f>
        <v>#REF!</v>
      </c>
      <c r="G117" s="1098" t="e">
        <f t="shared" si="42"/>
        <v>#REF!</v>
      </c>
      <c r="H117" s="1070" t="e">
        <f ca="1">MINIFS(#REF!,#REF!,"&lt;&gt;0",#REF!,"&gt;="&amp;B106,#REF!,"&lt;="&amp;EOMONTH(B106,0))</f>
        <v>#NAME?</v>
      </c>
      <c r="I117" s="1078" t="e">
        <f ca="1">MAXIFS(#REF!,#REF!,"&lt;&gt;0",#REF!,"&gt;="&amp;B106,#REF!,"&lt;="&amp;EOMONTH(B106,0))</f>
        <v>#NAME?</v>
      </c>
      <c r="J117" s="1072" t="e">
        <f>COUNTIFS(#REF!,"&gt;="&amp;D117,#REF!,"&gt;="&amp;B106,#REF!,"&lt;="&amp;EOMONTH(B106,0))</f>
        <v>#REF!</v>
      </c>
      <c r="K117" s="1341" t="e">
        <f t="shared" si="43"/>
        <v>#REF!</v>
      </c>
      <c r="L117" s="1115"/>
      <c r="M117" s="1082"/>
      <c r="N117" s="1129"/>
      <c r="O117" s="1129"/>
      <c r="P117" s="1069"/>
      <c r="Q117" s="1069"/>
      <c r="R117" s="1069"/>
      <c r="S117" s="1069"/>
      <c r="T117" s="1143"/>
      <c r="U117" s="1143"/>
      <c r="V117" s="1132"/>
      <c r="W117" s="1129"/>
      <c r="X117" s="1129"/>
      <c r="Y117" s="1069"/>
      <c r="Z117" s="1069"/>
      <c r="AA117" s="1069"/>
      <c r="AB117" s="1069"/>
      <c r="AC117" s="1130"/>
      <c r="AD117" s="1131"/>
      <c r="AE117" s="1132"/>
      <c r="AF117" s="1105"/>
      <c r="AG117" s="1106"/>
      <c r="AH117" s="1106"/>
      <c r="AI117" s="1106"/>
      <c r="AJ117" s="1106"/>
      <c r="AK117" s="1082"/>
      <c r="AL117" s="1136"/>
      <c r="AM117" s="1137"/>
      <c r="AN117" s="1137"/>
      <c r="AO117" s="1137"/>
      <c r="AP117" s="1137"/>
      <c r="AQ117" s="1082"/>
      <c r="AR117" s="1118"/>
      <c r="AS117" s="1105"/>
      <c r="AT117" s="1106"/>
      <c r="AU117" s="1106"/>
      <c r="AV117" s="1106"/>
      <c r="AW117" s="1138"/>
      <c r="AX117" s="1120"/>
      <c r="AY117" s="1094"/>
      <c r="AZ117" s="1095" t="e">
        <f t="shared" si="44"/>
        <v>#REF!</v>
      </c>
      <c r="BA117" s="2"/>
    </row>
    <row r="118" spans="1:53" ht="15.75" hidden="1" customHeight="1" outlineLevel="1">
      <c r="A118" s="1027"/>
      <c r="B118" s="1096"/>
      <c r="C118" s="1139" t="s">
        <v>284</v>
      </c>
      <c r="D118" s="1122">
        <f>Parametres!$D$17</f>
        <v>450</v>
      </c>
      <c r="E118" s="1068" t="e">
        <f>COUNTIFS(#REF!,"&gt;0",#REF!,"&gt;="&amp;B106,#REF!,"&lt;="&amp;EOMONTH(B106,0))</f>
        <v>#REF!</v>
      </c>
      <c r="F118" s="1069" t="e">
        <f>SUMIFS(#REF!,#REF!,"&lt;&gt;0",#REF!,"&gt;="&amp;B106,#REF!,"&lt;="&amp;EOMONTH(B106,0))</f>
        <v>#REF!</v>
      </c>
      <c r="G118" s="1069" t="e">
        <f t="shared" si="42"/>
        <v>#REF!</v>
      </c>
      <c r="H118" s="1070" t="e">
        <f ca="1">MINIFS(#REF!,#REF!,"&lt;&gt;0",#REF!,"&gt;="&amp;B106,#REF!,"&lt;="&amp;EOMONTH(B106,0))</f>
        <v>#NAME?</v>
      </c>
      <c r="I118" s="1078" t="e">
        <f ca="1">MAXIFS(#REF!,#REF!,"&lt;&gt;0",#REF!,"&gt;="&amp;B106,#REF!,"&lt;="&amp;EOMONTH(B106,0))</f>
        <v>#NAME?</v>
      </c>
      <c r="J118" s="1114" t="e">
        <f>COUNTIFS(#REF!,"&gt;="&amp;D118,#REF!,"&gt;="&amp;B106,#REF!,"&lt;="&amp;EOMONTH(B106,0))</f>
        <v>#REF!</v>
      </c>
      <c r="K118" s="1341" t="e">
        <f t="shared" si="43"/>
        <v>#REF!</v>
      </c>
      <c r="L118" s="1115"/>
      <c r="M118" s="1082"/>
      <c r="N118" s="1171"/>
      <c r="O118" s="1171"/>
      <c r="P118" s="1173"/>
      <c r="Q118" s="1173"/>
      <c r="R118" s="1173"/>
      <c r="S118" s="1173"/>
      <c r="T118" s="1175"/>
      <c r="U118" s="1175"/>
      <c r="V118" s="1177"/>
      <c r="W118" s="1129"/>
      <c r="X118" s="1129"/>
      <c r="Y118" s="1069"/>
      <c r="Z118" s="1069"/>
      <c r="AA118" s="1069"/>
      <c r="AB118" s="1069"/>
      <c r="AC118" s="1130"/>
      <c r="AD118" s="1131"/>
      <c r="AE118" s="1082"/>
      <c r="AF118" s="1105"/>
      <c r="AG118" s="1106"/>
      <c r="AH118" s="1106"/>
      <c r="AI118" s="1106"/>
      <c r="AJ118" s="1106"/>
      <c r="AK118" s="1132"/>
      <c r="AL118" s="1105"/>
      <c r="AM118" s="1106"/>
      <c r="AN118" s="1106"/>
      <c r="AO118" s="1106"/>
      <c r="AP118" s="1119"/>
      <c r="AQ118" s="1132"/>
      <c r="AR118" s="1148"/>
      <c r="AS118" s="1105"/>
      <c r="AT118" s="1106"/>
      <c r="AU118" s="1106"/>
      <c r="AV118" s="1106"/>
      <c r="AW118" s="1119"/>
      <c r="AX118" s="1120"/>
      <c r="AY118" s="1094"/>
      <c r="AZ118" s="1095" t="e">
        <f t="shared" si="44"/>
        <v>#REF!</v>
      </c>
      <c r="BA118" s="2"/>
    </row>
    <row r="119" spans="1:53" ht="15.75" hidden="1" customHeight="1" outlineLevel="1">
      <c r="A119" s="1027"/>
      <c r="B119" s="1096"/>
      <c r="C119" s="1182" t="s">
        <v>35</v>
      </c>
      <c r="D119" s="1122">
        <f>Parametres!$D$18</f>
        <v>1750</v>
      </c>
      <c r="E119" s="1068" t="e">
        <f>COUNTIFS(#REF!,"&gt;0",#REF!,"&gt;="&amp;B106,#REF!,"&lt;="&amp;EOMONTH(B106,0))</f>
        <v>#REF!</v>
      </c>
      <c r="F119" s="1069" t="e">
        <f>SUMIFS(#REF!,#REF!,"&lt;&gt;0",#REF!,"&gt;="&amp;B106,#REF!,"&lt;="&amp;EOMONTH(B106,0))</f>
        <v>#REF!</v>
      </c>
      <c r="G119" s="1069" t="e">
        <f t="shared" si="42"/>
        <v>#REF!</v>
      </c>
      <c r="H119" s="1070" t="e">
        <f ca="1">MINIFS(#REF!,#REF!,"&lt;&gt;0",#REF!,"&gt;="&amp;B106,#REF!,"&lt;="&amp;EOMONTH(B106,0))</f>
        <v>#NAME?</v>
      </c>
      <c r="I119" s="1078" t="e">
        <f ca="1">MAXIFS(#REF!,#REF!,"&lt;&gt;0",#REF!,"&gt;="&amp;B106,#REF!,"&lt;="&amp;EOMONTH(B106,0))</f>
        <v>#NAME?</v>
      </c>
      <c r="J119" s="1114" t="e">
        <f>COUNTIFS(#REF!,"&gt;="&amp;D119,#REF!,"&gt;="&amp;B106,#REF!,"&lt;="&amp;EOMONTH(B106,0))</f>
        <v>#REF!</v>
      </c>
      <c r="K119" s="1341" t="e">
        <f t="shared" si="43"/>
        <v>#REF!</v>
      </c>
      <c r="L119" s="1115"/>
      <c r="M119" s="1082"/>
      <c r="N119" s="1144">
        <f>Parametres!$L$18</f>
        <v>5000</v>
      </c>
      <c r="O119" s="1077">
        <f>COUNTIFS('Degrémont Entrée'!$K$14:$K$379,"&gt;0",'Degrémont Entrée'!$A$14:$A$379,"&gt;="&amp;B106,'Degrémont Entrée'!$A$14:$A$379,"&lt;="&amp;EOMONTH(B106,0))</f>
        <v>26</v>
      </c>
      <c r="P119" s="1078">
        <f>SUMIFS('Degrémont Entrée'!$K$14:$K$379,'Degrémont Entrée'!$K$14:$K$379,"&lt;&gt;0",'Degrémont Entrée'!$A$14:$A$379,"&gt;="&amp;B106,'Degrémont Entrée'!$A$14:$A$379,"&lt;="&amp;EOMONTH(B106,0))</f>
        <v>89926</v>
      </c>
      <c r="Q119" s="1078">
        <f t="shared" ref="Q119:Q121" si="47">IF(O119=0,0,P119/O119)</f>
        <v>3458.6923076923076</v>
      </c>
      <c r="R119" s="1078" t="e">
        <f ca="1">MINIFS('Degrémont Entrée'!$K$14:$K$379,'Degrémont Entrée'!$K$14:$K$379,"&lt;&gt;0",'Degrémont Entrée'!$A$14:$A$379,"&gt;="&amp;B106,'Degrémont Entrée'!$A$14:$A$379,"&lt;="&amp;EOMONTH(B106,0))</f>
        <v>#NAME?</v>
      </c>
      <c r="S119" s="1078" t="e">
        <f ca="1">MAXIFS('Degrémont Entrée'!$K$14:$K$379,'Degrémont Entrée'!$K$14:$K$379,"&lt;&gt;0",'Degrémont Entrée'!$A$14:$A$379,"&gt;="&amp;B106,'Degrémont Entrée'!$A$14:$A$379,"&lt;="&amp;EOMONTH(B106,0))</f>
        <v>#NAME?</v>
      </c>
      <c r="T119" s="1080">
        <f>COUNTIFS('Degrémont Entrée'!$K$14:$K$379,"&gt;="&amp;N119,'Degrémont Entrée'!$A$14:$A$379,"&gt;="&amp;B106,'Degrémont Entrée'!$A$14:$A$379,"&lt;="&amp;EOMONTH(B106,0))</f>
        <v>1</v>
      </c>
      <c r="U119" s="1081">
        <f>T119/O119</f>
        <v>3.8461538461538464E-2</v>
      </c>
      <c r="V119" s="1082"/>
      <c r="W119" s="1083">
        <f>Parametres!$T$18</f>
        <v>2000</v>
      </c>
      <c r="X119" s="1142">
        <f>COUNTIFS('Degrémont sortie'!$I$14:$I$379,"&gt;0",'Degrémont sortie'!$A$14:$A$379,"&gt;="&amp;B106,'Degrémont sortie'!$A$14:$A$379,"&lt;="&amp;EOMONTH(B106,0))</f>
        <v>27</v>
      </c>
      <c r="Y119" s="1085">
        <f>SUMIFS('Degrémont sortie'!$I$14:$I$379,'Degrémont sortie'!$I$14:$I$379,"&lt;&gt;0",'Degrémont sortie'!$A$14:$A$379,"&gt;="&amp;B106,'Degrémont sortie'!$A$14:$A$379,"&lt;="&amp;EOMONTH(B106,0))</f>
        <v>17774</v>
      </c>
      <c r="Z119" s="1069">
        <f>IF(X119=0,0,Y119/X119)</f>
        <v>658.2962962962963</v>
      </c>
      <c r="AA119" s="1069" t="e">
        <f ca="1">MINIFS('Degrémont sortie'!$I$14:$I$379,'Degrémont sortie'!$I$14:$I$379,"&lt;&gt;0",'Degrémont sortie'!$A$14:$A$379,"&gt;="&amp;B106,'Degrémont sortie'!$A$14:$A$379,"&lt;="&amp;EOMONTH(B106,0))</f>
        <v>#NAME?</v>
      </c>
      <c r="AB119" s="1069" t="e">
        <f ca="1">MAXIFS('Degrémont sortie'!$I$14:$I$379,'Degrémont sortie'!$I$14:$I$379,"&lt;&gt;0",'Degrémont sortie'!$A$14:$A$379,"&gt;="&amp;B106,'Degrémont sortie'!$A$14:$A$379,"&lt;="&amp;EOMONTH(B106,0))</f>
        <v>#NAME?</v>
      </c>
      <c r="AC119" s="1142">
        <f>COUNTIFS('Degrémont sortie'!$I$14:$I$379,"&gt;="&amp;W119,'Degrémont sortie'!$A$14:$A$379,"&gt;="&amp;B106,'Degrémont sortie'!$A$14:$A$379,"&lt;="&amp;EOMONTH(B106,0))</f>
        <v>0</v>
      </c>
      <c r="AD119" s="1087">
        <f>AC119/X119</f>
        <v>0</v>
      </c>
      <c r="AE119" s="1082"/>
      <c r="AF119" s="1205" t="e">
        <f>COUNTIFS(#REF!,"&gt;0",#REF!,"&gt;="&amp;B106,#REF!,"&lt;="&amp;EOMONTH(B106,0))</f>
        <v>#REF!</v>
      </c>
      <c r="AG119" s="1208" t="e">
        <f>SUMIFS(#REF!,#REF!,"&lt;&gt;0",#REF!,"&gt;="&amp;B106,#REF!,"&lt;="&amp;EOMONTH(B106,0))</f>
        <v>#REF!</v>
      </c>
      <c r="AH119" s="1208" t="e">
        <f>IF(AF119=0,0,AG119/AF119)</f>
        <v>#REF!</v>
      </c>
      <c r="AI119" s="1208" t="e">
        <f ca="1">MINIFS(#REF!,#REF!,"&lt;&gt;0",#REF!,"&gt;="&amp;B106,#REF!,"&lt;="&amp;EOMONTH(B106,0))</f>
        <v>#NAME?</v>
      </c>
      <c r="AJ119" s="1211" t="e">
        <f ca="1">MAXIFS(#REF!,#REF!,"&lt;&gt;0",#REF!,"&gt;="&amp;B106,#REF!,"&lt;="&amp;EOMONTH(B106,0))</f>
        <v>#NAME?</v>
      </c>
      <c r="AK119" s="1132"/>
      <c r="AL119" s="1205" t="e">
        <f>COUNTIFS(#REF!,"&gt;0",#REF!,"&gt;="&amp;B106,#REF!,"&lt;="&amp;EOMONTH(B106,0))</f>
        <v>#REF!</v>
      </c>
      <c r="AM119" s="1208" t="e">
        <f>SUMIFS(#REF!,#REF!,"&lt;&gt;0",#REF!,"&gt;="&amp;B106,#REF!,"&lt;="&amp;EOMONTH(B106,0))</f>
        <v>#REF!</v>
      </c>
      <c r="AN119" s="1208" t="e">
        <f>IF(AL119=0,0,AM119/AL119)</f>
        <v>#REF!</v>
      </c>
      <c r="AO119" s="1208" t="e">
        <f ca="1">MINIFS(#REF!,#REF!,"&lt;&gt;0",#REF!,"&gt;="&amp;B106,#REF!,"&lt;="&amp;EOMONTH(B106,0))</f>
        <v>#NAME?</v>
      </c>
      <c r="AP119" s="1218" t="e">
        <f ca="1">MAXIFS(#REF!,#REF!,"&lt;&gt;0",#REF!,"&gt;="&amp;B106,#REF!,"&lt;="&amp;EOMONTH(B106,0))</f>
        <v>#NAME?</v>
      </c>
      <c r="AQ119" s="1132"/>
      <c r="AR119" s="1220">
        <f>Parametres!$AM$18</f>
        <v>17000</v>
      </c>
      <c r="AS119" s="1205" t="e">
        <f>COUNTIFS(#REF!,"&gt;0",#REF!,"&gt;="&amp;B106,#REF!,"&lt;="&amp;EOMONTH(B106,0))</f>
        <v>#REF!</v>
      </c>
      <c r="AT119" s="1208" t="e">
        <f>SUMIFS(#REF!,#REF!,"&lt;&gt;0",#REF!,"&gt;="&amp;B106,#REF!,"&lt;="&amp;EOMONTH(B106,0))</f>
        <v>#REF!</v>
      </c>
      <c r="AU119" s="1208" t="e">
        <f>IF(AS119=0,0,AT119/AS119)</f>
        <v>#REF!</v>
      </c>
      <c r="AV119" s="1208" t="e">
        <f ca="1">MINIFS(#REF!,#REF!,"&lt;&gt;0",#REF!,"&gt;="&amp;B106,#REF!,"&lt;="&amp;EOMONTH(B106,0))</f>
        <v>#NAME?</v>
      </c>
      <c r="AW119" s="1222" t="e">
        <f ca="1">MAXIFS(#REF!,#REF!,"&lt;&gt;0",#REF!,"&gt;="&amp;B106,#REF!,"&lt;="&amp;EOMONTH(B106,0))</f>
        <v>#NAME?</v>
      </c>
      <c r="AX119" s="1223" t="e">
        <f>COUNTIFS(#REF!,"&gt;="&amp;AR119,#REF!,"&gt;="&amp;B106,#REF!,"&lt;="&amp;EOMONTH(B106,0))</f>
        <v>#REF!</v>
      </c>
      <c r="AY119" s="1224" t="e">
        <f>AX119/AS119</f>
        <v>#REF!</v>
      </c>
      <c r="AZ119" s="1095" t="e">
        <f t="shared" si="44"/>
        <v>#REF!</v>
      </c>
      <c r="BA119" s="2"/>
    </row>
    <row r="120" spans="1:53" ht="15.75" hidden="1" customHeight="1" outlineLevel="1">
      <c r="A120" s="1027"/>
      <c r="B120" s="1096"/>
      <c r="C120" s="1139" t="s">
        <v>36</v>
      </c>
      <c r="D120" s="1122">
        <f>Parametres!$D$19</f>
        <v>100000</v>
      </c>
      <c r="E120" s="1068" t="e">
        <f>COUNTIFS(#REF!,"&gt;0",#REF!,"&gt;="&amp;B106,#REF!,"&lt;="&amp;EOMONTH(B106,0))</f>
        <v>#REF!</v>
      </c>
      <c r="F120" s="1069" t="e">
        <f>SUMIFS(#REF!,#REF!,"&lt;&gt;0",#REF!,"&gt;="&amp;B106,#REF!,"&lt;="&amp;EOMONTH(B106,0))</f>
        <v>#REF!</v>
      </c>
      <c r="G120" s="1069" t="e">
        <f t="shared" si="42"/>
        <v>#REF!</v>
      </c>
      <c r="H120" s="1070" t="e">
        <f ca="1">MINIFS(#REF!,#REF!,"&lt;&gt;0",#REF!,"&gt;="&amp;B106,#REF!,"&lt;="&amp;EOMONTH(B106,0))</f>
        <v>#NAME?</v>
      </c>
      <c r="I120" s="1078" t="e">
        <f ca="1">MAXIFS(#REF!,#REF!,"&lt;&gt;0",#REF!,"&gt;="&amp;B106,#REF!,"&lt;="&amp;EOMONTH(B106,0))</f>
        <v>#NAME?</v>
      </c>
      <c r="J120" s="1072" t="s">
        <v>153</v>
      </c>
      <c r="K120" s="1072" t="s">
        <v>153</v>
      </c>
      <c r="L120" s="1115"/>
      <c r="M120" s="1082"/>
      <c r="N120" s="1144">
        <f>Parametres!$L$19</f>
        <v>100000</v>
      </c>
      <c r="O120" s="1077">
        <f>COUNTIFS('Degrémont Entrée'!$O$14:$O$379,"&gt;0",'Degrémont Entrée'!$A$14:$A$379,"&gt;="&amp;B106,'Degrémont Entrée'!$A$14:$A$379,"&lt;="&amp;EOMONTH(B106,0))</f>
        <v>26</v>
      </c>
      <c r="P120" s="1078">
        <f>SUMIFS('Degrémont Entrée'!$O$14:$O$379,'Degrémont Entrée'!$O$14:$O$379,"&lt;&gt;0",'Degrémont Entrée'!$A$14:$A$379,"&gt;="&amp;B106,'Degrémont Entrée'!$A$14:$A$379,"&lt;="&amp;EOMONTH(B106,0))</f>
        <v>22650</v>
      </c>
      <c r="Q120" s="1078">
        <f t="shared" si="47"/>
        <v>871.15384615384619</v>
      </c>
      <c r="R120" s="1173" t="e">
        <f ca="1">MINIFS('Degrémont Entrée'!$O$14:$O$379,'Degrémont Entrée'!$O$14:$O$379,"&lt;&gt;0",'Degrémont Entrée'!$A$14:$A$379,"&gt;="&amp;B106,'Degrémont Entrée'!$A$14:$A$379,"&lt;="&amp;EOMONTH(B106,0))</f>
        <v>#NAME?</v>
      </c>
      <c r="S120" s="1227" t="e">
        <f ca="1">MAXIFS('Degrémont Entrée'!$O$14:$O$379,'Degrémont Entrée'!$O$14:$O$379,"&lt;&gt;0",'Degrémont Entrée'!$A$14:$A$379,"&gt;="&amp;B106,'Degrémont Entrée'!$A$14:$A$379,"&lt;="&amp;EOMONTH(B106,0))</f>
        <v>#NAME?</v>
      </c>
      <c r="T120" s="1228" t="s">
        <v>153</v>
      </c>
      <c r="U120" s="1228" t="s">
        <v>153</v>
      </c>
      <c r="V120" s="1177"/>
      <c r="W120" s="1129"/>
      <c r="X120" s="1129"/>
      <c r="Y120" s="1069"/>
      <c r="Z120" s="1069"/>
      <c r="AA120" s="1069"/>
      <c r="AB120" s="1069"/>
      <c r="AC120" s="1130"/>
      <c r="AD120" s="1131"/>
      <c r="AE120" s="1082"/>
      <c r="AF120" s="1106"/>
      <c r="AG120" s="1106"/>
      <c r="AH120" s="1106"/>
      <c r="AI120" s="1106"/>
      <c r="AJ120" s="1106"/>
      <c r="AK120" s="1132"/>
      <c r="AL120" s="1106"/>
      <c r="AM120" s="1106"/>
      <c r="AN120" s="1106"/>
      <c r="AO120" s="1106"/>
      <c r="AP120" s="1119"/>
      <c r="AQ120" s="1132"/>
      <c r="AR120" s="1106"/>
      <c r="AS120" s="1106"/>
      <c r="AT120" s="1106"/>
      <c r="AU120" s="1106"/>
      <c r="AV120" s="1106"/>
      <c r="AW120" s="1119"/>
      <c r="AX120" s="1120"/>
      <c r="AY120" s="1094"/>
      <c r="AZ120" s="1095" t="e">
        <f t="shared" si="44"/>
        <v>#REF!</v>
      </c>
      <c r="BA120" s="2"/>
    </row>
    <row r="121" spans="1:53" ht="15.75" hidden="1" customHeight="1" outlineLevel="1">
      <c r="A121" s="1027"/>
      <c r="B121" s="1096"/>
      <c r="C121" s="1139" t="s">
        <v>32</v>
      </c>
      <c r="D121" s="1122">
        <f>Parametres!$D$20</f>
        <v>4800</v>
      </c>
      <c r="E121" s="1068" t="e">
        <f>COUNTIFS(#REF!,"&gt;0",#REF!,"&gt;="&amp;B106,#REF!,"&lt;="&amp;EOMONTH(B106,0))</f>
        <v>#REF!</v>
      </c>
      <c r="F121" s="1069" t="e">
        <f>SUMIFS(#REF!,#REF!,"&lt;&gt;0",#REF!,"&gt;="&amp;B106,#REF!,"&lt;="&amp;EOMONTH(B106,0))</f>
        <v>#REF!</v>
      </c>
      <c r="G121" s="1069" t="e">
        <f t="shared" si="42"/>
        <v>#REF!</v>
      </c>
      <c r="H121" s="1070" t="e">
        <f ca="1">MINIFS(#REF!,#REF!,"&lt;&gt;0",#REF!,"&gt;="&amp;B106,#REF!,"&lt;="&amp;EOMONTH(B106,0))</f>
        <v>#NAME?</v>
      </c>
      <c r="I121" s="1078" t="e">
        <f ca="1">MAXIFS(#REF!,#REF!,"&lt;&gt;0",#REF!,"&gt;="&amp;B106,#REF!,"&lt;="&amp;EOMONTH(B106,0))</f>
        <v>#NAME?</v>
      </c>
      <c r="J121" s="1072" t="e">
        <f>COUNTIFS(#REF!,"&gt;="&amp;D121,#REF!,"&gt;="&amp;B106,#REF!,"&lt;="&amp;EOMONTH(B106,0))</f>
        <v>#REF!</v>
      </c>
      <c r="K121" s="1341" t="e">
        <f t="shared" ref="K121:K122" si="48">J121/E121</f>
        <v>#REF!</v>
      </c>
      <c r="L121" s="1115"/>
      <c r="M121" s="1082"/>
      <c r="N121" s="1144">
        <f>Parametres!$L$20</f>
        <v>1000</v>
      </c>
      <c r="O121" s="1077">
        <f>COUNTIFS('Degrémont Entrée'!$B$14:$B$379,"&gt;0",'Degrémont Entrée'!$A$14:$A$379,"&gt;="&amp;B106,'Degrémont Entrée'!$A$14:$A$379,"&lt;="&amp;EOMONTH(B106,0))</f>
        <v>26</v>
      </c>
      <c r="P121" s="1078">
        <f>SUMIFS('Degrémont Entrée'!$B$14:$B$379,'Degrémont Entrée'!$B$14:$B$379,"&lt;&gt;0",'Degrémont Entrée'!$A$14:$A$379,"&gt;="&amp;B106,'Degrémont Entrée'!$A$14:$A$379,"&lt;="&amp;EOMONTH(B106,0))</f>
        <v>24697</v>
      </c>
      <c r="Q121" s="1078">
        <f t="shared" si="47"/>
        <v>949.88461538461536</v>
      </c>
      <c r="R121" s="1173" t="e">
        <f ca="1">MINIFS('Degrémont Entrée'!$B$14:$B$379,'Degrémont Entrée'!$B$14:$B$379,"&lt;&gt;0",'Degrémont Entrée'!$A$14:$A$379,"&gt;="&amp;B106,'Degrémont Entrée'!$A$14:$A$379,"&lt;="&amp;EOMONTH(B106,0))</f>
        <v>#NAME?</v>
      </c>
      <c r="S121" s="1078" t="e">
        <f ca="1">MAXIFS('Degrémont Entrée'!$B$14:$B$379,'Degrémont Entrée'!$B$14:$B$379,"&lt;&gt;0",'Degrémont Entrée'!$A$14:$A$379,"&gt;="&amp;B106,'Degrémont Entrée'!$A$14:$A$379,"&lt;="&amp;EOMONTH(B106,0))</f>
        <v>#NAME?</v>
      </c>
      <c r="T121" s="1236">
        <f>COUNTIFS('Degrémont Entrée'!$B$14:$B$379,"&gt;="&amp;N121,'Degrémont Entrée'!$A$14:$A$379,"&gt;="&amp;B106,'Degrémont Entrée'!$A$14:$A$379,"&lt;="&amp;EOMONTH(B106,0))</f>
        <v>10</v>
      </c>
      <c r="U121" s="1081">
        <f>T121/O121</f>
        <v>0.38461538461538464</v>
      </c>
      <c r="V121" s="1177"/>
      <c r="W121" s="1083">
        <f>Parametres!$T$20</f>
        <v>1000</v>
      </c>
      <c r="X121" s="1142">
        <f>COUNTIFS('Degrémont sortie'!$B$14:$B$379,"&gt;0",'Degrémont sortie'!$A$14:$A$379,"&gt;="&amp;B106,'Degrémont sortie'!$A$14:$A$379,"&lt;="&amp;EOMONTH(B106,0))</f>
        <v>26</v>
      </c>
      <c r="Y121" s="1085">
        <f>SUMIFS('Degrémont sortie'!$B$14:$B$379,'Degrémont sortie'!$B$14:$B$379,"&lt;&gt;0",'Degrémont sortie'!$A$14:$A$379,"&gt;="&amp;B106,'Degrémont sortie'!$A$14:$A$379,"&lt;="&amp;EOMONTH(B106,0))</f>
        <v>24697</v>
      </c>
      <c r="Z121" s="1069">
        <f>IF(X121=0,0,Y121/X121)</f>
        <v>949.88461538461536</v>
      </c>
      <c r="AA121" s="1069" t="e">
        <f ca="1">MINIFS('Degrémont sortie'!$B$14:$B$379,'Degrémont sortie'!$B$14:$B$379,"&lt;&gt;0",'Degrémont sortie'!$A$14:$A$379,"&gt;="&amp;B106,'Degrémont sortie'!$A$14:$A$379,"&lt;="&amp;EOMONTH(B106,0))</f>
        <v>#NAME?</v>
      </c>
      <c r="AB121" s="1069" t="e">
        <f ca="1">MAXIFS('Degrémont sortie'!$B$14:$B$379,'Degrémont sortie'!$B$14:$B$379,"&lt;&gt;0",'Degrémont sortie'!$A$14:$A$379,"&gt;="&amp;B106,'Degrémont sortie'!$A$14:$A$379,"&lt;="&amp;EOMONTH(B106,0))</f>
        <v>#NAME?</v>
      </c>
      <c r="AC121" s="1142">
        <f>COUNTIFS('Degrémont sortie'!$B$14:$B$379,"&gt;="&amp;W121,'Degrémont sortie'!$A$14:$A$379,"&gt;="&amp;B106,'Degrémont sortie'!$A$14:$A$379,"&lt;="&amp;EOMONTH(B106,0))</f>
        <v>10</v>
      </c>
      <c r="AD121" s="1087">
        <f>AC121/X121</f>
        <v>0.38461538461538464</v>
      </c>
      <c r="AE121" s="1082"/>
      <c r="AF121" s="1205" t="e">
        <f>COUNTIFS(#REF!,"&gt;0",#REF!,"&gt;="&amp;B106,#REF!,"&lt;="&amp;EOMONTH(B106,0))</f>
        <v>#REF!</v>
      </c>
      <c r="AG121" s="1208" t="e">
        <f>SUMIFS(#REF!,#REF!,"&lt;&gt;0",#REF!,"&gt;="&amp;B106,#REF!,"&lt;="&amp;EOMONTH(B106,0))</f>
        <v>#REF!</v>
      </c>
      <c r="AH121" s="1208" t="e">
        <f>IF(AF121=0,0,AG121/AF121)</f>
        <v>#REF!</v>
      </c>
      <c r="AI121" s="1208" t="e">
        <f ca="1">MINIFS(#REF!,#REF!,"&lt;&gt;0",#REF!,"&gt;="&amp;B106,#REF!,"&lt;="&amp;EOMONTH(B106,0))</f>
        <v>#NAME?</v>
      </c>
      <c r="AJ121" s="1208" t="e">
        <f ca="1">MAXIFS(#REF!,#REF!,"&lt;&gt;0",#REF!,"&gt;="&amp;B106,#REF!,"&lt;="&amp;EOMONTH(B106,0))</f>
        <v>#NAME?</v>
      </c>
      <c r="AK121" s="1132"/>
      <c r="AL121" s="1106"/>
      <c r="AM121" s="1106"/>
      <c r="AN121" s="1106"/>
      <c r="AO121" s="1106"/>
      <c r="AP121" s="1119"/>
      <c r="AQ121" s="1132"/>
      <c r="AR121" s="1220">
        <f>Parametres!$AM$20</f>
        <v>1000000</v>
      </c>
      <c r="AS121" s="1205" t="e">
        <f>COUNTIFS(#REF!,"&gt;0",#REF!,"&gt;="&amp;B106,#REF!,"&lt;="&amp;EOMONTH(B106,0))</f>
        <v>#REF!</v>
      </c>
      <c r="AT121" s="1208" t="e">
        <f>SUMIFS(#REF!,#REF!,"&lt;&gt;0",#REF!,"&gt;="&amp;B106,#REF!,"&lt;="&amp;EOMONTH(B106,0))</f>
        <v>#REF!</v>
      </c>
      <c r="AU121" s="1208" t="e">
        <f>IF(AS121=0,0,AT121/AS121)</f>
        <v>#REF!</v>
      </c>
      <c r="AV121" s="1208" t="e">
        <f ca="1">MINIFS(#REF!,#REF!,"&lt;&gt;0",#REF!,"&gt;="&amp;B106,#REF!,"&lt;="&amp;EOMONTH(B106,0))</f>
        <v>#NAME?</v>
      </c>
      <c r="AW121" s="1222" t="e">
        <f ca="1">MAXIFS(#REF!,#REF!,"&lt;&gt;0",#REF!,"&gt;="&amp;B106,#REF!,"&lt;="&amp;EOMONTH(B106,0))</f>
        <v>#NAME?</v>
      </c>
      <c r="AX121" s="1243" t="s">
        <v>153</v>
      </c>
      <c r="AY121" s="1224" t="e">
        <f>AX121/AS121</f>
        <v>#VALUE!</v>
      </c>
      <c r="AZ121" s="1095" t="e">
        <f t="shared" si="44"/>
        <v>#REF!</v>
      </c>
      <c r="BA121" s="2"/>
    </row>
    <row r="122" spans="1:53" ht="15.75" hidden="1" customHeight="1" outlineLevel="1">
      <c r="A122" s="1027"/>
      <c r="B122" s="1096"/>
      <c r="C122" s="1121" t="s">
        <v>21</v>
      </c>
      <c r="D122" s="1122">
        <f>Parametres!$D$22</f>
        <v>2</v>
      </c>
      <c r="E122" s="1068" t="e">
        <f>COUNTIFS(#REF!,"&gt;0",#REF!,"&gt;="&amp;B106,#REF!,"&lt;="&amp;EOMONTH(B106,0))</f>
        <v>#REF!</v>
      </c>
      <c r="F122" s="1069" t="e">
        <f>SUMIFS(#REF!,#REF!,"&lt;&gt;0",#REF!,"&gt;="&amp;B106,#REF!,"&lt;="&amp;EOMONTH(B106,0))</f>
        <v>#REF!</v>
      </c>
      <c r="G122" s="1069" t="e">
        <f t="shared" si="42"/>
        <v>#REF!</v>
      </c>
      <c r="H122" s="1070" t="e">
        <f ca="1">MINIFS(#REF!,#REF!,"&lt;&gt;0",#REF!,"&gt;="&amp;B106,#REF!,"&lt;="&amp;EOMONTH(B106,0))</f>
        <v>#NAME?</v>
      </c>
      <c r="I122" s="1078" t="e">
        <f ca="1">MAXIFS(#REF!,#REF!,"&lt;&gt;0",#REF!,"&gt;="&amp;B106,#REF!,"&lt;="&amp;EOMONTH(B106,0))</f>
        <v>#NAME?</v>
      </c>
      <c r="J122" s="1072" t="e">
        <f>COUNTIFS(#REF!,"&gt;="&amp;D122,#REF!,"&gt;="&amp;B106,#REF!,"&lt;="&amp;EOMONTH(B106,0))</f>
        <v>#REF!</v>
      </c>
      <c r="K122" s="1341" t="e">
        <f t="shared" si="48"/>
        <v>#REF!</v>
      </c>
      <c r="L122" s="1115"/>
      <c r="M122" s="1082"/>
      <c r="N122" s="1171"/>
      <c r="O122" s="1171"/>
      <c r="P122" s="1173"/>
      <c r="Q122" s="1173"/>
      <c r="R122" s="1173"/>
      <c r="S122" s="1173"/>
      <c r="T122" s="1175"/>
      <c r="U122" s="1175"/>
      <c r="V122" s="1082"/>
      <c r="W122" s="1106"/>
      <c r="X122" s="1106"/>
      <c r="Y122" s="1069"/>
      <c r="Z122" s="1069"/>
      <c r="AA122" s="1069"/>
      <c r="AB122" s="1069"/>
      <c r="AC122" s="1248"/>
      <c r="AD122" s="1249"/>
      <c r="AE122" s="1082"/>
      <c r="AF122" s="1106"/>
      <c r="AG122" s="1106"/>
      <c r="AH122" s="1106"/>
      <c r="AI122" s="1106"/>
      <c r="AJ122" s="1106"/>
      <c r="AK122" s="1132"/>
      <c r="AL122" s="1106"/>
      <c r="AM122" s="1106"/>
      <c r="AN122" s="1106"/>
      <c r="AO122" s="1106"/>
      <c r="AP122" s="1119"/>
      <c r="AQ122" s="1132"/>
      <c r="AR122" s="1106"/>
      <c r="AS122" s="1106"/>
      <c r="AT122" s="1106"/>
      <c r="AU122" s="1106"/>
      <c r="AV122" s="1106"/>
      <c r="AW122" s="1119"/>
      <c r="AX122" s="1120"/>
      <c r="AY122" s="1094"/>
      <c r="AZ122" s="1095" t="e">
        <f t="shared" si="44"/>
        <v>#REF!</v>
      </c>
      <c r="BA122" s="2"/>
    </row>
    <row r="123" spans="1:53" ht="15.75" hidden="1" customHeight="1" outlineLevel="1">
      <c r="A123" s="1027"/>
      <c r="B123" s="1096"/>
      <c r="C123" s="1121" t="s">
        <v>22</v>
      </c>
      <c r="D123" s="1122">
        <f>Parametres!$D$23</f>
        <v>1000000</v>
      </c>
      <c r="E123" s="1068" t="e">
        <f>COUNTIFS(#REF!,"&gt;0",#REF!,"&gt;="&amp;B106,#REF!,"&lt;="&amp;EOMONTH(B106,0))</f>
        <v>#REF!</v>
      </c>
      <c r="F123" s="1069" t="e">
        <f>SUMIFS(#REF!,#REF!,"&lt;&gt;0",#REF!,"&gt;="&amp;B106,#REF!,"&lt;="&amp;EOMONTH(B106,0))</f>
        <v>#REF!</v>
      </c>
      <c r="G123" s="1069" t="e">
        <f t="shared" si="42"/>
        <v>#REF!</v>
      </c>
      <c r="H123" s="1070" t="e">
        <f ca="1">MINIFS(#REF!,#REF!,"&lt;&gt;0",#REF!,"&gt;="&amp;B106,#REF!,"&lt;="&amp;EOMONTH(B106,0))</f>
        <v>#NAME?</v>
      </c>
      <c r="I123" s="1078" t="e">
        <f ca="1">MAXIFS(#REF!,#REF!,"&lt;&gt;0",#REF!,"&gt;="&amp;B106,#REF!,"&lt;="&amp;EOMONTH(B106,0))</f>
        <v>#NAME?</v>
      </c>
      <c r="J123" s="1072" t="s">
        <v>153</v>
      </c>
      <c r="K123" s="1072" t="s">
        <v>153</v>
      </c>
      <c r="L123" s="1115"/>
      <c r="M123" s="1082"/>
      <c r="N123" s="1171"/>
      <c r="O123" s="1171"/>
      <c r="P123" s="1173"/>
      <c r="Q123" s="1173"/>
      <c r="R123" s="1173"/>
      <c r="S123" s="1173"/>
      <c r="T123" s="1175"/>
      <c r="U123" s="1175"/>
      <c r="V123" s="1082"/>
      <c r="W123" s="1106"/>
      <c r="X123" s="1106"/>
      <c r="Y123" s="1069"/>
      <c r="Z123" s="1069"/>
      <c r="AA123" s="1069"/>
      <c r="AB123" s="1069"/>
      <c r="AC123" s="1248"/>
      <c r="AD123" s="1249"/>
      <c r="AE123" s="1082"/>
      <c r="AF123" s="1106"/>
      <c r="AG123" s="1106"/>
      <c r="AH123" s="1106"/>
      <c r="AI123" s="1106"/>
      <c r="AJ123" s="1106"/>
      <c r="AK123" s="1132"/>
      <c r="AL123" s="1106"/>
      <c r="AM123" s="1106"/>
      <c r="AN123" s="1106"/>
      <c r="AO123" s="1106"/>
      <c r="AP123" s="1119"/>
      <c r="AQ123" s="1132"/>
      <c r="AR123" s="1106"/>
      <c r="AS123" s="1106"/>
      <c r="AT123" s="1106"/>
      <c r="AU123" s="1106"/>
      <c r="AV123" s="1106"/>
      <c r="AW123" s="1119"/>
      <c r="AX123" s="1120"/>
      <c r="AY123" s="1094"/>
      <c r="AZ123" s="1095" t="e">
        <f t="shared" si="44"/>
        <v>#REF!</v>
      </c>
      <c r="BA123" s="2"/>
    </row>
    <row r="124" spans="1:53" ht="15.75" hidden="1" customHeight="1" outlineLevel="1">
      <c r="A124" s="1027"/>
      <c r="B124" s="1096"/>
      <c r="C124" s="1139" t="s">
        <v>44</v>
      </c>
      <c r="D124" s="1122">
        <f>Parametres!$D$24</f>
        <v>5</v>
      </c>
      <c r="E124" s="1068" t="e">
        <f>COUNTIFS(#REF!,"&gt;0",#REF!,"&gt;="&amp;B106,#REF!,"&lt;="&amp;EOMONTH(B106,0))</f>
        <v>#REF!</v>
      </c>
      <c r="F124" s="1069" t="e">
        <f>SUMIFS(#REF!,#REF!,"&lt;&gt;0",#REF!,"&gt;="&amp;B106,#REF!,"&lt;="&amp;EOMONTH(B106,0))</f>
        <v>#REF!</v>
      </c>
      <c r="G124" s="1069" t="e">
        <f t="shared" si="42"/>
        <v>#REF!</v>
      </c>
      <c r="H124" s="1070" t="e">
        <f ca="1">MINIFS(#REF!,#REF!,"&lt;&gt;0",#REF!,"&gt;="&amp;B106,#REF!,"&lt;="&amp;EOMONTH(B106,0))</f>
        <v>#NAME?</v>
      </c>
      <c r="I124" s="1078" t="e">
        <f ca="1">MAXIFS(#REF!,#REF!,"&lt;&gt;0",#REF!,"&gt;="&amp;B106,#REF!,"&lt;="&amp;EOMONTH(B106,0))</f>
        <v>#NAME?</v>
      </c>
      <c r="J124" s="1072" t="e">
        <f>COUNTIFS(#REF!,"&gt;="&amp;D124,#REF!,"&gt;="&amp;B106,#REF!,"&lt;="&amp;EOMONTH(B106,0))</f>
        <v>#REF!</v>
      </c>
      <c r="K124" s="1341" t="e">
        <f t="shared" ref="K124:K132" si="49">J124/E124</f>
        <v>#REF!</v>
      </c>
      <c r="L124" s="1115"/>
      <c r="M124" s="1082"/>
      <c r="N124" s="1144">
        <f>Parametres!$L$24</f>
        <v>60</v>
      </c>
      <c r="O124" s="1077">
        <f>COUNTIFS('Degrémont Entrée'!$AP$14:$AP$379,"&gt;0",'Degrémont Entrée'!$A$14:$A$379,"&gt;="&amp;B106,'Degrémont Entrée'!$A$14:$A$379,"&lt;="&amp;EOMONTH(B106,0))</f>
        <v>4</v>
      </c>
      <c r="P124" s="1078">
        <f>SUMIFS('Degrémont Entrée'!$AP$14:$AP$379,'Degrémont Entrée'!$AP$14:$AP$379,"&lt;&gt;0",'Degrémont Entrée'!$A$14:$A$379,"&gt;="&amp;B106,'Degrémont Entrée'!$A$14:$A$379,"&lt;="&amp;EOMONTH(B106,0))</f>
        <v>225.3</v>
      </c>
      <c r="Q124" s="1078">
        <f>IF(O124=0,0,P124/O124)</f>
        <v>56.325000000000003</v>
      </c>
      <c r="R124" s="1078" t="e">
        <f ca="1">MINIFS('Degrémont Entrée'!$AP$14:$AP$379,'Degrémont Entrée'!$AP$14:$AP$379,"&lt;&gt;0",'Degrémont Entrée'!$A$14:$A$379,"&gt;="&amp;B106,'Degrémont Entrée'!$A$14:$A$379,"&lt;="&amp;EOMONTH(B106,0))</f>
        <v>#NAME?</v>
      </c>
      <c r="S124" s="1078" t="e">
        <f ca="1">MAXIFS('Degrémont Entrée'!$AP$14:$AP$379,'Degrémont Entrée'!$AP$14:$AP$379,"&lt;&gt;0",'Degrémont Entrée'!$A$14:$A$379,"&gt;="&amp;B106,'Degrémont Entrée'!$A$14:$A$379,"&lt;="&amp;EOMONTH(B106,0))</f>
        <v>#NAME?</v>
      </c>
      <c r="T124" s="1080">
        <f>COUNTIFS('Degrémont Entrée'!$AP$14:$AP$379,"&gt;="&amp;N124,'Degrémont Entrée'!$A$14:$A$379,"&gt;="&amp;B106,'Degrémont Entrée'!$A$14:$A$379,"&lt;="&amp;EOMONTH(B106,0))</f>
        <v>1</v>
      </c>
      <c r="U124" s="1081">
        <f>T124/O124</f>
        <v>0.25</v>
      </c>
      <c r="V124" s="1082"/>
      <c r="W124" s="1083">
        <f>Parametres!$T$24</f>
        <v>1.6</v>
      </c>
      <c r="X124" s="1142">
        <f>COUNTIFS('Degrémont sortie'!$AJ$14:$AJ$379,"&gt;0",'Degrémont sortie'!$A$14:$A$379,"&gt;="&amp;B106,'Degrémont sortie'!$A$14:$A$379,"&lt;="&amp;EOMONTH(B106,0))</f>
        <v>4</v>
      </c>
      <c r="Y124" s="1085">
        <f>SUMIFS('Degrémont sortie'!$AJ$14:$AJ$379,'Degrémont sortie'!$AJ$14:$AJ$379,"&lt;&gt;0",'Degrémont sortie'!$A$14:$A$379,"&gt;="&amp;B106,'Degrémont sortie'!$A$14:$A$379,"&lt;="&amp;EOMONTH(B106,0))</f>
        <v>2.2000000000000002</v>
      </c>
      <c r="Z124" s="1069">
        <f>IF(X124=0,0,Y124/X124)</f>
        <v>0.55000000000000004</v>
      </c>
      <c r="AA124" s="1069" t="e">
        <f ca="1">MINIFS('Degrémont sortie'!$AJ$14:$AJ$379,'Degrémont sortie'!$AJ$14:$AJ$379,"&lt;&gt;0",'Degrémont sortie'!$A$14:$A$379,"&gt;="&amp;B106,'Degrémont sortie'!$A$14:$A$379,"&lt;="&amp;EOMONTH(B106,0))</f>
        <v>#NAME?</v>
      </c>
      <c r="AB124" s="1069" t="e">
        <f ca="1">MAXIFS('Degrémont sortie'!$AJ$14:$AJ$379,'Degrémont sortie'!$AJ$14:$AJ$379,"&lt;&gt;0",'Degrémont sortie'!$A$14:$A$379,"&gt;="&amp;B106,'Degrémont sortie'!$A$14:$A$379,"&lt;="&amp;EOMONTH(B106,0))</f>
        <v>#NAME?</v>
      </c>
      <c r="AC124" s="1142">
        <f>COUNTIFS('Degrémont sortie'!$AJ$14:$AJ$379,"&gt;="&amp;W124,'Degrémont sortie'!$A$14:$A$379,"&gt;="&amp;B106,'Degrémont sortie'!$A$14:$A$379,"&lt;="&amp;EOMONTH(B106,0))</f>
        <v>0</v>
      </c>
      <c r="AD124" s="1087">
        <f>AC124/X124</f>
        <v>0</v>
      </c>
      <c r="AE124" s="1082"/>
      <c r="AF124" s="1106"/>
      <c r="AG124" s="1106"/>
      <c r="AH124" s="1106"/>
      <c r="AI124" s="1106"/>
      <c r="AJ124" s="1106"/>
      <c r="AK124" s="1132"/>
      <c r="AL124" s="1106"/>
      <c r="AM124" s="1106"/>
      <c r="AN124" s="1106"/>
      <c r="AO124" s="1106"/>
      <c r="AP124" s="1119"/>
      <c r="AQ124" s="1132"/>
      <c r="AR124" s="1106"/>
      <c r="AS124" s="1106"/>
      <c r="AT124" s="1106"/>
      <c r="AU124" s="1106"/>
      <c r="AV124" s="1106"/>
      <c r="AW124" s="1119"/>
      <c r="AX124" s="1120"/>
      <c r="AY124" s="1094"/>
      <c r="AZ124" s="1095" t="e">
        <f t="shared" si="44"/>
        <v>#REF!</v>
      </c>
      <c r="BA124" s="2"/>
    </row>
    <row r="125" spans="1:53" ht="15.75" hidden="1" customHeight="1" outlineLevel="1">
      <c r="A125" s="1027"/>
      <c r="B125" s="1096"/>
      <c r="C125" s="1121" t="s">
        <v>169</v>
      </c>
      <c r="D125" s="1122">
        <f>Parametres!$D$25</f>
        <v>4</v>
      </c>
      <c r="E125" s="1068" t="e">
        <f>COUNTIFS(#REF!,"&gt;0",#REF!,"&gt;="&amp;B106,#REF!,"&lt;="&amp;EOMONTH(B106,0))</f>
        <v>#REF!</v>
      </c>
      <c r="F125" s="1069" t="e">
        <f>SUMIFS(#REF!,#REF!,"&lt;&gt;0",#REF!,"&gt;="&amp;B106,#REF!,"&lt;="&amp;EOMONTH(B106,0))</f>
        <v>#REF!</v>
      </c>
      <c r="G125" s="1069" t="e">
        <f t="shared" si="42"/>
        <v>#REF!</v>
      </c>
      <c r="H125" s="1070" t="e">
        <f ca="1">MINIFS(#REF!,#REF!,"&lt;&gt;0",#REF!,"&gt;="&amp;B106,#REF!,"&lt;="&amp;EOMONTH(B106,0))</f>
        <v>#NAME?</v>
      </c>
      <c r="I125" s="1078" t="e">
        <f ca="1">MAXIFS(#REF!,#REF!,"&lt;&gt;0",#REF!,"&gt;="&amp;B106,#REF!,"&lt;="&amp;EOMONTH(B106,0))</f>
        <v>#NAME?</v>
      </c>
      <c r="J125" s="1072" t="e">
        <f>COUNTIFS(#REF!,"&gt;="&amp;D125,#REF!,"&gt;="&amp;B106,#REF!,"&lt;="&amp;EOMONTH(B106,0))</f>
        <v>#REF!</v>
      </c>
      <c r="K125" s="1341" t="e">
        <f t="shared" si="49"/>
        <v>#REF!</v>
      </c>
      <c r="L125" s="1115"/>
      <c r="M125" s="1082"/>
      <c r="N125" s="1263"/>
      <c r="O125" s="1263"/>
      <c r="P125" s="1078"/>
      <c r="Q125" s="1078"/>
      <c r="R125" s="1078"/>
      <c r="S125" s="1078"/>
      <c r="T125" s="1264"/>
      <c r="U125" s="1264"/>
      <c r="V125" s="1082"/>
      <c r="W125" s="1106"/>
      <c r="X125" s="1106"/>
      <c r="Y125" s="1069"/>
      <c r="Z125" s="1069"/>
      <c r="AA125" s="1069"/>
      <c r="AB125" s="1069"/>
      <c r="AC125" s="1248"/>
      <c r="AD125" s="1249"/>
      <c r="AE125" s="1082"/>
      <c r="AF125" s="1106"/>
      <c r="AG125" s="1106"/>
      <c r="AH125" s="1106"/>
      <c r="AI125" s="1106"/>
      <c r="AJ125" s="1106"/>
      <c r="AK125" s="1132"/>
      <c r="AL125" s="1106"/>
      <c r="AM125" s="1106"/>
      <c r="AN125" s="1106"/>
      <c r="AO125" s="1106"/>
      <c r="AP125" s="1138"/>
      <c r="AQ125" s="1132"/>
      <c r="AR125" s="1106"/>
      <c r="AS125" s="1106"/>
      <c r="AT125" s="1106"/>
      <c r="AU125" s="1106"/>
      <c r="AV125" s="1106"/>
      <c r="AW125" s="1119"/>
      <c r="AX125" s="1120"/>
      <c r="AY125" s="1094"/>
      <c r="AZ125" s="1095" t="e">
        <f t="shared" si="44"/>
        <v>#REF!</v>
      </c>
      <c r="BA125" s="2"/>
    </row>
    <row r="126" spans="1:53" ht="15.75" hidden="1" customHeight="1" outlineLevel="1">
      <c r="A126" s="1027"/>
      <c r="B126" s="1096"/>
      <c r="C126" s="1139" t="s">
        <v>165</v>
      </c>
      <c r="D126" s="1122">
        <f>Parametres!$D$26</f>
        <v>10</v>
      </c>
      <c r="E126" s="1068" t="e">
        <f>COUNTIFS(#REF!,"&gt;0",#REF!,"&gt;="&amp;B106,#REF!,"&lt;="&amp;EOMONTH(B106,0))</f>
        <v>#REF!</v>
      </c>
      <c r="F126" s="1069" t="e">
        <f>SUMIFS(#REF!,#REF!,"&lt;&gt;0",#REF!,"&gt;="&amp;B106,#REF!,"&lt;="&amp;EOMONTH(B106,0))</f>
        <v>#REF!</v>
      </c>
      <c r="G126" s="1069" t="e">
        <f t="shared" si="42"/>
        <v>#REF!</v>
      </c>
      <c r="H126" s="1070" t="e">
        <f ca="1">MINIFS(#REF!,#REF!,"&lt;&gt;0",#REF!,"&gt;="&amp;B106,#REF!,"&lt;="&amp;EOMONTH(B106,0))</f>
        <v>#NAME?</v>
      </c>
      <c r="I126" s="1078" t="e">
        <f ca="1">MAXIFS(#REF!,#REF!,"&lt;&gt;0",#REF!,"&gt;="&amp;B106,#REF!,"&lt;="&amp;EOMONTH(B106,0))</f>
        <v>#NAME?</v>
      </c>
      <c r="J126" s="1114" t="e">
        <f>COUNTIFS(#REF!,"&gt;="&amp;D126,#REF!,"&gt;="&amp;B106,#REF!,"&lt;="&amp;EOMONTH(B106,0))</f>
        <v>#REF!</v>
      </c>
      <c r="K126" s="1341" t="e">
        <f t="shared" si="49"/>
        <v>#REF!</v>
      </c>
      <c r="L126" s="1115"/>
      <c r="M126" s="1075"/>
      <c r="N126" s="1265"/>
      <c r="O126" s="1265"/>
      <c r="P126" s="1266"/>
      <c r="Q126" s="1266"/>
      <c r="R126" s="1266"/>
      <c r="S126" s="1266"/>
      <c r="T126" s="1267"/>
      <c r="U126" s="1267"/>
      <c r="V126" s="1075"/>
      <c r="W126" s="1106"/>
      <c r="X126" s="1106"/>
      <c r="Y126" s="1069"/>
      <c r="Z126" s="1069"/>
      <c r="AA126" s="1069"/>
      <c r="AB126" s="1069"/>
      <c r="AC126" s="1248"/>
      <c r="AD126" s="1249"/>
      <c r="AE126" s="1082"/>
      <c r="AF126" s="1106"/>
      <c r="AG126" s="1106"/>
      <c r="AH126" s="1106"/>
      <c r="AI126" s="1106"/>
      <c r="AJ126" s="1106"/>
      <c r="AK126" s="1132"/>
      <c r="AL126" s="1106"/>
      <c r="AM126" s="1106"/>
      <c r="AN126" s="1106"/>
      <c r="AO126" s="1106"/>
      <c r="AP126" s="1138"/>
      <c r="AQ126" s="1132"/>
      <c r="AR126" s="1106"/>
      <c r="AS126" s="1106"/>
      <c r="AT126" s="1106"/>
      <c r="AU126" s="1106"/>
      <c r="AV126" s="1106"/>
      <c r="AW126" s="1119"/>
      <c r="AX126" s="1120"/>
      <c r="AY126" s="1094"/>
      <c r="AZ126" s="1095" t="e">
        <f t="shared" si="44"/>
        <v>#REF!</v>
      </c>
      <c r="BA126" s="2"/>
    </row>
    <row r="127" spans="1:53" ht="15.75" hidden="1" customHeight="1" outlineLevel="1">
      <c r="A127" s="1027"/>
      <c r="B127" s="1096"/>
      <c r="C127" s="1121" t="s">
        <v>23</v>
      </c>
      <c r="D127" s="1122">
        <f>Parametres!$D$27</f>
        <v>0.05</v>
      </c>
      <c r="E127" s="1068" t="e">
        <f>COUNTIFS(#REF!,"&gt;0",#REF!,"&gt;="&amp;B106,#REF!,"&lt;="&amp;EOMONTH(B106,0))</f>
        <v>#REF!</v>
      </c>
      <c r="F127" s="1069" t="e">
        <f>SUMIFS(#REF!,#REF!,"&lt;&gt;0",#REF!,"&gt;="&amp;B106,#REF!,"&lt;="&amp;EOMONTH(B106,0))</f>
        <v>#REF!</v>
      </c>
      <c r="G127" s="1069" t="e">
        <f t="shared" si="42"/>
        <v>#REF!</v>
      </c>
      <c r="H127" s="1070" t="e">
        <f ca="1">MINIFS(#REF!,#REF!,"&lt;&gt;0",#REF!,"&gt;="&amp;B106,#REF!,"&lt;="&amp;EOMONTH(B106,0))</f>
        <v>#NAME?</v>
      </c>
      <c r="I127" s="1078" t="e">
        <f ca="1">MAXIFS(#REF!,#REF!,"&lt;&gt;0",#REF!,"&gt;="&amp;B106,#REF!,"&lt;="&amp;EOMONTH(B106,0))</f>
        <v>#NAME?</v>
      </c>
      <c r="J127" s="1072" t="e">
        <f>COUNTIFS(#REF!,"&gt;="&amp;D127,#REF!,"&gt;="&amp;B106,#REF!,"&lt;="&amp;EOMONTH(B106,0))</f>
        <v>#REF!</v>
      </c>
      <c r="K127" s="1341" t="e">
        <f t="shared" si="49"/>
        <v>#REF!</v>
      </c>
      <c r="L127" s="1115"/>
      <c r="M127" s="1082"/>
      <c r="N127" s="1129"/>
      <c r="O127" s="1129"/>
      <c r="P127" s="1069"/>
      <c r="Q127" s="1069"/>
      <c r="R127" s="1069"/>
      <c r="S127" s="1069"/>
      <c r="T127" s="1143"/>
      <c r="U127" s="1143"/>
      <c r="V127" s="1132"/>
      <c r="W127" s="1106"/>
      <c r="X127" s="1106"/>
      <c r="Y127" s="1069"/>
      <c r="Z127" s="1069"/>
      <c r="AA127" s="1069"/>
      <c r="AB127" s="1069"/>
      <c r="AC127" s="1248"/>
      <c r="AD127" s="1249"/>
      <c r="AE127" s="1132"/>
      <c r="AF127" s="1106"/>
      <c r="AG127" s="1106"/>
      <c r="AH127" s="1106"/>
      <c r="AI127" s="1106"/>
      <c r="AJ127" s="1106"/>
      <c r="AK127" s="1132"/>
      <c r="AL127" s="1106"/>
      <c r="AM127" s="1106"/>
      <c r="AN127" s="1106"/>
      <c r="AO127" s="1106"/>
      <c r="AP127" s="1138"/>
      <c r="AQ127" s="1132"/>
      <c r="AR127" s="1106"/>
      <c r="AS127" s="1106"/>
      <c r="AT127" s="1106"/>
      <c r="AU127" s="1106"/>
      <c r="AV127" s="1106"/>
      <c r="AW127" s="1119"/>
      <c r="AX127" s="1120"/>
      <c r="AY127" s="1094"/>
      <c r="AZ127" s="1095" t="e">
        <f t="shared" si="44"/>
        <v>#REF!</v>
      </c>
      <c r="BA127" s="2"/>
    </row>
    <row r="128" spans="1:53" ht="15.75" hidden="1" customHeight="1" outlineLevel="1">
      <c r="A128" s="1027"/>
      <c r="B128" s="1096"/>
      <c r="C128" s="1139" t="s">
        <v>201</v>
      </c>
      <c r="D128" s="1122">
        <f>Parametres!$D$28</f>
        <v>8</v>
      </c>
      <c r="E128" s="1068" t="e">
        <f>COUNTIFS(#REF!,"&gt;0",#REF!,"&gt;="&amp;B106,#REF!,"&lt;="&amp;EOMONTH(B106,0))</f>
        <v>#REF!</v>
      </c>
      <c r="F128" s="1069" t="e">
        <f>SUMIFS(#REF!,#REF!,"&lt;&gt;0",#REF!,"&gt;="&amp;B106,#REF!,"&lt;="&amp;EOMONTH(B106,0))</f>
        <v>#REF!</v>
      </c>
      <c r="G128" s="1069" t="e">
        <f t="shared" si="42"/>
        <v>#REF!</v>
      </c>
      <c r="H128" s="1070" t="e">
        <f ca="1">MINIFS(#REF!,#REF!,"&lt;&gt;0",#REF!,"&gt;="&amp;B106,#REF!,"&lt;="&amp;EOMONTH(B106,0))</f>
        <v>#NAME?</v>
      </c>
      <c r="I128" s="1078" t="e">
        <f ca="1">MAXIFS(#REF!,#REF!,"&lt;&gt;0",#REF!,"&gt;="&amp;B106,#REF!,"&lt;="&amp;EOMONTH(B106,0))</f>
        <v>#NAME?</v>
      </c>
      <c r="J128" s="1114" t="e">
        <f>COUNTIFS(#REF!,"&gt;="&amp;D128,#REF!,"&gt;="&amp;B106,#REF!,"&lt;="&amp;EOMONTH(B106,0))</f>
        <v>#REF!</v>
      </c>
      <c r="K128" s="1341" t="e">
        <f t="shared" si="49"/>
        <v>#REF!</v>
      </c>
      <c r="L128" s="1115"/>
      <c r="M128" s="1082"/>
      <c r="N128" s="1171"/>
      <c r="O128" s="1171"/>
      <c r="P128" s="1173"/>
      <c r="Q128" s="1173"/>
      <c r="R128" s="1173"/>
      <c r="S128" s="1173"/>
      <c r="T128" s="1175"/>
      <c r="U128" s="1175"/>
      <c r="V128" s="1177"/>
      <c r="W128" s="1106"/>
      <c r="X128" s="1106"/>
      <c r="Y128" s="1069"/>
      <c r="Z128" s="1069"/>
      <c r="AA128" s="1069"/>
      <c r="AB128" s="1069"/>
      <c r="AC128" s="1248"/>
      <c r="AD128" s="1249"/>
      <c r="AE128" s="1082"/>
      <c r="AF128" s="1106"/>
      <c r="AG128" s="1106"/>
      <c r="AH128" s="1106"/>
      <c r="AI128" s="1106"/>
      <c r="AJ128" s="1106"/>
      <c r="AK128" s="1082"/>
      <c r="AL128" s="1205" t="e">
        <f>COUNTIFS(#REF!,"&gt;0",#REF!,"&gt;="&amp;B106,#REF!,"&lt;="&amp;EOMONTH(B106,0))</f>
        <v>#REF!</v>
      </c>
      <c r="AM128" s="1208" t="e">
        <f>SUMIFS(#REF!,#REF!,"&lt;&gt;0",#REF!,"&gt;="&amp;B106,#REF!,"&lt;="&amp;EOMONTH(B106,0))</f>
        <v>#REF!</v>
      </c>
      <c r="AN128" s="1208" t="e">
        <f>IF(AL128=0,0,AM128/AL128)</f>
        <v>#REF!</v>
      </c>
      <c r="AO128" s="1269" t="e">
        <f ca="1">MINIFS(#REF!,#REF!,"&lt;&gt;0",#REF!,"&gt;="&amp;B106,#REF!,"&lt;="&amp;EOMONTH(B106,0))</f>
        <v>#NAME?</v>
      </c>
      <c r="AP128" s="1269" t="e">
        <f ca="1">MAXIFS(#REF!,#REF!,"&lt;&gt;0",#REF!,"&gt;="&amp;B106,#REF!,"&lt;="&amp;EOMONTH(B106,0))</f>
        <v>#NAME?</v>
      </c>
      <c r="AQ128" s="1082"/>
      <c r="AR128" s="1220">
        <f>Parametres!$AM$28</f>
        <v>500</v>
      </c>
      <c r="AS128" s="1205" t="e">
        <f>COUNTIFS(#REF!,"&gt;0",#REF!,"&gt;="&amp;B106,#REF!,"&lt;="&amp;EOMONTH(B106,0))</f>
        <v>#REF!</v>
      </c>
      <c r="AT128" s="1208" t="e">
        <f>SUMIFS(#REF!,#REF!,"&lt;&gt;0",#REF!,"&gt;="&amp;B106,#REF!,"&lt;="&amp;EOMONTH(B106,0))</f>
        <v>#REF!</v>
      </c>
      <c r="AU128" s="1208" t="e">
        <f>IF(AS128=0,0,AT128/AS128)</f>
        <v>#REF!</v>
      </c>
      <c r="AV128" s="1208" t="e">
        <f ca="1">MINIFS(#REF!,#REF!,"&lt;&gt;0",#REF!,"&gt;="&amp;B106,#REF!,"&lt;="&amp;EOMONTH(B106,0))</f>
        <v>#NAME?</v>
      </c>
      <c r="AW128" s="1222" t="e">
        <f ca="1">MAXIFS(#REF!,#REF!,"&lt;&gt;0",#REF!,"&gt;="&amp;B106,#REF!,"&lt;="&amp;EOMONTH(B106,0))</f>
        <v>#NAME?</v>
      </c>
      <c r="AX128" s="1223" t="e">
        <f>COUNTIFS(#REF!,"&gt;="&amp;AR128,#REF!,"&gt;="&amp;B106,#REF!,"&lt;="&amp;EOMONTH(B106,0))</f>
        <v>#REF!</v>
      </c>
      <c r="AY128" s="1224" t="e">
        <f>AX128/AS128</f>
        <v>#REF!</v>
      </c>
      <c r="AZ128" s="1095" t="e">
        <f t="shared" si="44"/>
        <v>#REF!</v>
      </c>
      <c r="BA128" s="2"/>
    </row>
    <row r="129" spans="1:53" ht="15.75" hidden="1" customHeight="1" outlineLevel="1">
      <c r="A129" s="1027"/>
      <c r="B129" s="1096"/>
      <c r="C129" s="1121" t="s">
        <v>333</v>
      </c>
      <c r="D129" s="1122">
        <f>Parametres!$D$29</f>
        <v>0.3</v>
      </c>
      <c r="E129" s="1068" t="e">
        <f>COUNTIFS(#REF!,"&gt;0",#REF!,"&gt;="&amp;B106,#REF!,"&lt;="&amp;EOMONTH(B106,0))</f>
        <v>#REF!</v>
      </c>
      <c r="F129" s="1069" t="e">
        <f>SUMIFS(#REF!,#REF!,"&lt;&gt;0",#REF!,"&gt;="&amp;B106,#REF!,"&lt;="&amp;EOMONTH(B106,0))</f>
        <v>#REF!</v>
      </c>
      <c r="G129" s="1069" t="e">
        <f t="shared" si="42"/>
        <v>#REF!</v>
      </c>
      <c r="H129" s="1070" t="e">
        <f ca="1">MINIFS(#REF!,#REF!,"&lt;&gt;0",#REF!,"&gt;="&amp;B106,#REF!,"&lt;="&amp;EOMONTH(B106,0))</f>
        <v>#NAME?</v>
      </c>
      <c r="I129" s="1069" t="e">
        <f ca="1">MAXIFS(#REF!,#REF!,"&lt;&gt;0",#REF!,"&gt;="&amp;B106,#REF!,"&lt;="&amp;EOMONTH(B106,0))</f>
        <v>#NAME?</v>
      </c>
      <c r="J129" s="1072" t="e">
        <f>COUNTIFS(#REF!,"&gt;="&amp;D129,#REF!,"&gt;="&amp;B106,#REF!,"&lt;="&amp;EOMONTH(B106,0))</f>
        <v>#REF!</v>
      </c>
      <c r="K129" s="1341" t="e">
        <f t="shared" si="49"/>
        <v>#REF!</v>
      </c>
      <c r="L129" s="1099"/>
      <c r="M129" s="1132"/>
      <c r="N129" s="1102"/>
      <c r="O129" s="1102"/>
      <c r="P129" s="1069"/>
      <c r="Q129" s="1069"/>
      <c r="R129" s="1069"/>
      <c r="S129" s="1069"/>
      <c r="T129" s="1270"/>
      <c r="U129" s="1270"/>
      <c r="V129" s="1132"/>
      <c r="W129" s="1106"/>
      <c r="X129" s="1106"/>
      <c r="Y129" s="1069"/>
      <c r="Z129" s="1069"/>
      <c r="AA129" s="1069"/>
      <c r="AB129" s="1069"/>
      <c r="AC129" s="1248"/>
      <c r="AD129" s="1249"/>
      <c r="AE129" s="1132"/>
      <c r="AF129" s="1106"/>
      <c r="AG129" s="1106"/>
      <c r="AH129" s="1106"/>
      <c r="AI129" s="1106"/>
      <c r="AJ129" s="1106"/>
      <c r="AK129" s="1082"/>
      <c r="AL129" s="1117"/>
      <c r="AM129" s="1117"/>
      <c r="AN129" s="1117"/>
      <c r="AO129" s="1117"/>
      <c r="AP129" s="1117"/>
      <c r="AQ129" s="1082"/>
      <c r="AR129" s="1106"/>
      <c r="AS129" s="1106"/>
      <c r="AT129" s="1106"/>
      <c r="AU129" s="1106"/>
      <c r="AV129" s="1106"/>
      <c r="AW129" s="1119"/>
      <c r="AX129" s="1120"/>
      <c r="AY129" s="1094"/>
      <c r="AZ129" s="1095" t="e">
        <f t="shared" si="44"/>
        <v>#REF!</v>
      </c>
      <c r="BA129" s="2"/>
    </row>
    <row r="130" spans="1:53" ht="15.75" hidden="1" customHeight="1" outlineLevel="1">
      <c r="A130" s="1027"/>
      <c r="B130" s="1096"/>
      <c r="C130" s="1139" t="s">
        <v>46</v>
      </c>
      <c r="D130" s="1122">
        <f>Parametres!$D$30</f>
        <v>1</v>
      </c>
      <c r="E130" s="1068" t="e">
        <f>COUNTIFS(#REF!,"&gt;0",#REF!,"&gt;="&amp;B106,#REF!,"&lt;="&amp;EOMONTH(B106,0))</f>
        <v>#REF!</v>
      </c>
      <c r="F130" s="1069" t="e">
        <f>SUMIFS(#REF!,#REF!,"&lt;&gt;0",#REF!,"&gt;="&amp;B106,#REF!,"&lt;="&amp;EOMONTH(B106,0))</f>
        <v>#REF!</v>
      </c>
      <c r="G130" s="1069" t="e">
        <f t="shared" si="42"/>
        <v>#REF!</v>
      </c>
      <c r="H130" s="1070" t="e">
        <f ca="1">MINIFS(#REF!,#REF!,"&lt;&gt;0",#REF!,"&gt;="&amp;B106,#REF!,"&lt;="&amp;EOMONTH(B106,0))</f>
        <v>#NAME?</v>
      </c>
      <c r="I130" s="1266" t="e">
        <f ca="1">MAXIFS(#REF!,#REF!,"&lt;&gt;0",#REF!,"&gt;="&amp;B106,#REF!,"&lt;="&amp;EOMONTH(B106,0))</f>
        <v>#NAME?</v>
      </c>
      <c r="J130" s="1072" t="e">
        <f>COUNTIFS(#REF!,"&gt;="&amp;D130,#REF!,"&gt;="&amp;B106,#REF!,"&lt;="&amp;EOMONTH(B106,0))</f>
        <v>#REF!</v>
      </c>
      <c r="K130" s="1341" t="e">
        <f t="shared" si="49"/>
        <v>#REF!</v>
      </c>
      <c r="L130" s="1273"/>
      <c r="M130" s="1274"/>
      <c r="N130" s="1144">
        <f>Parametres!$L$30</f>
        <v>40</v>
      </c>
      <c r="O130" s="1077">
        <f>COUNTIFS('Degrémont Entrée'!$AV$14:$AV$379,"&gt;0",'Degrémont Entrée'!$A$14:$A$379,"&gt;="&amp;B106,'Degrémont Entrée'!$A$14:$A$379,"&lt;="&amp;EOMONTH(B106,0))</f>
        <v>4</v>
      </c>
      <c r="P130" s="1078">
        <f>SUMIFS('Degrémont Entrée'!$AV$14:$AV$379,'Degrémont Entrée'!$AV$14:$AV$379,"&lt;&gt;0",'Degrémont Entrée'!$A$14:$A$379,"&gt;="&amp;B106,'Degrémont Entrée'!$A$14:$A$379,"&lt;="&amp;EOMONTH(B106,0))</f>
        <v>36.449999999999996</v>
      </c>
      <c r="Q130" s="1266">
        <f t="shared" ref="Q130:Q131" si="50">IF(O130=0,0,P130/O130)</f>
        <v>9.1124999999999989</v>
      </c>
      <c r="R130" s="1266" t="e">
        <f ca="1">MINIFS('Degrémont Entrée'!$AV$14:$AV$379,'Degrémont Entrée'!$AV$14:$AV$379,"&lt;&gt;0",'Degrémont Entrée'!$A$14:$A$379,"&gt;="&amp;B106,'Degrémont Entrée'!$A$14:$A$379,"&lt;="&amp;EOMONTH(B106,0))</f>
        <v>#NAME?</v>
      </c>
      <c r="S130" s="1266" t="e">
        <f ca="1">MAXIFS('Degrémont Entrée'!$AV$14:$AV$379,'Degrémont Entrée'!$AV$14:$AV$379,"&lt;&gt;0",'Degrémont Entrée'!$A$14:$A$379,"&gt;="&amp;B106,'Degrémont Entrée'!$A$14:$A$379,"&lt;="&amp;EOMONTH(B106,0))</f>
        <v>#NAME?</v>
      </c>
      <c r="T130" s="1276">
        <f>COUNTIFS('Degrémont Entrée'!$AV$14:$AV$379,"&gt;="&amp;N130,'Degrémont Entrée'!$A$14:$A$379,"&gt;="&amp;B106,'Degrémont Entrée'!$A$14:$A$379,"&lt;="&amp;EOMONTH(B106,0))</f>
        <v>0</v>
      </c>
      <c r="U130" s="1081">
        <f t="shared" ref="U130:U131" si="51">T130/O130</f>
        <v>0</v>
      </c>
      <c r="V130" s="1075"/>
      <c r="W130" s="1083">
        <f>Parametres!$T$30</f>
        <v>0.8</v>
      </c>
      <c r="X130" s="1142">
        <f>COUNTIFS('Degrémont sortie'!$AP$14:$AP$379,"&gt;0",'Degrémont sortie'!$A$14:$A$379,"&gt;="&amp;B106,'Degrémont sortie'!$A$14:$A$379,"&lt;="&amp;EOMONTH(B106,0))</f>
        <v>4</v>
      </c>
      <c r="Y130" s="1085">
        <f>SUMIFS('Degrémont sortie'!$AP$14:$AP$379,'Degrémont sortie'!$AP$14:$AP$379,"&lt;&gt;0",'Degrémont sortie'!$A$14:$A$379,"&gt;="&amp;B106,'Degrémont sortie'!$A$14:$A$379,"&lt;="&amp;EOMONTH(B106,0))</f>
        <v>1.04</v>
      </c>
      <c r="Z130" s="1069">
        <f t="shared" ref="Z130:Z132" si="52">IF(X130=0,0,Y130/X130)</f>
        <v>0.26</v>
      </c>
      <c r="AA130" s="1277" t="e">
        <f ca="1">MINIFS('Degrémont sortie'!$AP$14:$AP$379,'Degrémont sortie'!$AP$14:$AP$379,"&lt;&gt;0",'Degrémont sortie'!$A$14:$A$379,"&gt;="&amp;B106,'Degrémont sortie'!$A$14:$A$379,"&lt;="&amp;EOMONTH(B106,0))</f>
        <v>#NAME?</v>
      </c>
      <c r="AB130" s="1069" t="e">
        <f ca="1">MAXIFS('Degrémont sortie'!$AP$14:$AP$379,'Degrémont sortie'!$AP$14:$AP$379,"&lt;&gt;0",'Degrémont sortie'!$A$14:$A$379,"&gt;="&amp;B106,'Degrémont sortie'!$A$14:$A$379,"&lt;="&amp;EOMONTH(B106,0))</f>
        <v>#NAME?</v>
      </c>
      <c r="AC130" s="1142">
        <f>COUNTIFS('Degrémont sortie'!$AP$14:$AP$379,"&gt;="&amp;W130,'Degrémont sortie'!$A$14:$A$379,"&gt;="&amp;B106,'Degrémont sortie'!$A$14:$A$379,"&lt;="&amp;EOMONTH(B106,0))</f>
        <v>0</v>
      </c>
      <c r="AD130" s="1087">
        <f t="shared" ref="AD130:AD131" si="53">AC130/X130</f>
        <v>0</v>
      </c>
      <c r="AE130" s="1075"/>
      <c r="AF130" s="1278"/>
      <c r="AG130" s="1278"/>
      <c r="AH130" s="1278"/>
      <c r="AI130" s="1278"/>
      <c r="AJ130" s="1278"/>
      <c r="AK130" s="1279"/>
      <c r="AL130" s="1278"/>
      <c r="AM130" s="1278"/>
      <c r="AN130" s="1278"/>
      <c r="AO130" s="1278"/>
      <c r="AP130" s="1278"/>
      <c r="AQ130" s="1279"/>
      <c r="AR130" s="1278"/>
      <c r="AS130" s="1278"/>
      <c r="AT130" s="1278"/>
      <c r="AU130" s="1278"/>
      <c r="AV130" s="1278"/>
      <c r="AW130" s="1278"/>
      <c r="AX130" s="1280"/>
      <c r="AY130" s="1094"/>
      <c r="AZ130" s="1095" t="e">
        <f t="shared" si="44"/>
        <v>#REF!</v>
      </c>
      <c r="BA130" s="2"/>
    </row>
    <row r="131" spans="1:53" ht="15.75" hidden="1" customHeight="1" outlineLevel="1">
      <c r="A131" s="1027"/>
      <c r="B131" s="1096"/>
      <c r="C131" s="1139" t="s">
        <v>34</v>
      </c>
      <c r="D131" s="1122">
        <f>Parametres!$D$32</f>
        <v>400</v>
      </c>
      <c r="E131" s="1068" t="e">
        <f>COUNTIFS(#REF!,"&gt;0",#REF!,"&gt;="&amp;B106,#REF!,"&lt;="&amp;EOMONTH(B106,0))</f>
        <v>#REF!</v>
      </c>
      <c r="F131" s="1069" t="e">
        <f>SUMIFS(#REF!,#REF!,"&lt;&gt;0",#REF!,"&gt;="&amp;B106,#REF!,"&lt;="&amp;EOMONTH(B106,0))</f>
        <v>#REF!</v>
      </c>
      <c r="G131" s="1069" t="e">
        <f t="shared" si="42"/>
        <v>#REF!</v>
      </c>
      <c r="H131" s="1070" t="e">
        <f ca="1">MINIFS(#REF!,#REF!,"&lt;&gt;0",#REF!,"&gt;="&amp;B106,#REF!,"&lt;="&amp;EOMONTH(B106,0))</f>
        <v>#NAME?</v>
      </c>
      <c r="I131" s="1069" t="e">
        <f ca="1">MAXIFS(#REF!,#REF!,"&lt;&gt;0",#REF!,"&gt;="&amp;B106,#REF!,"&lt;="&amp;EOMONTH(B106,0))</f>
        <v>#NAME?</v>
      </c>
      <c r="J131" s="1114" t="e">
        <f>COUNTIFS(#REF!,"&gt;="&amp;D131,#REF!,"&gt;="&amp;B106,#REF!,"&lt;="&amp;EOMONTH(B106,0))</f>
        <v>#REF!</v>
      </c>
      <c r="K131" s="1341" t="e">
        <f t="shared" si="49"/>
        <v>#REF!</v>
      </c>
      <c r="L131" s="1281"/>
      <c r="M131" s="1282"/>
      <c r="N131" s="1144">
        <f>Parametres!$L$32</f>
        <v>4000</v>
      </c>
      <c r="O131" s="1077">
        <f>COUNTIFS('Degrémont Entrée'!$G$14:$G$379,"&gt;0",'Degrémont Entrée'!$A$14:$A$379,"&gt;="&amp;B106,'Degrémont Entrée'!$A$14:$A$379,"&lt;="&amp;EOMONTH(B106,0))</f>
        <v>26</v>
      </c>
      <c r="P131" s="1078">
        <f>SUMIFS('Degrémont Entrée'!$G$14:$G$379,'Degrémont Entrée'!$G$14:$G$379,"&lt;&gt;0",'Degrémont Entrée'!$A$14:$A$379,"&gt;="&amp;B106,'Degrémont Entrée'!$A$14:$A$379,"&lt;="&amp;EOMONTH(B106,0))</f>
        <v>58730.719526472596</v>
      </c>
      <c r="Q131" s="1283">
        <f t="shared" si="50"/>
        <v>2258.8738279412537</v>
      </c>
      <c r="R131" s="1069" t="e">
        <f ca="1">MINIFS('Degrémont Entrée'!$G$14:$G$379,'Degrémont Entrée'!$G$14:$G$379,"&lt;&gt;0",'Degrémont Entrée'!$A$14:$A$379,"&gt;="&amp;B106,'Degrémont Entrée'!$A$14:$A$379,"&lt;="&amp;EOMONTH(B106,0))</f>
        <v>#NAME?</v>
      </c>
      <c r="S131" s="1284" t="e">
        <f ca="1">MAXIFS('Degrémont Entrée'!$G$14:$G$379,'Degrémont Entrée'!$G$14:$G$379,"&lt;&gt;0",'Degrémont Entrée'!$A$14:$A$379,"&gt;="&amp;B106,'Degrémont Entrée'!$A$14:$A$379,"&lt;="&amp;EOMONTH(B106,0))</f>
        <v>#NAME?</v>
      </c>
      <c r="T131" s="1141">
        <f>COUNTIFS('Degrémont Entrée'!$G$14:$G$379,"&gt;="&amp;N131,'Degrémont Entrée'!$A$14:$A$379,"&gt;="&amp;B106,'Degrémont Entrée'!$A$14:$A$379,"&lt;="&amp;EOMONTH(B106,0))</f>
        <v>1</v>
      </c>
      <c r="U131" s="1081">
        <f t="shared" si="51"/>
        <v>3.8461538461538464E-2</v>
      </c>
      <c r="V131" s="1285"/>
      <c r="W131" s="1083">
        <f>Parametres!$T$32</f>
        <v>55</v>
      </c>
      <c r="X131" s="1142">
        <f>COUNTIFS('Degrémont sortie'!$G$14:$G$379,"&gt;0",'Degrémont sortie'!$A$14:$A$379,"&gt;="&amp;B106,'Degrémont sortie'!$A$14:$A$379,"&lt;="&amp;EOMONTH(B106,0))</f>
        <v>27</v>
      </c>
      <c r="Y131" s="1085">
        <f>SUMIFS('Degrémont sortie'!$G$14:$G$379,'Degrémont sortie'!$G$14:$G$379,"&lt;&gt;0",'Degrémont sortie'!$A$14:$A$379,"&gt;="&amp;B106,'Degrémont sortie'!$A$14:$A$379,"&lt;="&amp;EOMONTH(B106,0))</f>
        <v>715.47474747474678</v>
      </c>
      <c r="Z131" s="1069">
        <f t="shared" si="52"/>
        <v>26.499064721286917</v>
      </c>
      <c r="AA131" s="1286" t="e">
        <f ca="1">MINIFS('Degrémont sortie'!$G$14:$G$379,'Degrémont sortie'!$G$14:G$379,"&lt;&gt;0",'Degrémont sortie'!$A$14:$A$379,"&gt;="&amp;B106,'Degrémont sortie'!$A$14:$A$379,"&lt;="&amp;EOMONTH(B106,0))</f>
        <v>#NAME?</v>
      </c>
      <c r="AB131" s="1286" t="e">
        <f ca="1">MAXIFS('Degrémont sortie'!$G$14:$G$379,'Degrémont sortie'!$G$14:$G$379,"&lt;&gt;0",'Degrémont sortie'!$A$14:$A$379,"&gt;="&amp;B106,'Degrémont sortie'!$A$14:$A$379,"&lt;="&amp;EOMONTH(B106,0))</f>
        <v>#NAME?</v>
      </c>
      <c r="AC131" s="1141">
        <f>COUNTIFS('Degrémont sortie'!$G$14:$G$379,"&gt;="&amp;W131,'Degrémont sortie'!$A$14:$A$379,"&gt;="&amp;B106,'Degrémont sortie'!$A$14:$A$379,"&lt;="&amp;EOMONTH(B106,0))</f>
        <v>1</v>
      </c>
      <c r="AD131" s="1087">
        <f t="shared" si="53"/>
        <v>3.7037037037037035E-2</v>
      </c>
      <c r="AE131" s="1285"/>
      <c r="AF131" s="1205" t="e">
        <f>COUNTIFS(#REF!,"&gt;0",#REF!,"&gt;="&amp;B106,#REF!,"&lt;="&amp;EOMONTH(B106,0))</f>
        <v>#REF!</v>
      </c>
      <c r="AG131" s="1208" t="e">
        <f>SUMIFS(#REF!,#REF!,"&lt;&gt;0",#REF!,"&gt;="&amp;B106,#REF!,"&lt;="&amp;EOMONTH(B106,0))</f>
        <v>#REF!</v>
      </c>
      <c r="AH131" s="1208" t="e">
        <f>IF(AF131=0,0,AG131/AF131)</f>
        <v>#REF!</v>
      </c>
      <c r="AI131" s="1208" t="e">
        <f ca="1">MINIFS(#REF!,#REF!,"&lt;&gt;0",#REF!,"&gt;="&amp;B106,#REF!,"&lt;="&amp;EOMONTH(B106,0))</f>
        <v>#NAME?</v>
      </c>
      <c r="AJ131" s="1208" t="e">
        <f ca="1">MAXIFS(#REF!,#REF!,"&lt;&gt;0",#REF!,"&gt;="&amp;B106,#REF!,"&lt;="&amp;EOMONTH(B106,0))</f>
        <v>#NAME?</v>
      </c>
      <c r="AK131" s="1285"/>
      <c r="AL131" s="1205" t="e">
        <f>COUNTIFS(#REF!,"&gt;0",#REF!,"&gt;="&amp;B106,#REF!,"&lt;="&amp;EOMONTH(B106,0))</f>
        <v>#REF!</v>
      </c>
      <c r="AM131" s="1208" t="e">
        <f>SUMIFS(#REF!,#REF!,"&lt;&gt;0",#REF!,"&gt;="&amp;B106,#REF!,"&lt;="&amp;EOMONTH(B106,0))</f>
        <v>#REF!</v>
      </c>
      <c r="AN131" s="1208" t="e">
        <f>IF(AL131=0,0,AM131/AL131)</f>
        <v>#REF!</v>
      </c>
      <c r="AO131" s="1141" t="e">
        <f ca="1">MINIFS(#REF!,#REF!,"&lt;&gt;0",#REF!,"&gt;="&amp;B106,#REF!,"&lt;="&amp;EOMONTH(B106,0))</f>
        <v>#NAME?</v>
      </c>
      <c r="AP131" s="1141" t="e">
        <f ca="1">MAXIFS(#REF!,#REF!,"&lt;&gt;0",#REF!,"&gt;="&amp;B106,#REF!,"&lt;="&amp;EOMONTH(B106,0))</f>
        <v>#NAME?</v>
      </c>
      <c r="AQ131" s="1285"/>
      <c r="AR131" s="1220">
        <f>Parametres!$AM$32</f>
        <v>2600</v>
      </c>
      <c r="AS131" s="1205" t="e">
        <f>COUNTIFS(#REF!,"&gt;0",#REF!,"&gt;="&amp;B106,#REF!,"&lt;="&amp;EOMONTH(B106,0))</f>
        <v>#REF!</v>
      </c>
      <c r="AT131" s="1208" t="e">
        <f>SUMIFS(#REF!,#REF!,"&lt;&gt;0",#REF!,"&gt;="&amp;B106,#REF!,"&lt;="&amp;EOMONTH(B106,0))</f>
        <v>#REF!</v>
      </c>
      <c r="AU131" s="1208" t="e">
        <f>IF(AS131=0,0,AT131/AS131)</f>
        <v>#REF!</v>
      </c>
      <c r="AV131" s="1287" t="e">
        <f ca="1">MINIFS(#REF!,#REF!,"&lt;&gt;0",#REF!,"&gt;="&amp;B106,#REF!,"&lt;="&amp;EOMONTH(B106,0))</f>
        <v>#NAME?</v>
      </c>
      <c r="AW131" s="1141" t="e">
        <f ca="1">MAXIFS(#REF!,#REF!,"&lt;&gt;0",#REF!,"&gt;="&amp;B106,#REF!,"&lt;="&amp;EOMONTH(B106,0))</f>
        <v>#NAME?</v>
      </c>
      <c r="AX131" s="1288" t="e">
        <f>COUNTIFS(#REF!,"&gt;="&amp;AR131,#REF!,"&gt;="&amp;B106,#REF!,"&lt;="&amp;EOMONTH(B106,0))</f>
        <v>#REF!</v>
      </c>
      <c r="AY131" s="1224" t="e">
        <f>AX131/AS131</f>
        <v>#REF!</v>
      </c>
      <c r="AZ131" s="1095" t="e">
        <f t="shared" si="44"/>
        <v>#REF!</v>
      </c>
      <c r="BA131" s="2"/>
    </row>
    <row r="132" spans="1:53" ht="15.75" hidden="1" customHeight="1" outlineLevel="1">
      <c r="A132" s="1027"/>
      <c r="B132" s="1096"/>
      <c r="C132" s="1139" t="s">
        <v>118</v>
      </c>
      <c r="D132" s="1122">
        <f>Parametres!$D$33</f>
        <v>75</v>
      </c>
      <c r="E132" s="1068" t="e">
        <f>COUNTIFS(#REF!,"&gt;0",#REF!,"&gt;="&amp;B106,#REF!,"&lt;="&amp;EOMONTH(B106,0))</f>
        <v>#REF!</v>
      </c>
      <c r="F132" s="1069" t="e">
        <f>SUMIFS(#REF!,#REF!,"&lt;&gt;0",#REF!,"&gt;="&amp;B106,#REF!,"&lt;="&amp;EOMONTH(B106,0))</f>
        <v>#REF!</v>
      </c>
      <c r="G132" s="1069" t="e">
        <f t="shared" si="42"/>
        <v>#REF!</v>
      </c>
      <c r="H132" s="1070" t="e">
        <f ca="1">MINIFS(#REF!,#REF!,"&lt;&gt;0",#REF!,"&gt;="&amp;B106,#REF!,"&lt;="&amp;EOMONTH(B106,0))</f>
        <v>#NAME?</v>
      </c>
      <c r="I132" s="1069" t="e">
        <f ca="1">MAXIFS(#REF!,#REF!,"&lt;&gt;0",#REF!,"&gt;="&amp;B106,#REF!,"&lt;="&amp;EOMONTH(B106,0))</f>
        <v>#NAME?</v>
      </c>
      <c r="J132" s="1114" t="e">
        <f>COUNTIFS(#REF!,"&gt;="&amp;D132,#REF!,"&gt;="&amp;B106,#REF!,"&lt;="&amp;EOMONTH(B106,0))</f>
        <v>#REF!</v>
      </c>
      <c r="K132" s="1341" t="e">
        <f t="shared" si="49"/>
        <v>#REF!</v>
      </c>
      <c r="L132" s="1281"/>
      <c r="M132" s="1289"/>
      <c r="N132" s="1290"/>
      <c r="O132" s="1290"/>
      <c r="P132" s="1286"/>
      <c r="Q132" s="1283"/>
      <c r="R132" s="1286"/>
      <c r="S132" s="1286"/>
      <c r="T132" s="1290"/>
      <c r="U132" s="1290"/>
      <c r="V132" s="1285"/>
      <c r="W132" s="1083">
        <f>Parametres!$T$33</f>
        <v>150</v>
      </c>
      <c r="X132" s="1142">
        <f>COUNTIFS('Degrémont sortie'!$X$14:$X$379,"&gt;0",'Degrémont sortie'!$A$14:$A$379,"&gt;="&amp;B106,'Degrémont sortie'!$A$14:$A$379,"&lt;="&amp;EOMONTH(B106,0))</f>
        <v>4</v>
      </c>
      <c r="Y132" s="1085">
        <f>SUMIFS('Degrémont sortie'!$X$14:$X$379,'Degrémont sortie'!$X$14:$X$379,"&lt;&gt;0",'Degrémont sortie'!$A$14:$A$379,"&gt;="&amp;B106,'Degrémont sortie'!$A$14:$A$379,"&lt;="&amp;EOMONTH(B106,0))</f>
        <v>48.3</v>
      </c>
      <c r="Z132" s="1069">
        <f t="shared" si="52"/>
        <v>12.074999999999999</v>
      </c>
      <c r="AA132" s="1286" t="e">
        <f ca="1">MINIFS('Degrémont sortie'!$X$14:$X$379,'Degrémont sortie'!$X$14:$X$379,"&lt;&gt;0",'Degrémont sortie'!$A$14:$A$379,"&gt;="&amp;B106,'Degrémont sortie'!$A$14:$A$379,"&lt;="&amp;EOMONTH(B106,0))</f>
        <v>#NAME?</v>
      </c>
      <c r="AB132" s="1286" t="e">
        <f ca="1">MAXIFS('Degrémont sortie'!$X$14:$X$379,'Degrémont sortie'!$X$14:$X$379,"&lt;&gt;0",'Degrémont sortie'!$A$14:$A$379,"&gt;="&amp;B106,'Degrémont sortie'!$A$14:$A$379,"&lt;="&amp;EOMONTH(B106,0))</f>
        <v>#NAME?</v>
      </c>
      <c r="AC132" s="1291" t="s">
        <v>153</v>
      </c>
      <c r="AD132" s="1292" t="s">
        <v>153</v>
      </c>
      <c r="AE132" s="1285"/>
      <c r="AF132" s="1293"/>
      <c r="AG132" s="1293"/>
      <c r="AH132" s="1293"/>
      <c r="AI132" s="1293"/>
      <c r="AJ132" s="1293"/>
      <c r="AK132" s="1285"/>
      <c r="AL132" s="1293"/>
      <c r="AM132" s="1293"/>
      <c r="AN132" s="1293"/>
      <c r="AO132" s="1293"/>
      <c r="AP132" s="1293"/>
      <c r="AQ132" s="1285"/>
      <c r="AR132" s="1293"/>
      <c r="AS132" s="1293"/>
      <c r="AT132" s="1293"/>
      <c r="AU132" s="1293"/>
      <c r="AV132" s="1293"/>
      <c r="AW132" s="1293"/>
      <c r="AX132" s="1294"/>
      <c r="AY132" s="1295"/>
      <c r="AZ132" s="1095" t="e">
        <f t="shared" si="44"/>
        <v>#REF!</v>
      </c>
      <c r="BA132" s="2"/>
    </row>
    <row r="133" spans="1:53" ht="15.75" hidden="1" customHeight="1" outlineLevel="1">
      <c r="A133" s="1027"/>
      <c r="B133" s="1096"/>
      <c r="C133" s="1139" t="s">
        <v>285</v>
      </c>
      <c r="D133" s="1122">
        <f>Parametres!$D$34</f>
        <v>10000000</v>
      </c>
      <c r="E133" s="1068" t="e">
        <f>COUNTIFS(#REF!,"&gt;0",#REF!,"&gt;="&amp;B106,#REF!,"&lt;="&amp;EOMONTH(B106,0))</f>
        <v>#REF!</v>
      </c>
      <c r="F133" s="1069" t="e">
        <f>SUMIFS(#REF!,#REF!,"&lt;&gt;0",#REF!,"&gt;="&amp;B106,#REF!,"&lt;="&amp;EOMONTH(B106,0))</f>
        <v>#REF!</v>
      </c>
      <c r="G133" s="1069" t="e">
        <f t="shared" si="42"/>
        <v>#REF!</v>
      </c>
      <c r="H133" s="1070" t="e">
        <f ca="1">MINIFS(#REF!,#REF!,"&lt;&gt;0",#REF!,"&gt;="&amp;B106,#REF!,"&lt;="&amp;EOMONTH(B106,0))</f>
        <v>#NAME?</v>
      </c>
      <c r="I133" s="1069" t="e">
        <f ca="1">MAXIFS(#REF!,#REF!,"&lt;&gt;0",#REF!,"&gt;="&amp;B106,#REF!,"&lt;="&amp;EOMONTH(B106,0))</f>
        <v>#NAME?</v>
      </c>
      <c r="J133" s="1072" t="s">
        <v>153</v>
      </c>
      <c r="K133" s="1072" t="s">
        <v>153</v>
      </c>
      <c r="L133" s="1281"/>
      <c r="M133" s="1289"/>
      <c r="N133" s="1290"/>
      <c r="O133" s="1290"/>
      <c r="P133" s="1286"/>
      <c r="Q133" s="1283"/>
      <c r="R133" s="1286"/>
      <c r="S133" s="1286"/>
      <c r="T133" s="1290"/>
      <c r="U133" s="1290"/>
      <c r="V133" s="1285"/>
      <c r="W133" s="1293"/>
      <c r="X133" s="1293"/>
      <c r="Y133" s="1286"/>
      <c r="Z133" s="1286"/>
      <c r="AA133" s="1286"/>
      <c r="AB133" s="1286"/>
      <c r="AC133" s="1293"/>
      <c r="AD133" s="1249"/>
      <c r="AE133" s="1285"/>
      <c r="AF133" s="1293"/>
      <c r="AG133" s="1293"/>
      <c r="AH133" s="1293"/>
      <c r="AI133" s="1293"/>
      <c r="AJ133" s="1293"/>
      <c r="AK133" s="1285"/>
      <c r="AL133" s="1293"/>
      <c r="AM133" s="1293"/>
      <c r="AN133" s="1293"/>
      <c r="AO133" s="1293"/>
      <c r="AP133" s="1293"/>
      <c r="AQ133" s="1285"/>
      <c r="AR133" s="1293"/>
      <c r="AS133" s="1293"/>
      <c r="AT133" s="1293"/>
      <c r="AU133" s="1293"/>
      <c r="AV133" s="1293"/>
      <c r="AW133" s="1293"/>
      <c r="AX133" s="1294"/>
      <c r="AY133" s="1295"/>
      <c r="AZ133" s="1095" t="e">
        <f t="shared" si="44"/>
        <v>#REF!</v>
      </c>
      <c r="BA133" s="2"/>
    </row>
    <row r="134" spans="1:53" ht="15.75" hidden="1" customHeight="1" outlineLevel="1">
      <c r="A134" s="1027"/>
      <c r="B134" s="1096"/>
      <c r="C134" s="1139" t="s">
        <v>48</v>
      </c>
      <c r="D134" s="1122">
        <f>Parametres!$D$35</f>
        <v>0.5</v>
      </c>
      <c r="E134" s="1068" t="e">
        <f>COUNTIFS(#REF!,"&gt;0",#REF!,"&gt;="&amp;B106,#REF!,"&lt;="&amp;EOMONTH(B106,0))</f>
        <v>#REF!</v>
      </c>
      <c r="F134" s="1069" t="e">
        <f>SUMIFS(#REF!,#REF!,"&lt;&gt;0",#REF!,"&gt;="&amp;B106,#REF!,"&lt;="&amp;EOMONTH(B106,0))</f>
        <v>#REF!</v>
      </c>
      <c r="G134" s="1069" t="e">
        <f t="shared" si="42"/>
        <v>#REF!</v>
      </c>
      <c r="H134" s="1070" t="e">
        <f ca="1">MINIFS(#REF!,#REF!,"&lt;&gt;0",#REF!,"&gt;="&amp;B106,#REF!,"&lt;="&amp;EOMONTH(B106,0))</f>
        <v>#NAME?</v>
      </c>
      <c r="I134" s="1069" t="e">
        <f ca="1">MAXIFS(#REF!,#REF!,"&lt;&gt;0",#REF!,"&gt;="&amp;B106,#REF!,"&lt;="&amp;EOMONTH(B106,0))</f>
        <v>#NAME?</v>
      </c>
      <c r="J134" s="1114" t="e">
        <f>COUNTIFS(#REF!,"&gt;="&amp;D134,#REF!,"&gt;="&amp;B106,#REF!,"&lt;="&amp;EOMONTH(B106,0))</f>
        <v>#REF!</v>
      </c>
      <c r="K134" s="1341" t="e">
        <f>J134/E134</f>
        <v>#REF!</v>
      </c>
      <c r="L134" s="1281"/>
      <c r="M134" s="1289"/>
      <c r="N134" s="1144">
        <f>Parametres!$L$35</f>
        <v>30</v>
      </c>
      <c r="O134" s="1077">
        <f>COUNTIFS('Degrémont Entrée'!$BB$14:$BB$379,"&gt;0",'Degrémont Entrée'!$A$14:$A$379,"&gt;="&amp;B106,'Degrémont Entrée'!$A$14:$A$379,"&lt;="&amp;EOMONTH(B106,0))</f>
        <v>4</v>
      </c>
      <c r="P134" s="1078">
        <f>SUMIFS('Degrémont Entrée'!$BB$14:$BB$379,'Degrémont Entrée'!$BB$14:$BB$379,"&lt;&gt;0",'Degrémont Entrée'!$A$14:$A$379,"&gt;="&amp;B106,'Degrémont Entrée'!$A$14:$A$379,"&lt;="&amp;EOMONTH(B106,0))</f>
        <v>1</v>
      </c>
      <c r="Q134" s="1283">
        <f>IF(O134=0,0,P134/O134)</f>
        <v>0.25</v>
      </c>
      <c r="R134" s="1286" t="e">
        <f ca="1">MINIFS('Degrémont Entrée'!$BB$14:$BB$379,'Degrémont Entrée'!$BB$14:$BB$379,"&lt;&gt;0",'Degrémont Entrée'!$A$14:$A$379,"&gt;="&amp;B106,'Degrémont Entrée'!$A$14:$A$379,"&lt;="&amp;EOMONTH(B106,0))</f>
        <v>#NAME?</v>
      </c>
      <c r="S134" s="1286" t="e">
        <f ca="1">MAXIFS('Degrémont Entrée'!$BB$14:$BB$379,'Degrémont Entrée'!$BB$14:$BB$379,"&lt;&gt;0",'Degrémont Entrée'!$A$14:$A$379,"&gt;="&amp;B106,'Degrémont Entrée'!$A$14:$A$379,"&lt;="&amp;EOMONTH(B106,0))</f>
        <v>#NAME?</v>
      </c>
      <c r="T134" s="1141">
        <f>COUNTIFS('Degrémont Entrée'!$BB$14:$BB$379,"&gt;="&amp;N134,'Degrémont Entrée'!$A$14:$A$379,"&gt;="&amp;B106,'Degrémont Entrée'!$A$14:$A$379,"&lt;="&amp;EOMONTH(B106,0))</f>
        <v>0</v>
      </c>
      <c r="U134" s="1081">
        <f>T134/O134</f>
        <v>0</v>
      </c>
      <c r="V134" s="1285"/>
      <c r="W134" s="1083">
        <f>Parametres!$T$35</f>
        <v>0.16</v>
      </c>
      <c r="X134" s="1142">
        <f>COUNTIFS('Degrémont sortie'!$AV$14:$AV$379,"&gt;0",'Degrémont sortie'!$A$14:$A$379,"&gt;="&amp;B106,'Degrémont sortie'!$A$14:$A$379,"&lt;="&amp;EOMONTH(B106,0))</f>
        <v>4</v>
      </c>
      <c r="Y134" s="1085">
        <f>SUMIFS('Degrémont sortie'!$AV$14:$AV$379,'Degrémont sortie'!$AV$14:$AV$379,"&lt;&gt;0",'Degrémont sortie'!$A$14:$A$379,"&gt;="&amp;B106,'Degrémont sortie'!$A$14:$A$379,"&lt;="&amp;EOMONTH(B106,0))</f>
        <v>0.6</v>
      </c>
      <c r="Z134" s="1069">
        <f t="shared" ref="Z134:Z136" si="54">IF(X134=0,0,Y134/X134)</f>
        <v>0.15</v>
      </c>
      <c r="AA134" s="1286" t="e">
        <f ca="1">MINIFS('Degrémont sortie'!$AV$14:$AV$379,'Degrémont sortie'!$AV$14:$AV$379,"&lt;&gt;0",'Degrémont sortie'!$A$14:$A$379,"&gt;="&amp;B106,'Degrémont sortie'!$A$14:$A$379,"&lt;="&amp;EOMONTH(B106,0))</f>
        <v>#NAME?</v>
      </c>
      <c r="AB134" s="1286" t="e">
        <f ca="1">MAXIFS('Degrémont sortie'!$AV$14:$AV$379,'Degrémont sortie'!$AV$14:$AV$379,"&lt;&gt;0",'Degrémont sortie'!$A$14:$A$379,"&gt;="&amp;B106,'Degrémont sortie'!$A$14:$A$379,"&lt;="&amp;EOMONTH(B106,0))</f>
        <v>#NAME?</v>
      </c>
      <c r="AC134" s="1141">
        <f>COUNTIFS('Degrémont sortie'!$AV$14:$AV$379,"&gt;="&amp;W134,'Degrémont sortie'!$A$14:$A$379,"&gt;="&amp;B106,'Degrémont sortie'!$A$14:$A$379,"&lt;="&amp;EOMONTH(B106,0))</f>
        <v>0</v>
      </c>
      <c r="AD134" s="1087">
        <f>AC134/X134</f>
        <v>0</v>
      </c>
      <c r="AE134" s="1285"/>
      <c r="AF134" s="1293"/>
      <c r="AG134" s="1293"/>
      <c r="AH134" s="1293"/>
      <c r="AI134" s="1293"/>
      <c r="AJ134" s="1293"/>
      <c r="AK134" s="1285"/>
      <c r="AL134" s="1293"/>
      <c r="AM134" s="1293"/>
      <c r="AN134" s="1293"/>
      <c r="AO134" s="1293"/>
      <c r="AP134" s="1293"/>
      <c r="AQ134" s="1285"/>
      <c r="AR134" s="1293"/>
      <c r="AS134" s="1293"/>
      <c r="AT134" s="1293"/>
      <c r="AU134" s="1293"/>
      <c r="AV134" s="1293"/>
      <c r="AW134" s="1293"/>
      <c r="AX134" s="1294"/>
      <c r="AY134" s="1295"/>
      <c r="AZ134" s="1095" t="e">
        <f t="shared" si="44"/>
        <v>#REF!</v>
      </c>
      <c r="BA134" s="2"/>
    </row>
    <row r="135" spans="1:53" ht="15.75" hidden="1" customHeight="1" outlineLevel="1">
      <c r="A135" s="1027"/>
      <c r="B135" s="1096"/>
      <c r="C135" s="1139" t="s">
        <v>39</v>
      </c>
      <c r="D135" s="1122">
        <f>Parametres!$D$36</f>
        <v>10000000</v>
      </c>
      <c r="E135" s="1068" t="e">
        <f>COUNTIFS(#REF!,"&gt;0",#REF!,"&gt;="&amp;B106,#REF!,"&lt;="&amp;EOMONTH(B106,0))</f>
        <v>#REF!</v>
      </c>
      <c r="F135" s="1069" t="e">
        <f>SUMIFS(#REF!,#REF!,"&lt;&gt;0",#REF!,"&gt;="&amp;B106,#REF!,"&lt;="&amp;EOMONTH(B106,0))</f>
        <v>#REF!</v>
      </c>
      <c r="G135" s="1069" t="e">
        <f t="shared" si="42"/>
        <v>#REF!</v>
      </c>
      <c r="H135" s="1070" t="e">
        <f ca="1">MINIFS(#REF!,#REF!,"&lt;&gt;0",#REF!,"&gt;="&amp;B106,#REF!,"&lt;="&amp;EOMONTH(B106,0))</f>
        <v>#NAME?</v>
      </c>
      <c r="I135" s="1277" t="e">
        <f ca="1">MAXIFS(#REF!,#REF!,"&lt;&gt;0",#REF!,"&gt;="&amp;B106,#REF!,"&lt;="&amp;EOMONTH(B106,0))</f>
        <v>#NAME?</v>
      </c>
      <c r="J135" s="1072" t="s">
        <v>153</v>
      </c>
      <c r="K135" s="1072" t="s">
        <v>153</v>
      </c>
      <c r="L135" s="1281"/>
      <c r="M135" s="1289"/>
      <c r="N135" s="1290"/>
      <c r="O135" s="1290"/>
      <c r="P135" s="1286"/>
      <c r="Q135" s="1286"/>
      <c r="R135" s="1286"/>
      <c r="S135" s="1286"/>
      <c r="T135" s="1290"/>
      <c r="U135" s="1290"/>
      <c r="V135" s="1285"/>
      <c r="W135" s="1083">
        <f>Parametres!$T$36</f>
        <v>100000000</v>
      </c>
      <c r="X135" s="1142">
        <f>COUNTIFS('Degrémont sortie'!$R$14:$R$379,"&gt;0",'Degrémont sortie'!$A$14:$A$379,"&gt;="&amp;B106,'Degrémont sortie'!$A$14:$A$379,"&lt;="&amp;EOMONTH(B106,0))</f>
        <v>0</v>
      </c>
      <c r="Y135" s="1085">
        <f>SUMIFS('Degrémont sortie'!$R$14:$R$379,'Degrémont sortie'!$R$14:$R$379,"&lt;&gt;0",'Degrémont sortie'!$A$14:$A$379,"&gt;="&amp;B106,'Degrémont sortie'!$A$14:$A$379,"&lt;="&amp;EOMONTH(B106,0))</f>
        <v>0</v>
      </c>
      <c r="Z135" s="1069">
        <f t="shared" si="54"/>
        <v>0</v>
      </c>
      <c r="AA135" s="1286" t="e">
        <f ca="1">MINIFS('Degrémont sortie'!$R$14:$R$379,'Degrémont sortie'!$R$14:$R$379,"&lt;&gt;0",'Degrémont sortie'!$A$14:$A$379,"&gt;="&amp;B106,'Degrémont sortie'!$A$14:$A$379,"&lt;="&amp;EOMONTH(B106,0))</f>
        <v>#NAME?</v>
      </c>
      <c r="AB135" s="1286" t="e">
        <f ca="1">MAXIFS('Degrémont sortie'!$R$14:$R$379,'Degrémont sortie'!$R$14:$R$379,"&lt;&gt;0",'Degrémont sortie'!$A$14:$A$379,"&gt;="&amp;B106,'Degrémont sortie'!$A$14:$A$379,"&lt;="&amp;EOMONTH(B106,0))</f>
        <v>#NAME?</v>
      </c>
      <c r="AC135" s="1291" t="s">
        <v>153</v>
      </c>
      <c r="AD135" s="1292" t="s">
        <v>153</v>
      </c>
      <c r="AE135" s="1285"/>
      <c r="AF135" s="1293"/>
      <c r="AG135" s="1293"/>
      <c r="AH135" s="1293"/>
      <c r="AI135" s="1293"/>
      <c r="AJ135" s="1293"/>
      <c r="AK135" s="1285"/>
      <c r="AL135" s="1293"/>
      <c r="AM135" s="1293"/>
      <c r="AN135" s="1293"/>
      <c r="AO135" s="1293"/>
      <c r="AP135" s="1293"/>
      <c r="AQ135" s="1285"/>
      <c r="AR135" s="1293"/>
      <c r="AS135" s="1293"/>
      <c r="AT135" s="1293"/>
      <c r="AU135" s="1293"/>
      <c r="AV135" s="1293"/>
      <c r="AW135" s="1293"/>
      <c r="AX135" s="1294"/>
      <c r="AY135" s="1295"/>
      <c r="AZ135" s="1095" t="e">
        <f t="shared" si="44"/>
        <v>#REF!</v>
      </c>
      <c r="BA135" s="2"/>
    </row>
    <row r="136" spans="1:53" ht="15.75" hidden="1" customHeight="1" outlineLevel="1">
      <c r="A136" s="1027"/>
      <c r="B136" s="1096"/>
      <c r="C136" s="1139" t="s">
        <v>40</v>
      </c>
      <c r="D136" s="1122">
        <f>Parametres!$D$37</f>
        <v>10000000</v>
      </c>
      <c r="E136" s="1068" t="e">
        <f>COUNTIFS(#REF!,"&gt;0",#REF!,"&gt;="&amp;B106,#REF!,"&lt;="&amp;EOMONTH(B106,0))</f>
        <v>#REF!</v>
      </c>
      <c r="F136" s="1069" t="e">
        <f>SUMIFS(#REF!,#REF!,"&lt;&gt;0",#REF!,"&gt;="&amp;B106,#REF!,"&lt;="&amp;EOMONTH(B106,0))</f>
        <v>#REF!</v>
      </c>
      <c r="G136" s="1069" t="e">
        <f t="shared" si="42"/>
        <v>#REF!</v>
      </c>
      <c r="H136" s="1070" t="e">
        <f ca="1">MINIFS(#REF!,#REF!,"&lt;&gt;0",#REF!,"&gt;="&amp;B106,#REF!,"&lt;="&amp;EOMONTH(B106,0))</f>
        <v>#NAME?</v>
      </c>
      <c r="I136" s="1069" t="e">
        <f ca="1">MAXIFS(#REF!,#REF!,"&lt;&gt;0",#REF!,"&gt;="&amp;B106,#REF!,"&lt;="&amp;EOMONTH(B106,0))</f>
        <v>#NAME?</v>
      </c>
      <c r="J136" s="1072" t="s">
        <v>153</v>
      </c>
      <c r="K136" s="1072" t="s">
        <v>153</v>
      </c>
      <c r="L136" s="1281"/>
      <c r="M136" s="1289"/>
      <c r="N136" s="1290"/>
      <c r="O136" s="1290"/>
      <c r="P136" s="1286"/>
      <c r="Q136" s="1286"/>
      <c r="R136" s="1286"/>
      <c r="S136" s="1286"/>
      <c r="T136" s="1290"/>
      <c r="U136" s="1290"/>
      <c r="V136" s="1285"/>
      <c r="W136" s="1083">
        <f>Parametres!$T$37</f>
        <v>100000000</v>
      </c>
      <c r="X136" s="1142">
        <f>COUNTIFS('Degrémont sortie'!$U$14:$U$379,"&gt;0",'Degrémont sortie'!$A$14:$A$379,"&gt;="&amp;B106,'Degrémont sortie'!$A$14:$A$379,"&lt;="&amp;EOMONTH(B106,0))</f>
        <v>0</v>
      </c>
      <c r="Y136" s="1085">
        <f>SUMIFS('Degrémont sortie'!$U$14:$U$379,'Degrémont sortie'!$U$14:$U$379,"&lt;&gt;0",'Degrémont sortie'!$A$14:$A$379,"&gt;="&amp;B106,'Degrémont sortie'!$A$14:$A$379,"&lt;="&amp;EOMONTH(B106,0))</f>
        <v>0</v>
      </c>
      <c r="Z136" s="1069">
        <f t="shared" si="54"/>
        <v>0</v>
      </c>
      <c r="AA136" s="1286" t="e">
        <f ca="1">MINIFS('Degrémont sortie'!$U$14:$U$379,'Degrémont sortie'!$U$14:$U$379,"&lt;&gt;0",'Degrémont sortie'!$A$14:$A$379,"&gt;="&amp;B106,'Degrémont sortie'!$A$14:$A$379,"&lt;="&amp;EOMONTH(B106,0))</f>
        <v>#NAME?</v>
      </c>
      <c r="AB136" s="1286" t="e">
        <f ca="1">MAXIFS('Degrémont sortie'!$U$14:$U$379,'Degrémont sortie'!$U$14:$U$379,"&lt;&gt;0",'Degrémont sortie'!$A$14:$A$379,"&gt;="&amp;B106,'Degrémont sortie'!$A$14:$A$379,"&lt;="&amp;EOMONTH(B106,0))</f>
        <v>#NAME?</v>
      </c>
      <c r="AC136" s="1291" t="s">
        <v>153</v>
      </c>
      <c r="AD136" s="1292" t="s">
        <v>153</v>
      </c>
      <c r="AE136" s="1285"/>
      <c r="AF136" s="1293"/>
      <c r="AG136" s="1293"/>
      <c r="AH136" s="1293"/>
      <c r="AI136" s="1293"/>
      <c r="AJ136" s="1293"/>
      <c r="AK136" s="1285"/>
      <c r="AL136" s="1293"/>
      <c r="AM136" s="1293"/>
      <c r="AN136" s="1293"/>
      <c r="AO136" s="1293"/>
      <c r="AP136" s="1293"/>
      <c r="AQ136" s="1285"/>
      <c r="AR136" s="1293"/>
      <c r="AS136" s="1293"/>
      <c r="AT136" s="1293"/>
      <c r="AU136" s="1293"/>
      <c r="AV136" s="1293"/>
      <c r="AW136" s="1293"/>
      <c r="AX136" s="1294"/>
      <c r="AY136" s="1295"/>
      <c r="AZ136" s="1095" t="e">
        <f t="shared" si="44"/>
        <v>#REF!</v>
      </c>
      <c r="BA136" s="2"/>
    </row>
    <row r="137" spans="1:53" ht="15.75" hidden="1" customHeight="1" outlineLevel="1">
      <c r="A137" s="1027"/>
      <c r="B137" s="1096"/>
      <c r="C137" s="1121" t="s">
        <v>15</v>
      </c>
      <c r="D137" s="1122">
        <f>Parametres!$D$38</f>
        <v>1000000</v>
      </c>
      <c r="E137" s="1068" t="e">
        <f>COUNTIFS(#REF!,"&gt;0",#REF!,"&gt;="&amp;B106,#REF!,"&lt;="&amp;EOMONTH(B106,0))</f>
        <v>#REF!</v>
      </c>
      <c r="F137" s="1069" t="e">
        <f>SUMIFS(#REF!,#REF!,"&lt;&gt;0",#REF!,"&gt;="&amp;B106,#REF!,"&lt;="&amp;EOMONTH(B106,0))</f>
        <v>#REF!</v>
      </c>
      <c r="G137" s="1069" t="e">
        <f t="shared" si="42"/>
        <v>#REF!</v>
      </c>
      <c r="H137" s="1070" t="e">
        <f ca="1">MINIFS(#REF!,#REF!,"&lt;&gt;0",#REF!,"&gt;="&amp;B106,#REF!,"&lt;="&amp;EOMONTH(B106,0))</f>
        <v>#NAME?</v>
      </c>
      <c r="I137" s="1069" t="e">
        <f ca="1">MAXIFS(#REF!,#REF!,"&lt;&gt;0",#REF!,"&gt;="&amp;B106,#REF!,"&lt;="&amp;EOMONTH(B106,0))</f>
        <v>#NAME?</v>
      </c>
      <c r="J137" s="1072" t="e">
        <f>COUNTIFS(#REF!,"&gt;="&amp;D137,#REF!,"&gt;="&amp;B106,#REF!,"&lt;="&amp;EOMONTH(B106,0))</f>
        <v>#REF!</v>
      </c>
      <c r="K137" s="1341" t="e">
        <f t="shared" ref="K137:K138" si="55">J137/E137</f>
        <v>#REF!</v>
      </c>
      <c r="L137" s="1281"/>
      <c r="M137" s="1289"/>
      <c r="N137" s="1290"/>
      <c r="O137" s="1290"/>
      <c r="P137" s="1286"/>
      <c r="Q137" s="1286"/>
      <c r="R137" s="1286"/>
      <c r="S137" s="1286"/>
      <c r="T137" s="1290"/>
      <c r="U137" s="1290"/>
      <c r="V137" s="1285"/>
      <c r="W137" s="1293"/>
      <c r="X137" s="1293"/>
      <c r="Y137" s="1286"/>
      <c r="Z137" s="1286"/>
      <c r="AA137" s="1286"/>
      <c r="AB137" s="1286"/>
      <c r="AC137" s="1293"/>
      <c r="AD137" s="1249"/>
      <c r="AE137" s="1285"/>
      <c r="AF137" s="1293"/>
      <c r="AG137" s="1293"/>
      <c r="AH137" s="1293"/>
      <c r="AI137" s="1293"/>
      <c r="AJ137" s="1293"/>
      <c r="AK137" s="1285"/>
      <c r="AL137" s="1293"/>
      <c r="AM137" s="1293"/>
      <c r="AN137" s="1293"/>
      <c r="AO137" s="1293"/>
      <c r="AP137" s="1293"/>
      <c r="AQ137" s="1285"/>
      <c r="AR137" s="1293"/>
      <c r="AS137" s="1293"/>
      <c r="AT137" s="1293"/>
      <c r="AU137" s="1293"/>
      <c r="AV137" s="1293"/>
      <c r="AW137" s="1293"/>
      <c r="AX137" s="1294"/>
      <c r="AY137" s="1295"/>
      <c r="AZ137" s="1095" t="e">
        <f t="shared" si="44"/>
        <v>#REF!</v>
      </c>
      <c r="BA137" s="2"/>
    </row>
    <row r="138" spans="1:53" ht="15.75" hidden="1" customHeight="1" outlineLevel="1">
      <c r="A138" s="1027"/>
      <c r="B138" s="1096"/>
      <c r="C138" s="1121" t="s">
        <v>170</v>
      </c>
      <c r="D138" s="1122">
        <f>Parametres!$D$40</f>
        <v>10000000</v>
      </c>
      <c r="E138" s="1068" t="e">
        <f>COUNTIFS(#REF!,"&gt;0",#REF!,"&gt;="&amp;B106,#REF!,"&lt;="&amp;EOMONTH(B106,0))</f>
        <v>#REF!</v>
      </c>
      <c r="F138" s="1069" t="e">
        <f>SUMIFS(#REF!,#REF!,"&lt;&gt;0",#REF!,"&gt;="&amp;B106,#REF!,"&lt;="&amp;EOMONTH(B106,0))</f>
        <v>#REF!</v>
      </c>
      <c r="G138" s="1069" t="e">
        <f t="shared" si="42"/>
        <v>#REF!</v>
      </c>
      <c r="H138" s="1070" t="e">
        <f ca="1">MINIFS(#REF!,#REF!,"&lt;&gt;0",#REF!,"&gt;="&amp;B106,#REF!,"&lt;="&amp;EOMONTH(B106,0))</f>
        <v>#NAME?</v>
      </c>
      <c r="I138" s="1069" t="e">
        <f ca="1">MAXIFS(#REF!,#REF!,"&lt;&gt;0",#REF!,"&gt;="&amp;B106,#REF!,"&lt;="&amp;EOMONTH(B106,0))</f>
        <v>#NAME?</v>
      </c>
      <c r="J138" s="1114" t="e">
        <f>COUNTIFS(#REF!,"&gt;="&amp;D138,#REF!,"&gt;="&amp;B107,#REF!,"&lt;="&amp;EOMONTH(B107,0))</f>
        <v>#REF!</v>
      </c>
      <c r="K138" s="1341" t="e">
        <f t="shared" si="55"/>
        <v>#REF!</v>
      </c>
      <c r="L138" s="1281"/>
      <c r="M138" s="1289"/>
      <c r="N138" s="1313"/>
      <c r="O138" s="1313"/>
      <c r="P138" s="1315"/>
      <c r="Q138" s="1317"/>
      <c r="R138" s="1286"/>
      <c r="S138" s="1286"/>
      <c r="T138" s="1290"/>
      <c r="U138" s="1290"/>
      <c r="V138" s="1285"/>
      <c r="W138" s="1293"/>
      <c r="X138" s="1293"/>
      <c r="Y138" s="1315"/>
      <c r="Z138" s="1286"/>
      <c r="AA138" s="1286"/>
      <c r="AB138" s="1286"/>
      <c r="AC138" s="1293"/>
      <c r="AD138" s="1249"/>
      <c r="AE138" s="1285"/>
      <c r="AF138" s="1293"/>
      <c r="AG138" s="1293"/>
      <c r="AH138" s="1293"/>
      <c r="AI138" s="1293"/>
      <c r="AJ138" s="1293"/>
      <c r="AK138" s="1285"/>
      <c r="AL138" s="1321"/>
      <c r="AM138" s="1293"/>
      <c r="AN138" s="1293"/>
      <c r="AO138" s="1293"/>
      <c r="AP138" s="1293"/>
      <c r="AQ138" s="1285"/>
      <c r="AR138" s="1293"/>
      <c r="AS138" s="1293"/>
      <c r="AT138" s="1293"/>
      <c r="AU138" s="1293"/>
      <c r="AV138" s="1293"/>
      <c r="AW138" s="1293"/>
      <c r="AX138" s="1294"/>
      <c r="AY138" s="1295"/>
      <c r="AZ138" s="1095"/>
      <c r="BA138" s="2"/>
    </row>
    <row r="139" spans="1:53" ht="15.75" hidden="1" customHeight="1" outlineLevel="1">
      <c r="A139" s="1027"/>
      <c r="B139" s="1096"/>
      <c r="C139" s="1139" t="s">
        <v>38</v>
      </c>
      <c r="D139" s="1122">
        <f>Parametres!$D$39</f>
        <v>1000000</v>
      </c>
      <c r="E139" s="1068" t="e">
        <f>COUNTIFS(#REF!,"&gt;0",#REF!,"&gt;="&amp;B106,#REF!,"&lt;="&amp;EOMONTH(B106,0))</f>
        <v>#REF!</v>
      </c>
      <c r="F139" s="1069" t="e">
        <f>SUMIFS(#REF!,#REF!,"&lt;&gt;0",#REF!,"&gt;="&amp;B106,#REF!,"&lt;="&amp;EOMONTH(B106,0))</f>
        <v>#REF!</v>
      </c>
      <c r="G139" s="1069" t="e">
        <f t="shared" si="42"/>
        <v>#REF!</v>
      </c>
      <c r="H139" s="1070" t="e">
        <f ca="1">MINIFS(#REF!,#REF!,"&lt;&gt;0",#REF!,"&gt;="&amp;B106,#REF!,"&lt;="&amp;EOMONTH(B106,0))</f>
        <v>#NAME?</v>
      </c>
      <c r="I139" s="1069" t="e">
        <f ca="1">MAXIFS(#REF!,#REF!,"&lt;&gt;0",#REF!,"&gt;="&amp;B106,#REF!,"&lt;="&amp;EOMONTH(B106,0))</f>
        <v>#NAME?</v>
      </c>
      <c r="J139" s="1072" t="s">
        <v>153</v>
      </c>
      <c r="K139" s="1072" t="s">
        <v>153</v>
      </c>
      <c r="L139" s="1281"/>
      <c r="M139" s="1289"/>
      <c r="N139" s="1328">
        <f>Parametres!$L$39</f>
        <v>100000</v>
      </c>
      <c r="O139" s="1077">
        <f>COUNTIF('Degrémont Entrée'!$U$14:$U$44,"&gt;0")</f>
        <v>4</v>
      </c>
      <c r="P139" s="1078">
        <f>SUMIFS('Degrémont Entrée'!$U$14:$U$379,'Degrémont Entrée'!$U$14:$U$379,"&lt;&gt;0",'Degrémont Entrée'!$A$14:$A$379,"&gt;="&amp;B106,'Degrémont Entrée'!$A$14:$A$379,"&lt;="&amp;EOMONTH(B106,0))</f>
        <v>164</v>
      </c>
      <c r="Q139" s="1283">
        <f t="shared" ref="Q139:Q142" si="56">IF(O139=0,0,P139/O139)</f>
        <v>41</v>
      </c>
      <c r="R139" s="1286" t="e">
        <f ca="1">MINIFS('Degrémont Entrée'!$U$14:$U$379,'Degrémont Entrée'!$U$14:$U$379,"&lt;&gt;0",'Degrémont Entrée'!$A$14:$A$379,"&gt;="&amp;B106,'Degrémont Entrée'!$A$14:$A$379,"&lt;="&amp;EOMONTH(B106,0))</f>
        <v>#NAME?</v>
      </c>
      <c r="S139" s="1286" t="e">
        <f ca="1">MAXIFS('Degrémont Entrée'!$U$14:$U$379,'Degrémont Entrée'!$U$14:$U$379,"&lt;&gt;0",'Degrémont Entrée'!$A$14:$A$379,"&gt;="&amp;B106,'Degrémont Entrée'!$A$14:$A$379,"&lt;="&amp;EOMONTH(B106,0))</f>
        <v>#NAME?</v>
      </c>
      <c r="T139" s="1291" t="s">
        <v>153</v>
      </c>
      <c r="U139" s="1291" t="s">
        <v>153</v>
      </c>
      <c r="V139" s="1285"/>
      <c r="W139" s="1083">
        <f>Parametres!T137</f>
        <v>0</v>
      </c>
      <c r="X139" s="1142">
        <f>COUNTIFS('Degrémont sortie'!$O$14:$O$379,"&gt;0",'Degrémont sortie'!$A$14:$A$379,"&gt;="&amp;B106,'Degrémont sortie'!$A$14:$A$379,"&lt;="&amp;EOMONTH(B106,0))</f>
        <v>4</v>
      </c>
      <c r="Y139" s="1085">
        <f>SUMIFS('Degrémont sortie'!$O$14:$O$379,'Degrémont sortie'!$O$14:$O$379,"&lt;&gt;0",'Degrémont sortie'!$A$14:$A$379,"&gt;="&amp;B106,'Degrémont sortie'!$A$14:$A$379,"&lt;="&amp;EOMONTH(B106,0))</f>
        <v>48.3</v>
      </c>
      <c r="Z139" s="1069">
        <f t="shared" ref="Z139:Z145" si="57">IF(X139=0,0,Y139/X139)</f>
        <v>12.074999999999999</v>
      </c>
      <c r="AA139" s="1286" t="e">
        <f ca="1">MINIFS('Degrémont sortie'!$O$14:$O$379,'Degrémont sortie'!$O$14:$O$379,"&lt;&gt;0",'Degrémont sortie'!$A$14:$A$379,"&gt;="&amp;B106,'Degrémont sortie'!$A$14:$A$379,"&lt;="&amp;EOMONTH(B106,0))</f>
        <v>#NAME?</v>
      </c>
      <c r="AB139" s="1286" t="e">
        <f ca="1">MAXIFS('Degrémont sortie'!$O$14:$O$379,'Degrémont sortie'!$O$14:$O$379,"&lt;&gt;0",'Degrémont sortie'!$A$14:$A$379,"&gt;="&amp;B106,'Degrémont sortie'!$A$14:$A$379,"&lt;="&amp;EOMONTH(B106,0))</f>
        <v>#NAME?</v>
      </c>
      <c r="AC139" s="1291" t="s">
        <v>153</v>
      </c>
      <c r="AD139" s="1292" t="s">
        <v>153</v>
      </c>
      <c r="AE139" s="1285"/>
      <c r="AF139" s="1293"/>
      <c r="AG139" s="1293"/>
      <c r="AH139" s="1293"/>
      <c r="AI139" s="1293"/>
      <c r="AJ139" s="1293"/>
      <c r="AK139" s="1285"/>
      <c r="AL139" s="1205" t="e">
        <f>COUNTIFS(#REF!,"&gt;0",#REF!,"&gt;="&amp;B106,#REF!,"&lt;="&amp;EOMONTH(B106,0))</f>
        <v>#REF!</v>
      </c>
      <c r="AM139" s="1208" t="e">
        <f>SUMIFS(#REF!,#REF!,"&lt;&gt;0",#REF!,"&gt;="&amp;B106,#REF!,"&lt;="&amp;EOMONTH(B106,0))</f>
        <v>#REF!</v>
      </c>
      <c r="AN139" s="1208" t="e">
        <f>IF(AL139=0,0,AM139/AL139)</f>
        <v>#REF!</v>
      </c>
      <c r="AO139" s="1141" t="e">
        <f ca="1">MINIFS(#REF!,#REF!,"&lt;&gt;0",#REF!,"&gt;="&amp;B106,#REF!,"&lt;="&amp;EOMONTH(B106,0))</f>
        <v>#NAME?</v>
      </c>
      <c r="AP139" s="1141" t="e">
        <f ca="1">MAXIFS(#REF!,#REF!,"&lt;&gt;0",#REF!,"&gt;="&amp;B106,#REF!,"&lt;="&amp;EOMONTH(B106,0))</f>
        <v>#NAME?</v>
      </c>
      <c r="AQ139" s="1285"/>
      <c r="AR139" s="1293"/>
      <c r="AS139" s="1293"/>
      <c r="AT139" s="1293"/>
      <c r="AU139" s="1293"/>
      <c r="AV139" s="1293"/>
      <c r="AW139" s="1293"/>
      <c r="AX139" s="1294"/>
      <c r="AY139" s="1295"/>
      <c r="AZ139" s="1095" t="e">
        <f t="shared" ref="AZ139:AZ151" si="58">SUM(E139+O139+X139+AF139+AL139+AS139)</f>
        <v>#REF!</v>
      </c>
      <c r="BA139" s="2"/>
    </row>
    <row r="140" spans="1:53" ht="15.75" hidden="1" customHeight="1" outlineLevel="1">
      <c r="A140" s="1027"/>
      <c r="B140" s="1096"/>
      <c r="C140" s="1139" t="s">
        <v>33</v>
      </c>
      <c r="D140" s="1122" t="str">
        <f>Parametres!$D$41</f>
        <v>5,5-8,5</v>
      </c>
      <c r="E140" s="1068" t="e">
        <f>COUNTIFS(#REF!,"&gt;0",#REF!,"&gt;="&amp;B106,#REF!,"&lt;="&amp;EOMONTH(B106,0))</f>
        <v>#REF!</v>
      </c>
      <c r="F140" s="1069" t="e">
        <f>SUMIFS(#REF!,#REF!,"&lt;&gt;0",#REF!,"&gt;="&amp;B106,#REF!,"&lt;="&amp;EOMONTH(B106,0))</f>
        <v>#REF!</v>
      </c>
      <c r="G140" s="1069" t="e">
        <f t="shared" si="42"/>
        <v>#REF!</v>
      </c>
      <c r="H140" s="1070" t="e">
        <f ca="1">MINIFS(#REF!,#REF!,"&lt;&gt;0",#REF!,"&gt;="&amp;B106,#REF!,"&lt;="&amp;EOMONTH(B106,0))</f>
        <v>#NAME?</v>
      </c>
      <c r="I140" s="1069" t="e">
        <f ca="1">MAXIFS(#REF!,#REF!,"&lt;&gt;0",#REF!,"&gt;="&amp;B106,#REF!,"&lt;="&amp;EOMONTH(B106,0))</f>
        <v>#NAME?</v>
      </c>
      <c r="J140" s="1114" t="e">
        <f>COUNTIFS(#REF!,"&lt;="&amp;D140,#REF!,"&gt;="&amp;B106,#REF!,"&lt;="&amp;EOMONTH(B106,0))</f>
        <v>#REF!</v>
      </c>
      <c r="K140" s="1341" t="e">
        <f t="shared" ref="K140:K142" si="59">J140/E140</f>
        <v>#REF!</v>
      </c>
      <c r="L140" s="1281"/>
      <c r="M140" s="1289"/>
      <c r="N140" s="1144">
        <f>Parametres!$L$41</f>
        <v>100000000</v>
      </c>
      <c r="O140" s="1077">
        <f>COUNTIFS('Degrémont Entrée'!$C$14:$C$379,"&gt;0",'Degrémont Entrée'!$A$14:$A$379,"&gt;="&amp;B106,'Degrémont Entrée'!$A$14:$A$379,"&lt;="&amp;EOMONTH(B106,0))</f>
        <v>26</v>
      </c>
      <c r="P140" s="1078">
        <f>SUMIFS('Degrémont Entrée'!$C$14:$C$379,'Degrémont Entrée'!$C$14:$C$379,"&lt;&gt;0",'Degrémont Entrée'!$A$14:$A$379,"&gt;="&amp;B106,'Degrémont Entrée'!$A$14:$A$379,"&lt;="&amp;EOMONTH(B106,0))</f>
        <v>195.95</v>
      </c>
      <c r="Q140" s="1283">
        <f t="shared" si="56"/>
        <v>7.536538461538461</v>
      </c>
      <c r="R140" s="1286" t="e">
        <f ca="1">MINIFS('Degrémont Entrée'!$C$14:$C$379,'Degrémont Entrée'!$C$14:$C$379,"&lt;&gt;0",'Degrémont Entrée'!$A$14:$A$379,"&gt;="&amp;B106,'Degrémont Entrée'!$A$14:$A$379,"&lt;="&amp;EOMONTH(B106,0))</f>
        <v>#NAME?</v>
      </c>
      <c r="S140" s="1286" t="e">
        <f ca="1">MAXIFS('Degrémont Entrée'!$C$14:$C$379,'Degrémont Entrée'!$C$14:$C$379,"&lt;&gt;0",'Degrémont Entrée'!$A$14:$A$379,"&gt;="&amp;B106,'Degrémont Entrée'!$A$14:$A$379,"&lt;="&amp;EOMONTH(B106,0))</f>
        <v>#NAME?</v>
      </c>
      <c r="T140" s="1291" t="s">
        <v>153</v>
      </c>
      <c r="U140" s="1291" t="s">
        <v>153</v>
      </c>
      <c r="V140" s="1285"/>
      <c r="W140" s="1083">
        <f>Parametres!$T$41</f>
        <v>100000000</v>
      </c>
      <c r="X140" s="1142">
        <f>COUNTIFS('Degrémont sortie'!$C$14:$C$379,"&gt;0",'Degrémont sortie'!$A$14:$A$379,"&gt;="&amp;B106,'Degrémont sortie'!$A$14:$A$379,"&lt;="&amp;EOMONTH(B106,0))</f>
        <v>27</v>
      </c>
      <c r="Y140" s="1085">
        <f>SUMIFS('Degrémont sortie'!$C$14:$C$379,'Degrémont sortie'!$C$14:$C$379,"&lt;&gt;0",'Degrémont sortie'!$A$14:$A$379,"&gt;="&amp;B106,'Degrémont sortie'!$A$14:$A$379,"&lt;="&amp;EOMONTH(B106,0))</f>
        <v>233.66000000000005</v>
      </c>
      <c r="Z140" s="1069">
        <f t="shared" si="57"/>
        <v>8.6540740740740763</v>
      </c>
      <c r="AA140" s="1286" t="e">
        <f ca="1">MINIFS('Degrémont sortie'!$C$14:$C$379,'Degrémont sortie'!$C$14:$C$379,"&lt;&gt;0",'Degrémont sortie'!$A$14:$A$379,"&gt;="&amp;B106,'Degrémont sortie'!$A$14:$A$379,"&lt;="&amp;EOMONTH(B106,0))</f>
        <v>#NAME?</v>
      </c>
      <c r="AB140" s="1286" t="e">
        <f ca="1">MAXIFS('Degrémont sortie'!$C$14:$C$379,'Degrémont sortie'!$C$14:$C$379,"&lt;&gt;0",'Degrémont sortie'!$A$14:$A$379,"&gt;="&amp;B106,'Degrémont sortie'!$A$14:$A$379,"&lt;="&amp;EOMONTH(B106,0))</f>
        <v>#NAME?</v>
      </c>
      <c r="AC140" s="1291" t="s">
        <v>153</v>
      </c>
      <c r="AD140" s="1292" t="s">
        <v>153</v>
      </c>
      <c r="AE140" s="1285"/>
      <c r="AF140" s="1293"/>
      <c r="AG140" s="1293"/>
      <c r="AH140" s="1293"/>
      <c r="AI140" s="1293"/>
      <c r="AJ140" s="1293"/>
      <c r="AK140" s="1285"/>
      <c r="AL140" s="1293"/>
      <c r="AM140" s="1293"/>
      <c r="AN140" s="1293"/>
      <c r="AO140" s="1293"/>
      <c r="AP140" s="1293"/>
      <c r="AQ140" s="1285"/>
      <c r="AR140" s="1293"/>
      <c r="AS140" s="1293"/>
      <c r="AT140" s="1293"/>
      <c r="AU140" s="1293"/>
      <c r="AV140" s="1293"/>
      <c r="AW140" s="1293"/>
      <c r="AX140" s="1294"/>
      <c r="AY140" s="1295"/>
      <c r="AZ140" s="1095" t="e">
        <f t="shared" si="58"/>
        <v>#REF!</v>
      </c>
      <c r="BA140" s="2"/>
    </row>
    <row r="141" spans="1:53" ht="15.75" hidden="1" customHeight="1" outlineLevel="1">
      <c r="A141" s="1027"/>
      <c r="B141" s="1096"/>
      <c r="C141" s="1139" t="s">
        <v>49</v>
      </c>
      <c r="D141" s="1122">
        <f>Parametres!$D$42</f>
        <v>0.5</v>
      </c>
      <c r="E141" s="1068" t="e">
        <f>COUNTIFS(#REF!,"&gt;0",#REF!,"&gt;="&amp;B106,#REF!,"&lt;="&amp;EOMONTH(B106,0))</f>
        <v>#REF!</v>
      </c>
      <c r="F141" s="1069" t="e">
        <f>SUMIFS(#REF!,#REF!,"&lt;&gt;0",#REF!,"&gt;="&amp;B106,#REF!,"&lt;="&amp;EOMONTH(B106,0))</f>
        <v>#REF!</v>
      </c>
      <c r="G141" s="1069" t="e">
        <f t="shared" si="42"/>
        <v>#REF!</v>
      </c>
      <c r="H141" s="1070" t="e">
        <f ca="1">MINIFS(#REF!,#REF!,"&lt;&gt;0",#REF!,"&gt;="&amp;B106,#REF!,"&lt;="&amp;EOMONTH(B106,0))</f>
        <v>#NAME?</v>
      </c>
      <c r="I141" s="1069" t="e">
        <f ca="1">MAXIFS(#REF!,#REF!,"&lt;&gt;0",#REF!,"&gt;="&amp;B106,#REF!,"&lt;="&amp;EOMONTH(B106,0))</f>
        <v>#NAME?</v>
      </c>
      <c r="J141" s="1114" t="e">
        <f>COUNTIFS(#REF!,"&gt;="&amp;D141,#REF!,"&gt;="&amp;B106,#REF!,"&lt;="&amp;EOMONTH(B106,0))</f>
        <v>#REF!</v>
      </c>
      <c r="K141" s="1341" t="e">
        <f t="shared" si="59"/>
        <v>#REF!</v>
      </c>
      <c r="L141" s="1281"/>
      <c r="M141" s="1289"/>
      <c r="N141" s="1144">
        <f>Parametres!$L$42</f>
        <v>0.3</v>
      </c>
      <c r="O141" s="1077">
        <f>COUNTIFS('Degrémont Entrée'!$BE$14:$BE$379,"&gt;0",'Degrémont Entrée'!$A$14:$A$379,"&gt;="&amp;B106,'Degrémont Entrée'!$A$14:$A$379,"&lt;="&amp;EOMONTH(B106,0))</f>
        <v>4</v>
      </c>
      <c r="P141" s="1078">
        <f>SUMIFS('Degrémont Entrée'!$BE$14:$BE$379,'Degrémont Entrée'!$BE$14:$BE$379,"&lt;&gt;0",'Degrémont Entrée'!$A$14:$A$379,"&gt;="&amp;B106,'Degrémont Entrée'!$A$14:$A$379,"&lt;="&amp;EOMONTH(B106,0))</f>
        <v>0.52</v>
      </c>
      <c r="Q141" s="1283">
        <f t="shared" si="56"/>
        <v>0.13</v>
      </c>
      <c r="R141" s="1286" t="e">
        <f ca="1">MINIFS('Degrémont Entrée'!$BE$14:$BE$379,'Degrémont Entrée'!$BE$14:$BE$379,"&lt;&gt;0",'Degrémont Entrée'!$A$14:$A$379,"&gt;="&amp;B106,'Degrémont Entrée'!$A$14:$A$379,"&lt;="&amp;EOMONTH(B106,0))</f>
        <v>#NAME?</v>
      </c>
      <c r="S141" s="1286" t="e">
        <f ca="1">MAXIFS('Degrémont Entrée'!$BE$14:$BE$379,'Degrémont Entrée'!$BE$14:$BE$379,"&lt;&gt;0",'Degrémont Entrée'!$A$14:$A$379,"&gt;="&amp;B106,'Degrémont Entrée'!$A$14:$A$379,"&lt;="&amp;EOMONTH(B106,0))</f>
        <v>#NAME?</v>
      </c>
      <c r="T141" s="1141">
        <f>COUNTIFS('Degrémont Entrée'!$BE$14:$BE$379,"&gt;="&amp;N141,'Degrémont Entrée'!$A$14:$A$379,"&gt;="&amp;B106,'Degrémont Entrée'!$A$14:$A$379,"&lt;="&amp;EOMONTH(B106,0))</f>
        <v>0</v>
      </c>
      <c r="U141" s="1081">
        <f t="shared" ref="U141:U142" si="60">T141/O141</f>
        <v>0</v>
      </c>
      <c r="V141" s="1285"/>
      <c r="W141" s="1083">
        <f>Parametres!$T$42</f>
        <v>0.08</v>
      </c>
      <c r="X141" s="1142">
        <f>COUNTIFS('Degrémont sortie'!$AY$14:$AY$379,"&gt;0",'Degrémont sortie'!$A$14:$A$379,"&gt;="&amp;B106,'Degrémont sortie'!$A$14:$A$379,"&lt;="&amp;EOMONTH(B106,0))</f>
        <v>4</v>
      </c>
      <c r="Y141" s="1085">
        <f>SUMIFS('Degrémont sortie'!$AY$14:$AY$379,'Degrémont sortie'!$AY$14:$AY$379,"&lt;&gt;0",'Degrémont sortie'!$A$14:$A$379,"&gt;="&amp;B106,'Degrémont sortie'!$A$14:$A$379,"&lt;="&amp;EOMONTH(B106,0))</f>
        <v>0.52</v>
      </c>
      <c r="Z141" s="1069">
        <f t="shared" si="57"/>
        <v>0.13</v>
      </c>
      <c r="AA141" s="1286" t="e">
        <f ca="1">MINIFS('Degrémont sortie'!$AY$14:$AY$379,'Degrémont sortie'!$AY$14:$AY$379,"&lt;&gt;0",'Degrémont sortie'!$A$14:$A$379,"&gt;="&amp;B106,'Degrémont sortie'!$A$14:$A$379,"&lt;="&amp;EOMONTH(B106,0))</f>
        <v>#NAME?</v>
      </c>
      <c r="AB141" s="1286" t="e">
        <f ca="1">MAXIFS('Degrémont sortie'!$AY$14:$AY$379,'Degrémont sortie'!$AY$14:$AY$379,"&lt;&gt;0",'Degrémont sortie'!$A$14:$A$379,"&gt;="&amp;B106,'Degrémont sortie'!$A$14:$A$379,"&lt;="&amp;EOMONTH(B106,0))</f>
        <v>#NAME?</v>
      </c>
      <c r="AC141" s="1141">
        <f>COUNTIFS('Degrémont sortie'!$AY$14:$AY$379,"&gt;="&amp;W141,'Degrémont sortie'!$A$14:$A$379,"&gt;="&amp;B106,'Degrémont sortie'!$A$14:$A$379,"&lt;="&amp;EOMONTH(B106,0))</f>
        <v>4</v>
      </c>
      <c r="AD141" s="1087">
        <f t="shared" ref="AD141:AD142" si="61">AC141/X141</f>
        <v>1</v>
      </c>
      <c r="AE141" s="1285"/>
      <c r="AF141" s="1293"/>
      <c r="AG141" s="1293"/>
      <c r="AH141" s="1293"/>
      <c r="AI141" s="1293"/>
      <c r="AJ141" s="1293"/>
      <c r="AK141" s="1285"/>
      <c r="AL141" s="1293"/>
      <c r="AM141" s="1293"/>
      <c r="AN141" s="1293"/>
      <c r="AO141" s="1293"/>
      <c r="AP141" s="1293"/>
      <c r="AQ141" s="1285"/>
      <c r="AR141" s="1293"/>
      <c r="AS141" s="1293"/>
      <c r="AT141" s="1293"/>
      <c r="AU141" s="1293"/>
      <c r="AV141" s="1293"/>
      <c r="AW141" s="1293"/>
      <c r="AX141" s="1294"/>
      <c r="AY141" s="1295"/>
      <c r="AZ141" s="1095" t="e">
        <f t="shared" si="58"/>
        <v>#REF!</v>
      </c>
      <c r="BA141" s="2"/>
    </row>
    <row r="142" spans="1:53" ht="15.75" hidden="1" customHeight="1" outlineLevel="1">
      <c r="A142" s="1027"/>
      <c r="B142" s="1096"/>
      <c r="C142" s="1139" t="s">
        <v>37</v>
      </c>
      <c r="D142" s="1122">
        <f>Parametres!$D$43</f>
        <v>15</v>
      </c>
      <c r="E142" s="1069"/>
      <c r="F142" s="1069"/>
      <c r="G142" s="1069">
        <f t="shared" si="42"/>
        <v>0</v>
      </c>
      <c r="H142" s="1070" t="e">
        <f ca="1">MINIFS(#REF!,#REF!,"&lt;&gt;0",#REF!,"&gt;="&amp;B106,#REF!,"&lt;="&amp;EOMONTH(B106,0))</f>
        <v>#NAME?</v>
      </c>
      <c r="I142" s="1069" t="e">
        <f ca="1">MAXIFS(#REF!,#REF!,"&lt;&gt;0",#REF!,"&gt;="&amp;B106,#REF!,"&lt;="&amp;EOMONTH(B106,0))</f>
        <v>#NAME?</v>
      </c>
      <c r="J142" s="1114" t="e">
        <f>COUNTIFS(#REF!,"&gt;="&amp;D142,#REF!,"&gt;="&amp;B107,#REF!,"&lt;="&amp;EOMONTH(B107,0))</f>
        <v>#REF!</v>
      </c>
      <c r="K142" s="1341" t="e">
        <f t="shared" si="59"/>
        <v>#REF!</v>
      </c>
      <c r="L142" s="1281"/>
      <c r="M142" s="1289"/>
      <c r="N142" s="1144">
        <f>Parametres!$L$43</f>
        <v>500</v>
      </c>
      <c r="O142" s="1077">
        <f>COUNTIFS('Degrémont Entrée'!$S$14:$S$379,"&gt;0",'Degrémont Entrée'!$A$14:$A$379,"&gt;="&amp;B106,'Degrémont Entrée'!$A$14:$A$379,"&lt;="&amp;EOMONTH(B106,0))</f>
        <v>26</v>
      </c>
      <c r="P142" s="1078">
        <f>SUMIFS('Degrémont Entrée'!$S$14:$S$379,'Degrémont Entrée'!$S$14:$S$379,"&lt;&gt;0",'Degrémont Entrée'!$A$14:$A$379,"&gt;="&amp;B106,'Degrémont Entrée'!$A$14:$A$379,"&lt;="&amp;EOMONTH(B106,0))</f>
        <v>2661.1</v>
      </c>
      <c r="Q142" s="1283">
        <f t="shared" si="56"/>
        <v>102.35</v>
      </c>
      <c r="R142" s="1286" t="e">
        <f ca="1">MINIFS('Degrémont Entrée'!$S$14:$S$379,'Degrémont Entrée'!$S$14:$S$379,"&lt;&gt;0",'Degrémont Entrée'!$A$14:$A$379,"&gt;="&amp;B106,'Degrémont Entrée'!$A$14:$A$379,"&lt;="&amp;EOMONTH(B106,0))</f>
        <v>#NAME?</v>
      </c>
      <c r="S142" s="1286" t="e">
        <f ca="1">MAXIFS('Degrémont Entrée'!$S$14:$S$379,'Degrémont Entrée'!$S$14:$S$379,"&lt;&gt;0",'Degrémont Entrée'!$A$14:$A$379,"&gt;="&amp;B106,'Degrémont Entrée'!$A$14:$A$379,"&lt;="&amp;EOMONTH(B106,0))</f>
        <v>#NAME?</v>
      </c>
      <c r="T142" s="1141">
        <f>COUNTIFS('Degrémont Entrée'!$S$14:$S$379,"&gt;="&amp;N142,'Degrémont Entrée'!$A$14:$A$379,"&gt;="&amp;B106,'Degrémont Entrée'!$A$14:$A$379,"&lt;="&amp;EOMONTH(B106,0))</f>
        <v>0</v>
      </c>
      <c r="U142" s="1081">
        <f t="shared" si="60"/>
        <v>0</v>
      </c>
      <c r="V142" s="1285"/>
      <c r="W142" s="1083">
        <f>Parametres!$T$43</f>
        <v>20</v>
      </c>
      <c r="X142" s="1142">
        <f>COUNTIFS('Degrémont sortie'!$M$14:$M$379,"&gt;0",'Degrémont sortie'!$A$14:$A$379,"&gt;="&amp;B106,'Degrémont sortie'!$A$14:$A$379,"&lt;="&amp;EOMONTH(B106,0))</f>
        <v>27</v>
      </c>
      <c r="Y142" s="1085">
        <f>SUMIFS('Degrémont sortie'!$M$14:$M$379,'Degrémont sortie'!$M$14:$M$379,"&lt;&gt;0",'Degrémont sortie'!$A$14:$A$379,"&gt;="&amp;B106,'Degrémont sortie'!$A$14:$A$379,"&lt;="&amp;EOMONTH(B106,0))</f>
        <v>33.010000000000005</v>
      </c>
      <c r="Z142" s="1069">
        <f t="shared" si="57"/>
        <v>1.2225925925925927</v>
      </c>
      <c r="AA142" s="1286" t="e">
        <f ca="1">MINIFS('Degrémont sortie'!$M$14:$M$379,'Degrémont sortie'!$M$14:$M$379,"&lt;&gt;0",'Degrémont sortie'!$A$14:$A$379,"&gt;="&amp;B106,'Degrémont sortie'!$A$14:$A$379,"&lt;="&amp;EOMONTH(B106,0))</f>
        <v>#NAME?</v>
      </c>
      <c r="AB142" s="1286" t="e">
        <f ca="1">MAXIFS('Degrémont sortie'!$M$14:$M$379,'Degrémont sortie'!$M$14:$M$379,"&lt;&gt;0",'Degrémont sortie'!$A$14:$A$379,"&gt;="&amp;B106,'Degrémont sortie'!$A$14:$A$379,"&lt;="&amp;EOMONTH(B106,0))</f>
        <v>#NAME?</v>
      </c>
      <c r="AC142" s="1141">
        <f>COUNTIFS('Degrémont sortie'!$M$14:$M$379,"&gt;="&amp;W142,'Degrémont sortie'!$A$14:$A$379,"&gt;="&amp;B106,'Degrémont sortie'!$A$14:$A$379,"&lt;="&amp;EOMONTH(B106,0))</f>
        <v>0</v>
      </c>
      <c r="AD142" s="1087">
        <f t="shared" si="61"/>
        <v>0</v>
      </c>
      <c r="AE142" s="1285"/>
      <c r="AF142" s="1293"/>
      <c r="AG142" s="1293"/>
      <c r="AH142" s="1293"/>
      <c r="AI142" s="1293"/>
      <c r="AJ142" s="1293"/>
      <c r="AK142" s="1285"/>
      <c r="AL142" s="1205" t="e">
        <f>COUNTIFS(#REF!,"&gt;0",#REF!,"&gt;="&amp;B106,#REF!,"&lt;="&amp;EOMONTH(B106,0))</f>
        <v>#REF!</v>
      </c>
      <c r="AM142" s="1208" t="e">
        <f>SUMIFS(#REF!,#REF!,"&lt;&gt;0",#REF!,"&gt;="&amp;B106,#REF!,"&lt;="&amp;EOMONTH(B106,0))</f>
        <v>#REF!</v>
      </c>
      <c r="AN142" s="1208" t="e">
        <f t="shared" ref="AN142:AN144" si="62">IF(AL142=0,0,AM142/AL142)</f>
        <v>#REF!</v>
      </c>
      <c r="AO142" s="1141" t="e">
        <f ca="1">MINIFS(#REF!,#REF!,"&lt;&gt;0",#REF!,"&gt;="&amp;B106,#REF!,"&lt;="&amp;EOMONTH(B106,0))</f>
        <v>#NAME?</v>
      </c>
      <c r="AP142" s="1141" t="e">
        <f ca="1">MAXIFS(#REF!,#REF!,"&lt;&gt;0",#REF!,"&gt;="&amp;B106,#REF!,"&lt;="&amp;EOMONTH(B106,0))</f>
        <v>#NAME?</v>
      </c>
      <c r="AQ142" s="1285"/>
      <c r="AR142" s="1293"/>
      <c r="AS142" s="1293"/>
      <c r="AT142" s="1293"/>
      <c r="AU142" s="1293"/>
      <c r="AV142" s="1293"/>
      <c r="AW142" s="1293"/>
      <c r="AX142" s="1294"/>
      <c r="AY142" s="1295"/>
      <c r="AZ142" s="1095" t="e">
        <f t="shared" si="58"/>
        <v>#REF!</v>
      </c>
      <c r="BA142" s="2"/>
    </row>
    <row r="143" spans="1:53" ht="15.75" hidden="1" customHeight="1" outlineLevel="1">
      <c r="A143" s="1027"/>
      <c r="B143" s="1096"/>
      <c r="C143" s="1139" t="s">
        <v>301</v>
      </c>
      <c r="D143" s="1102"/>
      <c r="E143" s="1069"/>
      <c r="F143" s="1069"/>
      <c r="G143" s="1069"/>
      <c r="H143" s="1069"/>
      <c r="I143" s="1069"/>
      <c r="J143" s="1102"/>
      <c r="K143" s="1102"/>
      <c r="L143" s="1281"/>
      <c r="M143" s="1289"/>
      <c r="N143" s="1290"/>
      <c r="O143" s="1290"/>
      <c r="P143" s="1286"/>
      <c r="Q143" s="1283"/>
      <c r="R143" s="1286"/>
      <c r="S143" s="1286"/>
      <c r="T143" s="1290"/>
      <c r="U143" s="1290"/>
      <c r="V143" s="1285"/>
      <c r="W143" s="1083">
        <f>Parametres!$T$44</f>
        <v>100000</v>
      </c>
      <c r="X143" s="1329">
        <f>COUNTIFS('Degrémont sortie'!$BA$14:$BA$379,"&gt;0",'Degrémont sortie'!$A$14:$A$379,"&gt;="&amp;B106,'Degrémont sortie'!$A$14:$A$379,"&lt;="&amp;EOMONTH(B106,0))</f>
        <v>26</v>
      </c>
      <c r="Y143" s="1286" t="e">
        <f>SUMIFS('Degrémont sortie'!$BA$14:$BA$379,'Degrémont sortie'!$BA$14:$BA$379,"&lt;&gt;0",'Degrémont sortie'!$A$14:$A$379,"&gt;="&amp;B106,'Degrémont sortie'!$A$14:$A$379,"&lt;="&amp;EOMONTH(B106,0))</f>
        <v>#DIV/0!</v>
      </c>
      <c r="Z143" s="1069" t="e">
        <f t="shared" si="57"/>
        <v>#DIV/0!</v>
      </c>
      <c r="AA143" s="1286" t="e">
        <f ca="1">MINIFS('Degrémont sortie'!$BA$14:$BA$379,'Degrémont sortie'!$BA$14:$BA$379,"&lt;&gt;0",'Degrémont sortie'!$A$14:$A$379,"&gt;="&amp;B106,'Degrémont sortie'!$A$14:$A$379,"&lt;="&amp;EOMONTH(B106,0))</f>
        <v>#NAME?</v>
      </c>
      <c r="AB143" s="1286" t="e">
        <f ca="1">MAXIFS('Degrémont sortie'!$BA$14:$BA$379,'Degrémont sortie'!$BA$14:$BA$379,"&lt;&gt;0",'Degrémont sortie'!$A$14:$A$379,"&gt;="&amp;B106,'Degrémont sortie'!$A$14:$A$379,"&lt;="&amp;EOMONTH(B106,0))</f>
        <v>#NAME?</v>
      </c>
      <c r="AC143" s="1213" t="s">
        <v>153</v>
      </c>
      <c r="AD143" s="1330" t="s">
        <v>153</v>
      </c>
      <c r="AE143" s="1285"/>
      <c r="AF143" s="1293"/>
      <c r="AG143" s="1293"/>
      <c r="AH143" s="1293"/>
      <c r="AI143" s="1293"/>
      <c r="AJ143" s="1293"/>
      <c r="AK143" s="1285"/>
      <c r="AL143" s="1205" t="e">
        <f>COUNTIFS(#REF!,"&gt;0",#REF!,"&gt;="&amp;B106,#REF!,"&lt;="&amp;EOMONTH(B106,0))</f>
        <v>#REF!</v>
      </c>
      <c r="AM143" s="1208" t="e">
        <f>SUMIFS(#REF!,#REF!,"&lt;&gt;0",#REF!,"&gt;="&amp;B106,#REF!,"&lt;="&amp;EOMONTH(B106,0))</f>
        <v>#REF!</v>
      </c>
      <c r="AN143" s="1208" t="e">
        <f t="shared" si="62"/>
        <v>#REF!</v>
      </c>
      <c r="AO143" s="1208" t="e">
        <f ca="1">MINIFS(#REF!,#REF!,"&lt;&gt;0",#REF!,"&gt;="&amp;B106,#REF!,"&lt;="&amp;EOMONTH(B106,0))</f>
        <v>#NAME?</v>
      </c>
      <c r="AP143" s="1208" t="e">
        <f ca="1">MAXIFS(#REF!,#REF!,"&lt;&gt;0",#REF!,"&gt;="&amp;B106,#REF!,"&lt;="&amp;EOMONTH(B106,0))</f>
        <v>#NAME?</v>
      </c>
      <c r="AQ143" s="1285"/>
      <c r="AR143" s="1293"/>
      <c r="AS143" s="1293"/>
      <c r="AT143" s="1293"/>
      <c r="AU143" s="1293"/>
      <c r="AV143" s="1293"/>
      <c r="AW143" s="1293"/>
      <c r="AX143" s="1294"/>
      <c r="AY143" s="1295"/>
      <c r="AZ143" s="1095" t="e">
        <f t="shared" si="58"/>
        <v>#REF!</v>
      </c>
      <c r="BA143" s="2"/>
    </row>
    <row r="144" spans="1:53" ht="15.75" hidden="1" customHeight="1" outlineLevel="1">
      <c r="A144" s="1027"/>
      <c r="B144" s="1096"/>
      <c r="C144" s="1139" t="s">
        <v>302</v>
      </c>
      <c r="D144" s="1102"/>
      <c r="E144" s="1069"/>
      <c r="F144" s="1069"/>
      <c r="G144" s="1069"/>
      <c r="H144" s="1069"/>
      <c r="I144" s="1069"/>
      <c r="J144" s="1102"/>
      <c r="K144" s="1102"/>
      <c r="L144" s="1281"/>
      <c r="M144" s="1289"/>
      <c r="N144" s="1290"/>
      <c r="O144" s="1290"/>
      <c r="P144" s="1286"/>
      <c r="Q144" s="1283"/>
      <c r="R144" s="1286"/>
      <c r="S144" s="1286"/>
      <c r="T144" s="1290"/>
      <c r="U144" s="1290"/>
      <c r="V144" s="1285"/>
      <c r="W144" s="1083">
        <f>Parametres!$T$45</f>
        <v>10000</v>
      </c>
      <c r="X144" s="1331">
        <f>COUNTIFS('Degrémont sortie'!BB$14:BB$379,"&gt;0",'Degrémont sortie'!$A$14:$A$379,"&gt;="&amp;B106,'Degrémont sortie'!$A$14:$A$379,"&lt;="&amp;EOMONTH(B106,0))</f>
        <v>26</v>
      </c>
      <c r="Y144" s="1286" t="e">
        <f>SUMIFS('Degrémont sortie'!$BB$14:$BB$379,'Degrémont sortie'!$BB$14:$BB$379,"&lt;&gt;0",'Degrémont sortie'!$A$14:$A$379,"&gt;="&amp;B106,'Degrémont sortie'!$A$14:$A$379,"&lt;="&amp;EOMONTH(B106,0))</f>
        <v>#DIV/0!</v>
      </c>
      <c r="Z144" s="1069" t="e">
        <f t="shared" si="57"/>
        <v>#DIV/0!</v>
      </c>
      <c r="AA144" s="1286" t="e">
        <f ca="1">MINIFS('Degrémont sortie'!$BB$14:$BB$379,'Degrémont sortie'!$BB$14:$BB$379,"&lt;&gt;0",'Degrémont sortie'!$A$14:$A$379,"&gt;="&amp;B106,'Degrémont sortie'!$A$14:$A$379,"&lt;="&amp;EOMONTH(B106,0))</f>
        <v>#NAME?</v>
      </c>
      <c r="AB144" s="1286" t="e">
        <f ca="1">MAXIFS('Degrémont sortie'!$BB$14:$BB$379,'Degrémont sortie'!$BB$14:$BB$379,"&lt;&gt;0",'Degrémont sortie'!$A$14:$A$379,"&gt;="&amp;B106,'Degrémont sortie'!$A$14:$A$379,"&lt;="&amp;EOMONTH(B106,0))</f>
        <v>#NAME?</v>
      </c>
      <c r="AC144" s="1213" t="s">
        <v>153</v>
      </c>
      <c r="AD144" s="1330" t="s">
        <v>153</v>
      </c>
      <c r="AE144" s="1285"/>
      <c r="AF144" s="1293"/>
      <c r="AG144" s="1293"/>
      <c r="AH144" s="1293"/>
      <c r="AI144" s="1293"/>
      <c r="AJ144" s="1293"/>
      <c r="AK144" s="1285"/>
      <c r="AL144" s="1205" t="e">
        <f>COUNTIFS(#REF!,"&gt;0",#REF!,"&gt;="&amp;B106,#REF!,"&lt;="&amp;EOMONTH(B106,0))</f>
        <v>#REF!</v>
      </c>
      <c r="AM144" s="1208" t="e">
        <f>SUMIFS(#REF!,#REF!,"&lt;&gt;0",#REF!,"&gt;="&amp;B106,#REF!,"&lt;="&amp;EOMONTH(B106,0))</f>
        <v>#REF!</v>
      </c>
      <c r="AN144" s="1208" t="e">
        <f t="shared" si="62"/>
        <v>#REF!</v>
      </c>
      <c r="AO144" s="1208" t="e">
        <f ca="1">MINIFS(#REF!,#REF!,"&lt;&gt;0",#REF!,"&gt;="&amp;B106,#REF!,"&lt;="&amp;EOMONTH(B106,0))</f>
        <v>#NAME?</v>
      </c>
      <c r="AP144" s="1208" t="e">
        <f ca="1">MAXIFS(#REF!,#REF!,"&lt;&gt;0",#REF!,"&gt;="&amp;B106,#REF!,"&lt;="&amp;EOMONTH(B106,0))</f>
        <v>#NAME?</v>
      </c>
      <c r="AQ144" s="1285"/>
      <c r="AR144" s="1293"/>
      <c r="AS144" s="1293"/>
      <c r="AT144" s="1293"/>
      <c r="AU144" s="1293"/>
      <c r="AV144" s="1293"/>
      <c r="AW144" s="1293"/>
      <c r="AX144" s="1294"/>
      <c r="AY144" s="1295"/>
      <c r="AZ144" s="1095" t="e">
        <f t="shared" si="58"/>
        <v>#REF!</v>
      </c>
      <c r="BA144" s="2"/>
    </row>
    <row r="145" spans="1:53" ht="15.75" hidden="1" customHeight="1" outlineLevel="1">
      <c r="A145" s="1027"/>
      <c r="B145" s="1096"/>
      <c r="C145" s="1139" t="s">
        <v>303</v>
      </c>
      <c r="D145" s="1102"/>
      <c r="E145" s="1069"/>
      <c r="F145" s="1069"/>
      <c r="G145" s="1069"/>
      <c r="H145" s="1069"/>
      <c r="I145" s="1069"/>
      <c r="J145" s="1102"/>
      <c r="K145" s="1102"/>
      <c r="L145" s="1281"/>
      <c r="M145" s="1289"/>
      <c r="N145" s="1290"/>
      <c r="O145" s="1290"/>
      <c r="P145" s="1286"/>
      <c r="Q145" s="1283"/>
      <c r="R145" s="1286"/>
      <c r="S145" s="1286"/>
      <c r="T145" s="1290"/>
      <c r="U145" s="1290"/>
      <c r="V145" s="1285"/>
      <c r="W145" s="1083">
        <f>Parametres!$T$46</f>
        <v>10000</v>
      </c>
      <c r="X145" s="1142">
        <f>COUNTIFS('Degrémont sortie'!$BC$14:$BC$379,"&gt;0",'Degrémont sortie'!$A$14:$A$379,"&gt;="&amp;B106,'Degrémont sortie'!$A$14:$A$379,"&lt;="&amp;EOMONTH(B106,0))</f>
        <v>26</v>
      </c>
      <c r="Y145" s="1085">
        <f>SUMIFS('Degrémont sortie'!$BC$14:$BC$379,'Degrémont sortie'!$BC$14:$BC$379,"&lt;&gt;0",'Degrémont sortie'!$A$14:$A$379,"&gt;="&amp;B106,'Degrémont sortie'!$A$14:$A$379,"&lt;="&amp;EOMONTH(B106,0))</f>
        <v>2550.6256651493131</v>
      </c>
      <c r="Z145" s="1069">
        <f t="shared" si="57"/>
        <v>98.100987121127432</v>
      </c>
      <c r="AA145" s="1286" t="e">
        <f ca="1">MINIFS('Degrémont sortie'!$BC$14:$BC$379,'Degrémont sortie'!$BC$14:$BC$379,"&lt;&gt;0",'Degrémont sortie'!$A$14:$A$379,"&gt;="&amp;B106,'Degrémont sortie'!$A$14:$A$379,"&lt;="&amp;EOMONTH(B106,0))</f>
        <v>#NAME?</v>
      </c>
      <c r="AB145" s="1286" t="e">
        <f ca="1">MAXIFS('Degrémont sortie'!$BC$14:$BC$379,'Degrémont sortie'!$BC$14:$BC$379,"&lt;&gt;0",'Degrémont sortie'!$A$14:$A$379,"&gt;="&amp;B106,'Degrémont sortie'!$A$14:$A$379,"&lt;="&amp;EOMONTH(B106,0))</f>
        <v>#NAME?</v>
      </c>
      <c r="AC145" s="1291" t="s">
        <v>153</v>
      </c>
      <c r="AD145" s="1292" t="s">
        <v>153</v>
      </c>
      <c r="AE145" s="1285"/>
      <c r="AF145" s="1293"/>
      <c r="AG145" s="1293"/>
      <c r="AH145" s="1293"/>
      <c r="AI145" s="1293"/>
      <c r="AJ145" s="1293"/>
      <c r="AK145" s="1285"/>
      <c r="AL145" s="1293"/>
      <c r="AM145" s="1293"/>
      <c r="AN145" s="1293"/>
      <c r="AO145" s="1293"/>
      <c r="AP145" s="1293"/>
      <c r="AQ145" s="1285"/>
      <c r="AR145" s="1293"/>
      <c r="AS145" s="1293"/>
      <c r="AT145" s="1293"/>
      <c r="AU145" s="1293"/>
      <c r="AV145" s="1293"/>
      <c r="AW145" s="1293"/>
      <c r="AX145" s="1294"/>
      <c r="AY145" s="1295"/>
      <c r="AZ145" s="1095">
        <f t="shared" si="58"/>
        <v>26</v>
      </c>
      <c r="BA145" s="2"/>
    </row>
    <row r="146" spans="1:53" ht="15.75" hidden="1" customHeight="1" outlineLevel="1">
      <c r="A146" s="1027"/>
      <c r="B146" s="1096"/>
      <c r="C146" s="1139" t="s">
        <v>338</v>
      </c>
      <c r="D146" s="1102"/>
      <c r="E146" s="1069"/>
      <c r="F146" s="1069"/>
      <c r="G146" s="1069"/>
      <c r="H146" s="1069"/>
      <c r="I146" s="1069"/>
      <c r="J146" s="1102"/>
      <c r="K146" s="1102"/>
      <c r="L146" s="1281"/>
      <c r="M146" s="1289"/>
      <c r="N146" s="1290"/>
      <c r="O146" s="1290"/>
      <c r="P146" s="1286"/>
      <c r="Q146" s="1283"/>
      <c r="R146" s="1286"/>
      <c r="S146" s="1286"/>
      <c r="T146" s="1290"/>
      <c r="U146" s="1290"/>
      <c r="V146" s="1285"/>
      <c r="W146" s="1293"/>
      <c r="X146" s="1293"/>
      <c r="Y146" s="1286"/>
      <c r="Z146" s="1286"/>
      <c r="AA146" s="1286"/>
      <c r="AB146" s="1286"/>
      <c r="AC146" s="1293"/>
      <c r="AD146" s="1249"/>
      <c r="AE146" s="1285"/>
      <c r="AF146" s="1293"/>
      <c r="AG146" s="1293"/>
      <c r="AH146" s="1293"/>
      <c r="AI146" s="1293"/>
      <c r="AJ146" s="1293"/>
      <c r="AK146" s="1285"/>
      <c r="AL146" s="1293"/>
      <c r="AM146" s="1293"/>
      <c r="AN146" s="1293"/>
      <c r="AO146" s="1293"/>
      <c r="AP146" s="1293"/>
      <c r="AQ146" s="1285"/>
      <c r="AR146" s="1293"/>
      <c r="AS146" s="1293"/>
      <c r="AT146" s="1293"/>
      <c r="AU146" s="1293"/>
      <c r="AV146" s="1293"/>
      <c r="AW146" s="1293"/>
      <c r="AX146" s="1294"/>
      <c r="AY146" s="1295"/>
      <c r="AZ146" s="1095">
        <f t="shared" si="58"/>
        <v>0</v>
      </c>
      <c r="BA146" s="2"/>
    </row>
    <row r="147" spans="1:53" ht="15.75" hidden="1" customHeight="1" outlineLevel="1">
      <c r="A147" s="1027"/>
      <c r="B147" s="1096"/>
      <c r="C147" s="1139" t="s">
        <v>339</v>
      </c>
      <c r="D147" s="1122">
        <f>Parametres!$D$48</f>
        <v>30</v>
      </c>
      <c r="E147" s="1068" t="e">
        <f>COUNTIFS(#REF!,"&gt;0",#REF!,"&gt;="&amp;B106,#REF!,"&lt;="&amp;EOMONTH(B106,0))</f>
        <v>#REF!</v>
      </c>
      <c r="F147" s="1069" t="e">
        <f>SUMIFS(#REF!,#REF!,"&lt;&gt;0",#REF!,"&gt;="&amp;B106,#REF!,"&lt;="&amp;EOMONTH(B106,0))</f>
        <v>#REF!</v>
      </c>
      <c r="G147" s="1069" t="e">
        <f t="shared" ref="G147:G151" si="63">IF(E147=0,0,F147/E147)</f>
        <v>#REF!</v>
      </c>
      <c r="H147" s="1069" t="e">
        <f ca="1">MINIFS(#REF!,#REF!,"&lt;&gt;0",#REF!,"&gt;="&amp;B106,#REF!,"&lt;="&amp;EOMONTH(B106,0))</f>
        <v>#NAME?</v>
      </c>
      <c r="I147" s="1069" t="e">
        <f ca="1">MAXIFS(#REF!,#REF!,"&lt;&gt;0",#REF!,"&gt;="&amp;B106,#REF!,"&lt;="&amp;EOMONTH(B106,0))</f>
        <v>#NAME?</v>
      </c>
      <c r="J147" s="1114" t="e">
        <f>COUNTIFS(#REF!,"&gt;="&amp;D147,#REF!,"&gt;="&amp;B106,#REF!,"&lt;="&amp;EOMONTH(B106,0))</f>
        <v>#REF!</v>
      </c>
      <c r="K147" s="1341" t="e">
        <f t="shared" ref="K147:K151" si="64">J147/E147</f>
        <v>#REF!</v>
      </c>
      <c r="L147" s="1281"/>
      <c r="M147" s="1289"/>
      <c r="N147" s="1290"/>
      <c r="O147" s="1290"/>
      <c r="P147" s="1286"/>
      <c r="Q147" s="1283"/>
      <c r="R147" s="1286"/>
      <c r="S147" s="1286"/>
      <c r="T147" s="1290"/>
      <c r="U147" s="1290"/>
      <c r="V147" s="1285"/>
      <c r="W147" s="1293"/>
      <c r="X147" s="1293"/>
      <c r="Y147" s="1286"/>
      <c r="Z147" s="1286"/>
      <c r="AA147" s="1286"/>
      <c r="AB147" s="1286"/>
      <c r="AC147" s="1293"/>
      <c r="AD147" s="1249"/>
      <c r="AE147" s="1285"/>
      <c r="AF147" s="1293"/>
      <c r="AG147" s="1293"/>
      <c r="AH147" s="1293"/>
      <c r="AI147" s="1293"/>
      <c r="AJ147" s="1293"/>
      <c r="AK147" s="1285"/>
      <c r="AL147" s="1293"/>
      <c r="AM147" s="1293"/>
      <c r="AN147" s="1293"/>
      <c r="AO147" s="1293"/>
      <c r="AP147" s="1293"/>
      <c r="AQ147" s="1285"/>
      <c r="AR147" s="1293"/>
      <c r="AS147" s="1293"/>
      <c r="AT147" s="1293"/>
      <c r="AU147" s="1293"/>
      <c r="AV147" s="1293"/>
      <c r="AW147" s="1293"/>
      <c r="AX147" s="1294"/>
      <c r="AY147" s="1295"/>
      <c r="AZ147" s="1095" t="e">
        <f t="shared" si="58"/>
        <v>#REF!</v>
      </c>
      <c r="BA147" s="2"/>
    </row>
    <row r="148" spans="1:53" ht="15.75" hidden="1" customHeight="1" outlineLevel="1">
      <c r="A148" s="1027"/>
      <c r="B148" s="1096"/>
      <c r="C148" s="1302" t="s">
        <v>24</v>
      </c>
      <c r="D148" s="1122">
        <f>Parametres!$D$50</f>
        <v>4</v>
      </c>
      <c r="E148" s="1068" t="e">
        <f>COUNTIFS(#REF!,"&gt;0",#REF!,"&gt;="&amp;B106,#REF!,"&lt;="&amp;EOMONTH(B106,0))</f>
        <v>#REF!</v>
      </c>
      <c r="F148" s="1069" t="e">
        <f>SUMIFS(#REF!,#REF!,"&lt;&gt;0",#REF!,"&gt;="&amp;B106,#REF!,"&lt;="&amp;EOMONTH(B106,0))</f>
        <v>#REF!</v>
      </c>
      <c r="G148" s="1069" t="e">
        <f t="shared" si="63"/>
        <v>#REF!</v>
      </c>
      <c r="H148" s="1069" t="e">
        <f ca="1">MINIFS(#REF!,#REF!,"&lt;&gt;0",#REF!,"&gt;="&amp;B106,#REF!,"&lt;="&amp;EOMONTH(B106,0))</f>
        <v>#NAME?</v>
      </c>
      <c r="I148" s="1069" t="e">
        <f ca="1">MAXIFS(#REF!,#REF!,"&lt;&gt;0",#REF!,"&gt;="&amp;B106,#REF!,"&lt;="&amp;EOMONTH(B106,0))</f>
        <v>#NAME?</v>
      </c>
      <c r="J148" s="1114" t="e">
        <f>COUNTIFS(#REF!,"&gt;="&amp;D148,#REF!,"&gt;="&amp;B106,#REF!,"&lt;="&amp;EOMONTH(B106,0))</f>
        <v>#REF!</v>
      </c>
      <c r="K148" s="1341" t="e">
        <f t="shared" si="64"/>
        <v>#REF!</v>
      </c>
      <c r="L148" s="1281"/>
      <c r="M148" s="1289"/>
      <c r="N148" s="1290"/>
      <c r="O148" s="1290"/>
      <c r="P148" s="1286"/>
      <c r="Q148" s="1283"/>
      <c r="R148" s="1286"/>
      <c r="S148" s="1286"/>
      <c r="T148" s="1290"/>
      <c r="U148" s="1290"/>
      <c r="V148" s="1285"/>
      <c r="W148" s="1293"/>
      <c r="X148" s="1293"/>
      <c r="Y148" s="1286"/>
      <c r="Z148" s="1286"/>
      <c r="AA148" s="1286"/>
      <c r="AB148" s="1286"/>
      <c r="AC148" s="1293"/>
      <c r="AD148" s="1249"/>
      <c r="AE148" s="1285"/>
      <c r="AF148" s="1293"/>
      <c r="AG148" s="1293"/>
      <c r="AH148" s="1293"/>
      <c r="AI148" s="1293"/>
      <c r="AJ148" s="1293"/>
      <c r="AK148" s="1285"/>
      <c r="AL148" s="1293"/>
      <c r="AM148" s="1293"/>
      <c r="AN148" s="1293"/>
      <c r="AO148" s="1293"/>
      <c r="AP148" s="1293"/>
      <c r="AQ148" s="1285"/>
      <c r="AR148" s="1293"/>
      <c r="AS148" s="1293"/>
      <c r="AT148" s="1293"/>
      <c r="AU148" s="1293"/>
      <c r="AV148" s="1293"/>
      <c r="AW148" s="1293"/>
      <c r="AX148" s="1294"/>
      <c r="AY148" s="1295"/>
      <c r="AZ148" s="1095" t="e">
        <f t="shared" si="58"/>
        <v>#REF!</v>
      </c>
      <c r="BA148" s="2"/>
    </row>
    <row r="149" spans="1:53" ht="15.75" hidden="1" customHeight="1" outlineLevel="1">
      <c r="A149" s="1027"/>
      <c r="B149" s="1096"/>
      <c r="C149" s="1302" t="s">
        <v>168</v>
      </c>
      <c r="D149" s="1122" t="e">
        <f>#REF!</f>
        <v>#REF!</v>
      </c>
      <c r="E149" s="1068" t="e">
        <f>COUNTIFS(#REF!,"&gt;0",#REF!,"&gt;="&amp;B106,#REF!,"&lt;="&amp;EOMONTH(B106,0))</f>
        <v>#REF!</v>
      </c>
      <c r="F149" s="1069" t="e">
        <f>SUMIFS(#REF!,#REF!,"&lt;&gt;0",#REF!,"&gt;="&amp;B106,#REF!,"&lt;="&amp;EOMONTH(B106,0))</f>
        <v>#REF!</v>
      </c>
      <c r="G149" s="1069" t="e">
        <f t="shared" si="63"/>
        <v>#REF!</v>
      </c>
      <c r="H149" s="1069" t="e">
        <f ca="1">MINIFS(#REF!,#REF!,"&lt;&gt;0",#REF!,"&gt;="&amp;B106,#REF!,"&lt;="&amp;EOMONTH(B106,0))</f>
        <v>#NAME?</v>
      </c>
      <c r="I149" s="1069" t="e">
        <f ca="1">MAXIFS(#REF!,#REF!,"&lt;&gt;0",#REF!,"&gt;="&amp;B106,#REF!,"&lt;="&amp;EOMONTH(B106,0))</f>
        <v>#NAME?</v>
      </c>
      <c r="J149" s="1072" t="e">
        <f>COUNTIFS(#REF!,"&gt;="&amp;D149,#REF!,"&gt;="&amp;B106,#REF!,"&lt;="&amp;EOMONTH(B106,0))</f>
        <v>#REF!</v>
      </c>
      <c r="K149" s="1341" t="e">
        <f t="shared" si="64"/>
        <v>#REF!</v>
      </c>
      <c r="L149" s="1281"/>
      <c r="M149" s="1289"/>
      <c r="N149" s="1290"/>
      <c r="O149" s="1290"/>
      <c r="P149" s="1286"/>
      <c r="Q149" s="1283"/>
      <c r="R149" s="1286"/>
      <c r="S149" s="1286"/>
      <c r="T149" s="1290"/>
      <c r="U149" s="1290"/>
      <c r="V149" s="1285"/>
      <c r="W149" s="1293"/>
      <c r="X149" s="1293"/>
      <c r="Y149" s="1286"/>
      <c r="Z149" s="1286"/>
      <c r="AA149" s="1286"/>
      <c r="AB149" s="1286"/>
      <c r="AC149" s="1293"/>
      <c r="AD149" s="1249"/>
      <c r="AE149" s="1285"/>
      <c r="AF149" s="1293"/>
      <c r="AG149" s="1293"/>
      <c r="AH149" s="1293"/>
      <c r="AI149" s="1293"/>
      <c r="AJ149" s="1293"/>
      <c r="AK149" s="1285"/>
      <c r="AL149" s="1293"/>
      <c r="AM149" s="1293"/>
      <c r="AN149" s="1293"/>
      <c r="AO149" s="1293"/>
      <c r="AP149" s="1293"/>
      <c r="AQ149" s="1285"/>
      <c r="AR149" s="1293"/>
      <c r="AS149" s="1293"/>
      <c r="AT149" s="1293"/>
      <c r="AU149" s="1293"/>
      <c r="AV149" s="1293"/>
      <c r="AW149" s="1293"/>
      <c r="AX149" s="1294"/>
      <c r="AY149" s="1295"/>
      <c r="AZ149" s="1095" t="e">
        <f t="shared" si="58"/>
        <v>#REF!</v>
      </c>
      <c r="BA149" s="2"/>
    </row>
    <row r="150" spans="1:53" ht="15.75" hidden="1" customHeight="1" outlineLevel="1">
      <c r="A150" s="1027"/>
      <c r="B150" s="1096"/>
      <c r="C150" s="1302" t="s">
        <v>25</v>
      </c>
      <c r="D150" s="1122">
        <f>Parametres!$D$51</f>
        <v>1.5</v>
      </c>
      <c r="E150" s="1068" t="e">
        <f>COUNTIFS(#REF!,"&gt;0",#REF!,"&gt;="&amp;B106,#REF!,"&lt;="&amp;EOMONTH(B106,0))</f>
        <v>#REF!</v>
      </c>
      <c r="F150" s="1069" t="e">
        <f>SUMIFS(#REF!,#REF!,"&lt;&gt;0",#REF!,"&gt;="&amp;B106,#REF!,"&lt;="&amp;EOMONTH(B106,0))</f>
        <v>#REF!</v>
      </c>
      <c r="G150" s="1069" t="e">
        <f t="shared" si="63"/>
        <v>#REF!</v>
      </c>
      <c r="H150" s="1069" t="e">
        <f ca="1">MINIFS(#REF!,#REF!,"&lt;&gt;0",#REF!,"&gt;="&amp;B106,#REF!,"&lt;="&amp;EOMONTH(B106,0))</f>
        <v>#NAME?</v>
      </c>
      <c r="I150" s="1069" t="e">
        <f ca="1">MAXIFS(#REF!,#REF!,"&lt;&gt;0",#REF!,"&gt;="&amp;B106,#REF!,"&lt;="&amp;EOMONTH(B106,0))</f>
        <v>#NAME?</v>
      </c>
      <c r="J150" s="1114" t="e">
        <f>COUNTIFS(#REF!,"&gt;="&amp;D150,#REF!,"&gt;="&amp;B106,#REF!,"&lt;="&amp;EOMONTH(B106,0))</f>
        <v>#REF!</v>
      </c>
      <c r="K150" s="1341" t="e">
        <f t="shared" si="64"/>
        <v>#REF!</v>
      </c>
      <c r="L150" s="1281"/>
      <c r="M150" s="1289"/>
      <c r="N150" s="1290"/>
      <c r="O150" s="1290"/>
      <c r="P150" s="1286"/>
      <c r="Q150" s="1283"/>
      <c r="R150" s="1286"/>
      <c r="S150" s="1286"/>
      <c r="T150" s="1290"/>
      <c r="U150" s="1290"/>
      <c r="V150" s="1285"/>
      <c r="W150" s="1293"/>
      <c r="X150" s="1293"/>
      <c r="Y150" s="1286"/>
      <c r="Z150" s="1286"/>
      <c r="AA150" s="1286"/>
      <c r="AB150" s="1286"/>
      <c r="AC150" s="1293"/>
      <c r="AD150" s="1249"/>
      <c r="AE150" s="1285"/>
      <c r="AF150" s="1293"/>
      <c r="AG150" s="1293"/>
      <c r="AH150" s="1293"/>
      <c r="AI150" s="1293"/>
      <c r="AJ150" s="1293"/>
      <c r="AK150" s="1285"/>
      <c r="AL150" s="1293"/>
      <c r="AM150" s="1293"/>
      <c r="AN150" s="1293"/>
      <c r="AO150" s="1293"/>
      <c r="AP150" s="1293"/>
      <c r="AQ150" s="1285"/>
      <c r="AR150" s="1293"/>
      <c r="AS150" s="1293"/>
      <c r="AT150" s="1293"/>
      <c r="AU150" s="1293"/>
      <c r="AV150" s="1293"/>
      <c r="AW150" s="1293"/>
      <c r="AX150" s="1294"/>
      <c r="AY150" s="1295"/>
      <c r="AZ150" s="1095" t="e">
        <f t="shared" si="58"/>
        <v>#REF!</v>
      </c>
      <c r="BA150" s="2"/>
    </row>
    <row r="151" spans="1:53" ht="15.75" hidden="1" customHeight="1" outlineLevel="1">
      <c r="A151" s="1027"/>
      <c r="B151" s="1332"/>
      <c r="C151" s="1139" t="s">
        <v>47</v>
      </c>
      <c r="D151" s="1122">
        <f>Parametres!$D$52</f>
        <v>2</v>
      </c>
      <c r="E151" s="1068" t="e">
        <f>COUNTIFS(#REF!,"&gt;0",#REF!,"&gt;="&amp;B106,#REF!,"&lt;="&amp;EOMONTH(B106,0))</f>
        <v>#REF!</v>
      </c>
      <c r="F151" s="1069" t="e">
        <f>SUMIFS(#REF!,#REF!,"&lt;&gt;0",#REF!,"&gt;="&amp;B106,#REF!,"&lt;="&amp;EOMONTH(B106,0))</f>
        <v>#REF!</v>
      </c>
      <c r="G151" s="1069" t="e">
        <f t="shared" si="63"/>
        <v>#REF!</v>
      </c>
      <c r="H151" s="1069" t="e">
        <f ca="1">MINIFS(#REF!,#REF!,"&lt;&gt;0",#REF!,"&gt;="&amp;B106,#REF!,"&lt;="&amp;EOMONTH(B106,0))</f>
        <v>#NAME?</v>
      </c>
      <c r="I151" s="1069" t="e">
        <f ca="1">MAXIFS(#REF!,#REF!,"&lt;&gt;0",#REF!,"&gt;="&amp;B106,#REF!,"&lt;="&amp;EOMONTH(B106,0))</f>
        <v>#NAME?</v>
      </c>
      <c r="J151" s="1072" t="e">
        <f>COUNTIFS(#REF!,"&gt;="&amp;D151,#REF!,"&gt;="&amp;B106,#REF!,"&lt;="&amp;EOMONTH(B106,0))</f>
        <v>#REF!</v>
      </c>
      <c r="K151" s="1341" t="e">
        <f t="shared" si="64"/>
        <v>#REF!</v>
      </c>
      <c r="L151" s="1281"/>
      <c r="M151" s="1289"/>
      <c r="N151" s="1144">
        <f>Parametres!$L$52</f>
        <v>90</v>
      </c>
      <c r="O151" s="1077">
        <f>COUNTIFS('Degrémont Entrée'!$AY$14:$AY$379,"&gt;0",'Degrémont Entrée'!$A$14:$A$379,"&gt;="&amp;B106,'Degrémont Entrée'!$A$14:$A$379,"&lt;="&amp;EOMONTH(B106,0))</f>
        <v>4</v>
      </c>
      <c r="P151" s="1078">
        <f>SUMIFS('Degrémont Entrée'!$AY$14:$AY$379,'Degrémont Entrée'!$AY$14:$AY$379,"&lt;&gt;0",'Degrémont Entrée'!$A$14:$A$379,"&gt;="&amp;B106,'Degrémont Entrée'!$A$14:$A$379,"&lt;="&amp;EOMONTH(B106,0))</f>
        <v>375.87</v>
      </c>
      <c r="Q151" s="1283">
        <f>IF(O151=0,0,P151/O151)</f>
        <v>93.967500000000001</v>
      </c>
      <c r="R151" s="1286" t="e">
        <f ca="1">MINIFS('Degrémont Entrée'!$AY$14:$AY$379,'Degrémont Entrée'!$AY$14:$AY$379,"&lt;&gt;0",'Degrémont Entrée'!$A$14:$A$379,"&gt;="&amp;B106,'Degrémont Entrée'!$A$14:$A$379,"&lt;="&amp;EOMONTH(B106,0))</f>
        <v>#NAME?</v>
      </c>
      <c r="S151" s="1286" t="e">
        <f ca="1">MAXIFS('Degrémont Entrée'!$AY$14:$AY$379,'Degrémont Entrée'!$AY$14:$AY$379,"&lt;&gt;0",'Degrémont Entrée'!$A$14:$A$379,"&gt;="&amp;B106,'Degrémont Entrée'!$A$14:$A$379,"&lt;="&amp;EOMONTH(B106,0))</f>
        <v>#NAME?</v>
      </c>
      <c r="T151" s="1141">
        <f>COUNTIFS('Degrémont Entrée'!$AY$14:$AY$379,"&gt;="&amp;N151,'Degrémont Entrée'!$A$14:$A$379,"&gt;="&amp;B106,'Degrémont Entrée'!$A$14:$A$379,"&lt;="&amp;EOMONTH(B106,0))</f>
        <v>2</v>
      </c>
      <c r="U151" s="1081">
        <f>T151/O151</f>
        <v>0.5</v>
      </c>
      <c r="V151" s="1285"/>
      <c r="W151" s="1083">
        <f>Parametres!$T$52</f>
        <v>0.64</v>
      </c>
      <c r="X151" s="1142">
        <f>COUNTIFS('Degrémont sortie'!$AS$14:$AS$379,"&gt;0",'Degrémont sortie'!$A$14:$A$379,"&gt;="&amp;B106,'Degrémont sortie'!$A$14:$A$379,"&lt;="&amp;EOMONTH(B106,0))</f>
        <v>4</v>
      </c>
      <c r="Y151" s="1085">
        <f>SUMIFS('Degrémont sortie'!$AS$14:$AS$379,'Degrémont sortie'!$AS$14:$AS$379,"&lt;&gt;0",'Degrémont sortie'!$A$14:$A$379,"&gt;="&amp;B106,'Degrémont sortie'!$A$14:$A$379,"&lt;="&amp;EOMONTH(B106,0))</f>
        <v>1.6</v>
      </c>
      <c r="Z151" s="1069">
        <f>IF(X151=0,0,Y151/X151)</f>
        <v>0.4</v>
      </c>
      <c r="AA151" s="1286" t="e">
        <f ca="1">MINIFS('Degrémont sortie'!$AS$14:$AS$379,'Degrémont sortie'!$AS$14:$AS$379,"&lt;&gt;0",'Degrémont sortie'!$A$14:$A$379,"&gt;="&amp;B106,'Degrémont sortie'!$A$14:$A$379,"&lt;="&amp;EOMONTH(B106,0))</f>
        <v>#NAME?</v>
      </c>
      <c r="AB151" s="1286" t="e">
        <f ca="1">MAXIFS('Degrémont sortie'!$AS$14:$AS$379,'Degrémont sortie'!$AS$14:$AS$379,"&lt;&gt;0",'Degrémont sortie'!$A$14:$A$379,"&gt;="&amp;B106,'Degrémont sortie'!$A$14:$A$379,"&lt;="&amp;EOMONTH(B106,0))</f>
        <v>#NAME?</v>
      </c>
      <c r="AC151" s="1141">
        <f>COUNTIFS('Degrémont sortie'!$AS$14:$AS$379,"&gt;="&amp;W151,'Degrémont sortie'!$A$14:$A$379,"&gt;="&amp;B106,'Degrémont sortie'!$A$14:$A$379,"&lt;="&amp;EOMONTH(B106,0))</f>
        <v>0</v>
      </c>
      <c r="AD151" s="1087">
        <f>AC151/X151</f>
        <v>0</v>
      </c>
      <c r="AE151" s="1285"/>
      <c r="AF151" s="1293"/>
      <c r="AG151" s="1293"/>
      <c r="AH151" s="1293"/>
      <c r="AI151" s="1293"/>
      <c r="AJ151" s="1293"/>
      <c r="AK151" s="1285"/>
      <c r="AL151" s="1293"/>
      <c r="AM151" s="1293"/>
      <c r="AN151" s="1293"/>
      <c r="AO151" s="1293"/>
      <c r="AP151" s="1293"/>
      <c r="AQ151" s="1285"/>
      <c r="AR151" s="1293"/>
      <c r="AS151" s="1293"/>
      <c r="AT151" s="1293"/>
      <c r="AU151" s="1293"/>
      <c r="AV151" s="1293"/>
      <c r="AW151" s="1293"/>
      <c r="AX151" s="1294"/>
      <c r="AY151" s="1295"/>
      <c r="AZ151" s="1095" t="e">
        <f t="shared" si="58"/>
        <v>#REF!</v>
      </c>
      <c r="BA151" s="2"/>
    </row>
    <row r="152" spans="1:53" ht="15.75" customHeight="1" collapsed="1">
      <c r="A152" s="1027"/>
      <c r="B152" s="1033"/>
      <c r="C152" s="2"/>
      <c r="D152" s="2"/>
      <c r="E152" s="1034"/>
      <c r="F152" s="1034"/>
      <c r="G152" s="1035"/>
      <c r="H152" s="1034"/>
      <c r="I152" s="1034"/>
      <c r="J152" s="2"/>
      <c r="K152" s="2"/>
      <c r="L152" s="2"/>
      <c r="M152" s="2"/>
      <c r="N152" s="2"/>
      <c r="O152" s="2"/>
      <c r="P152" s="1034"/>
      <c r="Q152" s="1034"/>
      <c r="R152" s="1034"/>
      <c r="S152" s="1034"/>
      <c r="T152" s="2"/>
      <c r="U152" s="2"/>
      <c r="V152" s="2"/>
      <c r="W152" s="2"/>
      <c r="X152" s="2"/>
      <c r="Y152" s="1034"/>
      <c r="Z152" s="1034"/>
      <c r="AA152" s="1034"/>
      <c r="AB152" s="1034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</row>
    <row r="153" spans="1:53" ht="15.75" hidden="1" customHeight="1" outlineLevel="1">
      <c r="A153" s="1027"/>
      <c r="B153" s="1033"/>
      <c r="C153" s="2"/>
      <c r="D153" s="1039"/>
      <c r="E153" s="1555" t="s">
        <v>283</v>
      </c>
      <c r="F153" s="1420"/>
      <c r="G153" s="1420"/>
      <c r="H153" s="1420"/>
      <c r="I153" s="1420"/>
      <c r="J153" s="1420"/>
      <c r="K153" s="1420"/>
      <c r="L153" s="1421"/>
      <c r="M153" s="1045"/>
      <c r="N153" s="1333"/>
      <c r="O153" s="1550" t="s">
        <v>288</v>
      </c>
      <c r="P153" s="1420"/>
      <c r="Q153" s="1420"/>
      <c r="R153" s="1420"/>
      <c r="S153" s="1420"/>
      <c r="T153" s="1421"/>
      <c r="U153" s="1334"/>
      <c r="V153" s="1046"/>
      <c r="W153" s="1335"/>
      <c r="X153" s="1549" t="s">
        <v>289</v>
      </c>
      <c r="Y153" s="1517"/>
      <c r="Z153" s="1517"/>
      <c r="AA153" s="1517"/>
      <c r="AB153" s="1517"/>
      <c r="AC153" s="1514"/>
      <c r="AD153" s="1335"/>
      <c r="AE153" s="1046"/>
      <c r="AF153" s="1549" t="s">
        <v>199</v>
      </c>
      <c r="AG153" s="1517"/>
      <c r="AH153" s="1517"/>
      <c r="AI153" s="1517"/>
      <c r="AJ153" s="1514"/>
      <c r="AK153" s="1046"/>
      <c r="AL153" s="1549" t="s">
        <v>200</v>
      </c>
      <c r="AM153" s="1517"/>
      <c r="AN153" s="1517"/>
      <c r="AO153" s="1517"/>
      <c r="AP153" s="1514"/>
      <c r="AQ153" s="1046"/>
      <c r="AR153" s="1335"/>
      <c r="AS153" s="1549" t="s">
        <v>290</v>
      </c>
      <c r="AT153" s="1517"/>
      <c r="AU153" s="1517"/>
      <c r="AV153" s="1517"/>
      <c r="AW153" s="1517"/>
      <c r="AX153" s="1514"/>
      <c r="AY153" s="1027"/>
      <c r="AZ153" s="2"/>
      <c r="BA153" s="2"/>
    </row>
    <row r="154" spans="1:53" ht="15.75" hidden="1" customHeight="1" outlineLevel="1">
      <c r="A154" s="1027"/>
      <c r="B154" s="1033"/>
      <c r="C154" s="2"/>
      <c r="D154" s="1343" t="s">
        <v>291</v>
      </c>
      <c r="E154" s="1048" t="s">
        <v>292</v>
      </c>
      <c r="F154" s="1049" t="s">
        <v>293</v>
      </c>
      <c r="G154" s="1050" t="s">
        <v>294</v>
      </c>
      <c r="H154" s="1049" t="s">
        <v>295</v>
      </c>
      <c r="I154" s="1051" t="s">
        <v>296</v>
      </c>
      <c r="J154" s="1063" t="s">
        <v>297</v>
      </c>
      <c r="K154" s="1337" t="s">
        <v>216</v>
      </c>
      <c r="L154" s="1338" t="s">
        <v>298</v>
      </c>
      <c r="M154" s="1055"/>
      <c r="N154" s="1056" t="s">
        <v>291</v>
      </c>
      <c r="O154" s="1057" t="s">
        <v>292</v>
      </c>
      <c r="P154" s="1051" t="s">
        <v>293</v>
      </c>
      <c r="Q154" s="1058" t="s">
        <v>294</v>
      </c>
      <c r="R154" s="1051" t="s">
        <v>295</v>
      </c>
      <c r="S154" s="1051" t="s">
        <v>296</v>
      </c>
      <c r="T154" s="1059" t="s">
        <v>299</v>
      </c>
      <c r="U154" s="1060" t="s">
        <v>216</v>
      </c>
      <c r="V154" s="1055"/>
      <c r="W154" s="1056" t="s">
        <v>291</v>
      </c>
      <c r="X154" s="1057" t="s">
        <v>292</v>
      </c>
      <c r="Y154" s="1051" t="s">
        <v>293</v>
      </c>
      <c r="Z154" s="1058" t="s">
        <v>294</v>
      </c>
      <c r="AA154" s="1051" t="s">
        <v>295</v>
      </c>
      <c r="AB154" s="1051" t="s">
        <v>296</v>
      </c>
      <c r="AC154" s="1059" t="s">
        <v>299</v>
      </c>
      <c r="AD154" s="1060" t="s">
        <v>216</v>
      </c>
      <c r="AE154" s="1055"/>
      <c r="AF154" s="1057" t="s">
        <v>292</v>
      </c>
      <c r="AG154" s="1061" t="s">
        <v>293</v>
      </c>
      <c r="AH154" s="1062" t="s">
        <v>294</v>
      </c>
      <c r="AI154" s="1061" t="s">
        <v>295</v>
      </c>
      <c r="AJ154" s="1061" t="s">
        <v>296</v>
      </c>
      <c r="AK154" s="1055"/>
      <c r="AL154" s="1057" t="s">
        <v>292</v>
      </c>
      <c r="AM154" s="1061" t="s">
        <v>293</v>
      </c>
      <c r="AN154" s="1062" t="s">
        <v>294</v>
      </c>
      <c r="AO154" s="1061" t="s">
        <v>295</v>
      </c>
      <c r="AP154" s="1061" t="s">
        <v>296</v>
      </c>
      <c r="AQ154" s="1055"/>
      <c r="AR154" s="1056" t="s">
        <v>291</v>
      </c>
      <c r="AS154" s="1057" t="s">
        <v>292</v>
      </c>
      <c r="AT154" s="1061" t="s">
        <v>293</v>
      </c>
      <c r="AU154" s="1062" t="s">
        <v>294</v>
      </c>
      <c r="AV154" s="1061" t="s">
        <v>295</v>
      </c>
      <c r="AW154" s="1061" t="s">
        <v>296</v>
      </c>
      <c r="AX154" s="1059" t="s">
        <v>299</v>
      </c>
      <c r="AY154" s="1344"/>
      <c r="AZ154" s="1065" t="s">
        <v>300</v>
      </c>
      <c r="BA154" s="2"/>
    </row>
    <row r="155" spans="1:53" ht="15.75" hidden="1" customHeight="1" outlineLevel="1">
      <c r="A155" s="1027"/>
      <c r="B155" s="54">
        <v>43922</v>
      </c>
      <c r="C155" s="1066" t="s">
        <v>43</v>
      </c>
      <c r="D155" s="1067">
        <f>Parametres!$D$5</f>
        <v>5</v>
      </c>
      <c r="E155" s="1068" t="e">
        <f>COUNTIFS(#REF!,"&gt;0",#REF!,"&gt;="&amp;B155,#REF!,"&lt;="&amp;EOMONTH(B155,0))</f>
        <v>#REF!</v>
      </c>
      <c r="F155" s="1069" t="e">
        <f>SUMIFS(#REF!,#REF!,"&lt;&gt;0",#REF!,"&gt;="&amp;B155,#REF!,"&lt;="&amp;EOMONTH(B155,0))</f>
        <v>#REF!</v>
      </c>
      <c r="G155" s="1069" t="e">
        <f t="shared" ref="G155:G191" si="65">IF(E155=0,0,F155/E155)</f>
        <v>#REF!</v>
      </c>
      <c r="H155" s="1070" t="e">
        <f ca="1">MINIFS(#REF!,#REF!,"&lt;&gt;0",#REF!,"&gt;="&amp;B155,#REF!,"&lt;="&amp;EOMONTH(B155,0))</f>
        <v>#NAME?</v>
      </c>
      <c r="I155" s="1071" t="e">
        <f ca="1">MAXIFS(#REF!,#REF!,"&lt;&gt;0",#REF!,"&gt;="&amp;B155,#REF!,"&lt;="&amp;EOMONTH(B155,0))</f>
        <v>#NAME?</v>
      </c>
      <c r="J155" s="1072" t="e">
        <f>COUNTIFS(#REF!,"&gt;="&amp;D155,#REF!,"&gt;="&amp;B155,#REF!,"&lt;="&amp;EOMONTH(B155,0))</f>
        <v>#REF!</v>
      </c>
      <c r="K155" s="1341" t="e">
        <f t="shared" ref="K155:K168" si="66">J155/E155</f>
        <v>#REF!</v>
      </c>
      <c r="L155" s="1074"/>
      <c r="M155" s="1075"/>
      <c r="N155" s="1076">
        <f>Parametres!$L$5</f>
        <v>50</v>
      </c>
      <c r="O155" s="1077">
        <f>COUNTIFS('Degrémont Entrée'!$AM$14:$AM$379,"&gt;0",'Degrémont Entrée'!$A$14:$A$379,"&gt;="&amp;B155,'Degrémont Entrée'!$A$14:$A$379,"&lt;="&amp;EOMONTH(B155,0))</f>
        <v>0</v>
      </c>
      <c r="P155" s="1078">
        <f>SUMIFS('Degrémont Entrée'!$AM$14:$AM$379,'Degrémont Entrée'!$AM$14:$AM$379,"&lt;&gt;0",'Degrémont Entrée'!$A$14:$A$379,"&gt;="&amp;B155,'Degrémont Entrée'!$A$14:$A$379,"&lt;="&amp;EOMONTH(B155,0))</f>
        <v>0</v>
      </c>
      <c r="Q155" s="1078">
        <f>IF(O155=0,0,P155/O155)</f>
        <v>0</v>
      </c>
      <c r="R155" s="1079" t="e">
        <f ca="1">MINIFS('Degrémont Entrée'!$AM$14:$AM$379,'Degrémont Entrée'!$AM$14:$AM$379,"&lt;&gt;0",'Degrémont Entrée'!$A$14:$A$379,"&gt;="&amp;B155,'Degrémont Entrée'!$A$14:$A$379,"&lt;="&amp;EOMONTH(B155,0))</f>
        <v>#NAME?</v>
      </c>
      <c r="S155" s="1078" t="e">
        <f ca="1">MAXIFS('Degrémont Entrée'!$AM$14:$AM$379,'Degrémont Entrée'!$AM$14:$AM$379,"&lt;&gt;0",'Degrémont Entrée'!$A$14:$A$379,"&gt;="&amp;B155,'Degrémont Entrée'!$A$14:$A$379,"&lt;="&amp;EOMONTH(B155,0))</f>
        <v>#NAME?</v>
      </c>
      <c r="T155" s="1080">
        <f>COUNTIFS('Degrémont Entrée'!$AM$14:$AM$379,"&gt;="&amp;N155,'Degrémont Entrée'!$A$14:$A$379,"&gt;="&amp;B155,'Degrémont Entrée'!$A$14:$A$379,"&lt;="&amp;EOMONTH(B155,0))</f>
        <v>0</v>
      </c>
      <c r="U155" s="1081" t="e">
        <f>T155/O155</f>
        <v>#DIV/0!</v>
      </c>
      <c r="V155" s="1082"/>
      <c r="W155" s="1083">
        <f>Parametres!$T$5</f>
        <v>3</v>
      </c>
      <c r="X155" s="1084">
        <f>COUNTIFS('Degrémont sortie'!$AG$14:$AG$379,"&gt;0",'Degrémont sortie'!$A$14:$A$379,"&gt;="&amp;B155,'Degrémont sortie'!$A$14:$A$379,"&lt;="&amp;EOMONTH(B155,0))</f>
        <v>0</v>
      </c>
      <c r="Y155" s="1085">
        <f>SUMIFS('Degrémont sortie'!$AG$14:$AG$379,'Degrémont sortie'!$AG$14:$AG$379,"&lt;&gt;0",'Degrémont sortie'!$A$14:$A$379,"&gt;="&amp;B155,'Degrémont sortie'!$A$14:$A$379,"&lt;="&amp;EOMONTH(B155,0))</f>
        <v>0</v>
      </c>
      <c r="Z155" s="1085">
        <f>IF(X155=0,0,Y155/X155)</f>
        <v>0</v>
      </c>
      <c r="AA155" s="1085" t="e">
        <f ca="1">MINIFS('Degrémont sortie'!$AG$14:$AG$379,'Degrémont sortie'!$AG$14:$AG$379,"&lt;&gt;0",'Degrémont sortie'!$A$14:$A$379,"&gt;="&amp;B155,'Degrémont sortie'!$A$14:$A$379,"&lt;="&amp;EOMONTH(B155,0))</f>
        <v>#NAME?</v>
      </c>
      <c r="AB155" s="1085" t="e">
        <f ca="1">MAXIFS('Degrémont sortie'!$AG$14:$AG$379,'Degrémont sortie'!$AG$14:$AG$379,"&lt;&gt;0",'Degrémont sortie'!$A$14:$A$379,"&gt;="&amp;B155,'Degrémont sortie'!$A$14:$A$379,"&lt;="&amp;EOMONTH(B155,0))</f>
        <v>#NAME?</v>
      </c>
      <c r="AC155" s="1086">
        <f>COUNTIFS('Degrémont sortie'!$AG$14:$AG$379,"&gt;="&amp;W155,'Degrémont sortie'!$A$14:$A$379,"&gt;="&amp;B155,'Degrémont sortie'!$A$14:$A$379,"&lt;="&amp;EOMONTH(B155,0))</f>
        <v>0</v>
      </c>
      <c r="AD155" s="1087" t="e">
        <f>AC155/X155</f>
        <v>#DIV/0!</v>
      </c>
      <c r="AE155" s="1088"/>
      <c r="AF155" s="1089"/>
      <c r="AG155" s="1090"/>
      <c r="AH155" s="1090"/>
      <c r="AI155" s="1090"/>
      <c r="AJ155" s="1090"/>
      <c r="AK155" s="1088"/>
      <c r="AL155" s="1089"/>
      <c r="AM155" s="1090"/>
      <c r="AN155" s="1090"/>
      <c r="AO155" s="1090"/>
      <c r="AP155" s="1090"/>
      <c r="AQ155" s="1088"/>
      <c r="AR155" s="1091"/>
      <c r="AS155" s="1089"/>
      <c r="AT155" s="1090"/>
      <c r="AU155" s="1090"/>
      <c r="AV155" s="1090"/>
      <c r="AW155" s="1092"/>
      <c r="AX155" s="1093"/>
      <c r="AY155" s="1094"/>
      <c r="AZ155" s="1095" t="e">
        <f t="shared" ref="AZ155:AZ199" si="67">SUM(E155+O155+X155+AF155+AL155+AS155)</f>
        <v>#REF!</v>
      </c>
      <c r="BA155" s="2"/>
    </row>
    <row r="156" spans="1:53" ht="15.75" hidden="1" customHeight="1" outlineLevel="1">
      <c r="A156" s="1027"/>
      <c r="B156" s="1096"/>
      <c r="C156" s="1097" t="s">
        <v>16</v>
      </c>
      <c r="D156" s="1067">
        <f>Parametres!$D$6</f>
        <v>10000000</v>
      </c>
      <c r="E156" s="1068" t="e">
        <f>COUNTIFS(#REF!,"&gt;0",#REF!,"&gt;="&amp;B155,#REF!,"&lt;="&amp;EOMONTH(B155,0))</f>
        <v>#REF!</v>
      </c>
      <c r="F156" s="1069" t="e">
        <f>SUMIFS(#REF!,#REF!,"&lt;&gt;0",#REF!,"&gt;="&amp;B155,#REF!,"&lt;="&amp;EOMONTH(B155,0))</f>
        <v>#REF!</v>
      </c>
      <c r="G156" s="1098" t="e">
        <f t="shared" si="65"/>
        <v>#REF!</v>
      </c>
      <c r="H156" s="1070" t="e">
        <f ca="1">MINIFS(#REF!,#REF!,"&lt;&gt;0",#REF!,"&gt;="&amp;B155,#REF!,"&lt;="&amp;EOMONTH(B155,0))</f>
        <v>#NAME?</v>
      </c>
      <c r="I156" s="1069" t="e">
        <f ca="1">MAXIFS(#REF!,#REF!,"&lt;&gt;0",#REF!,"&gt;="&amp;B155,#REF!,"&lt;="&amp;EOMONTH(B155,0))</f>
        <v>#NAME?</v>
      </c>
      <c r="J156" s="1072" t="e">
        <f>COUNTIFS(#REF!,"&gt;="&amp;D156,#REF!,"&gt;="&amp;B155,#REF!,"&lt;="&amp;EOMONTH(B155,0))</f>
        <v>#REF!</v>
      </c>
      <c r="K156" s="1341" t="e">
        <f t="shared" si="66"/>
        <v>#REF!</v>
      </c>
      <c r="L156" s="1099"/>
      <c r="M156" s="1082"/>
      <c r="N156" s="1100"/>
      <c r="O156" s="1100"/>
      <c r="P156" s="1078"/>
      <c r="Q156" s="1078"/>
      <c r="R156" s="1078"/>
      <c r="S156" s="1078"/>
      <c r="T156" s="1101"/>
      <c r="U156" s="1101"/>
      <c r="V156" s="1082"/>
      <c r="W156" s="1102"/>
      <c r="X156" s="1102"/>
      <c r="Y156" s="1069"/>
      <c r="Z156" s="1069"/>
      <c r="AA156" s="1069"/>
      <c r="AB156" s="1069"/>
      <c r="AC156" s="1103"/>
      <c r="AD156" s="1104"/>
      <c r="AE156" s="1082"/>
      <c r="AF156" s="1105"/>
      <c r="AG156" s="1106"/>
      <c r="AH156" s="1106"/>
      <c r="AI156" s="1106"/>
      <c r="AJ156" s="1106"/>
      <c r="AK156" s="1107"/>
      <c r="AL156" s="1108"/>
      <c r="AM156" s="1109"/>
      <c r="AN156" s="1109"/>
      <c r="AO156" s="1109"/>
      <c r="AP156" s="1109"/>
      <c r="AQ156" s="1107"/>
      <c r="AR156" s="1110"/>
      <c r="AS156" s="1105"/>
      <c r="AT156" s="1109"/>
      <c r="AU156" s="1109"/>
      <c r="AV156" s="1109"/>
      <c r="AW156" s="1111"/>
      <c r="AX156" s="1112"/>
      <c r="AY156" s="1094"/>
      <c r="AZ156" s="1095" t="e">
        <f t="shared" si="67"/>
        <v>#REF!</v>
      </c>
      <c r="BA156" s="2"/>
    </row>
    <row r="157" spans="1:53" ht="15.75" hidden="1" customHeight="1" outlineLevel="1">
      <c r="A157" s="1027"/>
      <c r="B157" s="1096"/>
      <c r="C157" s="1097" t="s">
        <v>17</v>
      </c>
      <c r="D157" s="1067">
        <f>Parametres!$D$7</f>
        <v>0.8</v>
      </c>
      <c r="E157" s="1068" t="e">
        <f>COUNTIFS(#REF!,"&gt;0",#REF!,"&gt;="&amp;B155,#REF!,"&lt;="&amp;EOMONTH(B155,0))</f>
        <v>#REF!</v>
      </c>
      <c r="F157" s="1069" t="e">
        <f>SUMIFS(#REF!,#REF!,"&lt;&gt;0",#REF!,"&gt;="&amp;B155,#REF!,"&lt;="&amp;EOMONTH(B155,0))</f>
        <v>#REF!</v>
      </c>
      <c r="G157" s="1098" t="e">
        <f t="shared" si="65"/>
        <v>#REF!</v>
      </c>
      <c r="H157" s="1113" t="e">
        <f ca="1">MINIFS(#REF!,#REF!,"&lt;&gt;0",#REF!,"&gt;="&amp;B155,#REF!,"&lt;="&amp;EOMONTH(B155,0))</f>
        <v>#NAME?</v>
      </c>
      <c r="I157" s="1078" t="e">
        <f ca="1">MAXIFS(#REF!,#REF!,"&lt;&gt;0",#REF!,"&gt;="&amp;B155,#REF!,"&lt;="&amp;EOMONTH(B155,0))</f>
        <v>#NAME?</v>
      </c>
      <c r="J157" s="1114" t="e">
        <f>COUNTIFS(#REF!,"&gt;="&amp;D157,#REF!,"&gt;="&amp;B155,#REF!,"&lt;="&amp;EOMONTH(B155,0))</f>
        <v>#REF!</v>
      </c>
      <c r="K157" s="1341" t="e">
        <f t="shared" si="66"/>
        <v>#REF!</v>
      </c>
      <c r="L157" s="1115"/>
      <c r="M157" s="1082"/>
      <c r="N157" s="1100"/>
      <c r="O157" s="1100"/>
      <c r="P157" s="1078"/>
      <c r="Q157" s="1078"/>
      <c r="R157" s="1078"/>
      <c r="S157" s="1078"/>
      <c r="T157" s="1101"/>
      <c r="U157" s="1101"/>
      <c r="V157" s="1082"/>
      <c r="W157" s="1102"/>
      <c r="X157" s="1102"/>
      <c r="Y157" s="1069"/>
      <c r="Z157" s="1069"/>
      <c r="AA157" s="1069"/>
      <c r="AB157" s="1069"/>
      <c r="AC157" s="1103"/>
      <c r="AD157" s="1104"/>
      <c r="AE157" s="1082"/>
      <c r="AF157" s="1116"/>
      <c r="AG157" s="1117"/>
      <c r="AH157" s="1117"/>
      <c r="AI157" s="1117"/>
      <c r="AJ157" s="1117"/>
      <c r="AK157" s="1082"/>
      <c r="AL157" s="1105"/>
      <c r="AM157" s="1106"/>
      <c r="AN157" s="1106"/>
      <c r="AO157" s="1106"/>
      <c r="AP157" s="1106"/>
      <c r="AQ157" s="1082"/>
      <c r="AR157" s="1118"/>
      <c r="AS157" s="1116"/>
      <c r="AT157" s="1106"/>
      <c r="AU157" s="1106"/>
      <c r="AV157" s="1106"/>
      <c r="AW157" s="1119"/>
      <c r="AX157" s="1120"/>
      <c r="AY157" s="1094"/>
      <c r="AZ157" s="1095" t="e">
        <f t="shared" si="67"/>
        <v>#REF!</v>
      </c>
      <c r="BA157" s="2"/>
    </row>
    <row r="158" spans="1:53" ht="15.75" hidden="1" customHeight="1" outlineLevel="1">
      <c r="A158" s="1027"/>
      <c r="B158" s="1096"/>
      <c r="C158" s="1121" t="s">
        <v>18</v>
      </c>
      <c r="D158" s="1122">
        <f>Parametres!$D$8</f>
        <v>0.05</v>
      </c>
      <c r="E158" s="1068" t="e">
        <f>COUNTIFS(#REF!,"&gt;0",#REF!,"&gt;="&amp;B155,#REF!,"&lt;="&amp;EOMONTH(B155,0))</f>
        <v>#REF!</v>
      </c>
      <c r="F158" s="1069" t="e">
        <f>SUMIFS(#REF!,#REF!,"&lt;&gt;0",#REF!,"&gt;="&amp;B155,#REF!,"&lt;="&amp;EOMONTH(B155,0))</f>
        <v>#REF!</v>
      </c>
      <c r="G158" s="1098" t="e">
        <f t="shared" si="65"/>
        <v>#REF!</v>
      </c>
      <c r="H158" s="1113" t="e">
        <f ca="1">MINIFS(#REF!,#REF!,"&lt;&gt;0",#REF!,"&gt;="&amp;B155,#REF!,"&lt;="&amp;EOMONTH(B155,0))</f>
        <v>#NAME?</v>
      </c>
      <c r="I158" s="1078" t="e">
        <f ca="1">MAXIFS(#REF!,#REF!,"&lt;&gt;0",#REF!,"&gt;="&amp;B155,#REF!,"&lt;="&amp;EOMONTH(B155,0))</f>
        <v>#NAME?</v>
      </c>
      <c r="J158" s="1072" t="e">
        <f>COUNTIFS(#REF!,"&gt;="&amp;D158,#REF!,"&gt;="&amp;B155,#REF!,"&lt;="&amp;EOMONTH(B155,0))</f>
        <v>#REF!</v>
      </c>
      <c r="K158" s="1341" t="e">
        <f t="shared" si="66"/>
        <v>#REF!</v>
      </c>
      <c r="L158" s="1115"/>
      <c r="M158" s="1082"/>
      <c r="N158" s="1100"/>
      <c r="O158" s="1100"/>
      <c r="P158" s="1078"/>
      <c r="Q158" s="1078"/>
      <c r="R158" s="1078"/>
      <c r="S158" s="1078"/>
      <c r="T158" s="1101"/>
      <c r="U158" s="1101"/>
      <c r="V158" s="1082"/>
      <c r="W158" s="1102"/>
      <c r="X158" s="1102"/>
      <c r="Y158" s="1069"/>
      <c r="Z158" s="1069"/>
      <c r="AA158" s="1069"/>
      <c r="AB158" s="1069"/>
      <c r="AC158" s="1103"/>
      <c r="AD158" s="1104"/>
      <c r="AE158" s="1107"/>
      <c r="AF158" s="1108"/>
      <c r="AG158" s="1109"/>
      <c r="AH158" s="1109"/>
      <c r="AI158" s="1109"/>
      <c r="AJ158" s="1109"/>
      <c r="AK158" s="1123"/>
      <c r="AL158" s="1108"/>
      <c r="AM158" s="1109"/>
      <c r="AN158" s="1109"/>
      <c r="AO158" s="1109"/>
      <c r="AP158" s="1109"/>
      <c r="AQ158" s="1123"/>
      <c r="AR158" s="1124"/>
      <c r="AS158" s="1108"/>
      <c r="AT158" s="1109"/>
      <c r="AU158" s="1109"/>
      <c r="AV158" s="1109"/>
      <c r="AW158" s="1111"/>
      <c r="AX158" s="1112"/>
      <c r="AY158" s="1094"/>
      <c r="AZ158" s="1095" t="e">
        <f t="shared" si="67"/>
        <v>#REF!</v>
      </c>
      <c r="BA158" s="2"/>
    </row>
    <row r="159" spans="1:53" ht="15.75" hidden="1" customHeight="1" outlineLevel="1">
      <c r="A159" s="1027"/>
      <c r="B159" s="1096"/>
      <c r="C159" s="1097" t="s">
        <v>11</v>
      </c>
      <c r="D159" s="1067">
        <f>Parametres!$D$9</f>
        <v>0.2</v>
      </c>
      <c r="E159" s="1068" t="e">
        <f>COUNTIFS(#REF!,"&gt;0",#REF!,"&gt;="&amp;B155,#REF!,"&lt;="&amp;EOMONTH(B155,0))</f>
        <v>#REF!</v>
      </c>
      <c r="F159" s="1069" t="e">
        <f>SUMIFS(#REF!,#REF!,"&lt;&gt;0",#REF!,"&gt;="&amp;B155,#REF!,"&lt;="&amp;EOMONTH(B155,0))</f>
        <v>#REF!</v>
      </c>
      <c r="G159" s="1098" t="e">
        <f t="shared" si="65"/>
        <v>#REF!</v>
      </c>
      <c r="H159" s="1113" t="e">
        <f ca="1">MINIFS(#REF!,#REF!,"&lt;&gt;0",#REF!,"&gt;="&amp;B155,#REF!,"&lt;="&amp;EOMONTH(B155,0))</f>
        <v>#NAME?</v>
      </c>
      <c r="I159" s="1078" t="e">
        <f ca="1">MAXIFS(#REF!,#REF!,"&lt;&gt;0",#REF!,"&gt;="&amp;B155,#REF!,"&lt;="&amp;EOMONTH(B155,0))</f>
        <v>#NAME?</v>
      </c>
      <c r="J159" s="1072" t="e">
        <f>COUNTIFS(#REF!,"&gt;="&amp;D159,#REF!,"&gt;="&amp;B155,#REF!,"&lt;="&amp;EOMONTH(B155,0))</f>
        <v>#REF!</v>
      </c>
      <c r="K159" s="1341" t="e">
        <f t="shared" si="66"/>
        <v>#REF!</v>
      </c>
      <c r="L159" s="1115"/>
      <c r="M159" s="1082"/>
      <c r="N159" s="1100"/>
      <c r="O159" s="1100"/>
      <c r="P159" s="1078"/>
      <c r="Q159" s="1078"/>
      <c r="R159" s="1078"/>
      <c r="S159" s="1078"/>
      <c r="T159" s="1101"/>
      <c r="U159" s="1101"/>
      <c r="V159" s="1082"/>
      <c r="W159" s="1102"/>
      <c r="X159" s="1102"/>
      <c r="Y159" s="1069"/>
      <c r="Z159" s="1069"/>
      <c r="AA159" s="1069"/>
      <c r="AB159" s="1069"/>
      <c r="AC159" s="1103"/>
      <c r="AD159" s="1104"/>
      <c r="AE159" s="1075"/>
      <c r="AF159" s="1125"/>
      <c r="AG159" s="1126"/>
      <c r="AH159" s="1126"/>
      <c r="AI159" s="1126"/>
      <c r="AJ159" s="1126"/>
      <c r="AK159" s="1107"/>
      <c r="AL159" s="1125"/>
      <c r="AM159" s="1126"/>
      <c r="AN159" s="1126"/>
      <c r="AO159" s="1126"/>
      <c r="AP159" s="1126"/>
      <c r="AQ159" s="1107"/>
      <c r="AR159" s="1110"/>
      <c r="AS159" s="1125"/>
      <c r="AT159" s="1126"/>
      <c r="AU159" s="1126"/>
      <c r="AV159" s="1126"/>
      <c r="AW159" s="1127"/>
      <c r="AX159" s="1128"/>
      <c r="AY159" s="1094"/>
      <c r="AZ159" s="1095" t="e">
        <f t="shared" si="67"/>
        <v>#REF!</v>
      </c>
      <c r="BA159" s="2"/>
    </row>
    <row r="160" spans="1:53" ht="15.75" hidden="1" customHeight="1" outlineLevel="1">
      <c r="A160" s="1027"/>
      <c r="B160" s="1096"/>
      <c r="C160" s="1097" t="s">
        <v>12</v>
      </c>
      <c r="D160" s="1067">
        <f>Parametres!$D$10</f>
        <v>10000000</v>
      </c>
      <c r="E160" s="1068" t="e">
        <f>COUNTIFS(#REF!,"&gt;0",#REF!,"&gt;="&amp;B155,#REF!,"&lt;="&amp;EOMONTH(B155,0))</f>
        <v>#REF!</v>
      </c>
      <c r="F160" s="1069" t="e">
        <f>SUMIFS(#REF!,#REF!,"&lt;&gt;0",#REF!,"&gt;="&amp;B155,#REF!,"&lt;="&amp;EOMONTH(B155,0))</f>
        <v>#REF!</v>
      </c>
      <c r="G160" s="1098" t="e">
        <f t="shared" si="65"/>
        <v>#REF!</v>
      </c>
      <c r="H160" s="1113" t="e">
        <f ca="1">MINIFS(#REF!,#REF!,"&lt;&gt;0",#REF!,"&gt;="&amp;B155,#REF!,"&lt;="&amp;EOMONTH(B155,0))</f>
        <v>#NAME?</v>
      </c>
      <c r="I160" s="1078" t="e">
        <f ca="1">MAXIFS(#REF!,#REF!,"&lt;&gt;0",#REF!,"&gt;="&amp;B155,#REF!,"&lt;="&amp;EOMONTH(B155,0))</f>
        <v>#NAME?</v>
      </c>
      <c r="J160" s="1072" t="e">
        <f>COUNTIFS(#REF!,"&gt;="&amp;D160,#REF!,"&gt;="&amp;B155,#REF!,"&lt;="&amp;EOMONTH(B155,0))</f>
        <v>#REF!</v>
      </c>
      <c r="K160" s="1341" t="e">
        <f t="shared" si="66"/>
        <v>#REF!</v>
      </c>
      <c r="L160" s="1115"/>
      <c r="M160" s="1082"/>
      <c r="N160" s="1100"/>
      <c r="O160" s="1100"/>
      <c r="P160" s="1078"/>
      <c r="Q160" s="1078"/>
      <c r="R160" s="1078"/>
      <c r="S160" s="1078"/>
      <c r="T160" s="1101"/>
      <c r="U160" s="1101"/>
      <c r="V160" s="1082"/>
      <c r="W160" s="1129"/>
      <c r="X160" s="1129"/>
      <c r="Y160" s="1069"/>
      <c r="Z160" s="1069"/>
      <c r="AA160" s="1069"/>
      <c r="AB160" s="1069"/>
      <c r="AC160" s="1130"/>
      <c r="AD160" s="1131"/>
      <c r="AE160" s="1082"/>
      <c r="AF160" s="1105"/>
      <c r="AG160" s="1106"/>
      <c r="AH160" s="1106"/>
      <c r="AI160" s="1106"/>
      <c r="AJ160" s="1106"/>
      <c r="AK160" s="1132"/>
      <c r="AL160" s="1105"/>
      <c r="AM160" s="1106"/>
      <c r="AN160" s="1106"/>
      <c r="AO160" s="1106"/>
      <c r="AP160" s="1106"/>
      <c r="AQ160" s="1133"/>
      <c r="AR160" s="1134"/>
      <c r="AS160" s="1135"/>
      <c r="AT160" s="1106"/>
      <c r="AU160" s="1106"/>
      <c r="AV160" s="1106"/>
      <c r="AW160" s="1119"/>
      <c r="AX160" s="1120"/>
      <c r="AY160" s="1094"/>
      <c r="AZ160" s="1095" t="e">
        <f t="shared" si="67"/>
        <v>#REF!</v>
      </c>
      <c r="BA160" s="2"/>
    </row>
    <row r="161" spans="1:53" ht="15.75" hidden="1" customHeight="1" outlineLevel="1">
      <c r="A161" s="1027"/>
      <c r="B161" s="1096"/>
      <c r="C161" s="1097" t="s">
        <v>19</v>
      </c>
      <c r="D161" s="1067">
        <f>Parametres!$D$11</f>
        <v>1.5</v>
      </c>
      <c r="E161" s="1068" t="e">
        <f>COUNTIFS(#REF!,"&gt;0",#REF!,"&gt;="&amp;B155,#REF!,"&lt;="&amp;EOMONTH(B155,0))</f>
        <v>#REF!</v>
      </c>
      <c r="F161" s="1069" t="e">
        <f>SUMIFS(#REF!,#REF!,"&lt;&gt;0",#REF!,"&gt;="&amp;B155,#REF!,"&lt;="&amp;EOMONTH(B155,0))</f>
        <v>#REF!</v>
      </c>
      <c r="G161" s="1098" t="e">
        <f t="shared" si="65"/>
        <v>#REF!</v>
      </c>
      <c r="H161" s="1113" t="e">
        <f ca="1">MINIFS(#REF!,#REF!,"&lt;&gt;0",#REF!,"&gt;="&amp;B155,#REF!,"&lt;="&amp;EOMONTH(B155,0))</f>
        <v>#NAME?</v>
      </c>
      <c r="I161" s="1078" t="e">
        <f ca="1">MAXIFS(#REF!,#REF!,"&lt;&gt;0",#REF!,"&gt;="&amp;B155,#REF!,"&lt;="&amp;EOMONTH(B155,0))</f>
        <v>#NAME?</v>
      </c>
      <c r="J161" s="1072" t="e">
        <f>COUNTIFS(#REF!,"&gt;="&amp;D161,#REF!,"&gt;="&amp;B155,#REF!,"&lt;="&amp;EOMONTH(B155,0))</f>
        <v>#REF!</v>
      </c>
      <c r="K161" s="1341" t="e">
        <f t="shared" si="66"/>
        <v>#REF!</v>
      </c>
      <c r="L161" s="1115"/>
      <c r="M161" s="1082"/>
      <c r="N161" s="1100"/>
      <c r="O161" s="1100"/>
      <c r="P161" s="1078"/>
      <c r="Q161" s="1078"/>
      <c r="R161" s="1078"/>
      <c r="S161" s="1078"/>
      <c r="T161" s="1101"/>
      <c r="U161" s="1101"/>
      <c r="V161" s="1082"/>
      <c r="W161" s="1129"/>
      <c r="X161" s="1129"/>
      <c r="Y161" s="1069"/>
      <c r="Z161" s="1069"/>
      <c r="AA161" s="1069"/>
      <c r="AB161" s="1069"/>
      <c r="AC161" s="1130"/>
      <c r="AD161" s="1131"/>
      <c r="AE161" s="1082"/>
      <c r="AF161" s="1105"/>
      <c r="AG161" s="1106"/>
      <c r="AH161" s="1106"/>
      <c r="AI161" s="1106"/>
      <c r="AJ161" s="1106"/>
      <c r="AK161" s="1082"/>
      <c r="AL161" s="1136"/>
      <c r="AM161" s="1137"/>
      <c r="AN161" s="1137"/>
      <c r="AO161" s="1137"/>
      <c r="AP161" s="1137"/>
      <c r="AQ161" s="1082"/>
      <c r="AR161" s="1118"/>
      <c r="AS161" s="1105"/>
      <c r="AT161" s="1106"/>
      <c r="AU161" s="1106"/>
      <c r="AV161" s="1106"/>
      <c r="AW161" s="1138"/>
      <c r="AX161" s="1120"/>
      <c r="AY161" s="1094"/>
      <c r="AZ161" s="1095" t="e">
        <f t="shared" si="67"/>
        <v>#REF!</v>
      </c>
      <c r="BA161" s="2"/>
    </row>
    <row r="162" spans="1:53" ht="15.75" hidden="1" customHeight="1" outlineLevel="1">
      <c r="A162" s="1027"/>
      <c r="B162" s="1096"/>
      <c r="C162" s="1139" t="s">
        <v>42</v>
      </c>
      <c r="D162" s="1122">
        <f>Parametres!$D$12</f>
        <v>0.1</v>
      </c>
      <c r="E162" s="1068" t="e">
        <f>COUNTIFS(#REF!,"&gt;0",#REF!,"&gt;="&amp;B155,#REF!,"&lt;="&amp;EOMONTH(B155,0))</f>
        <v>#REF!</v>
      </c>
      <c r="F162" s="1069" t="e">
        <f>SUMIFS(#REF!,#REF!,"&lt;&gt;0",#REF!,"&gt;="&amp;B155,#REF!,"&lt;="&amp;EOMONTH(B155,0))</f>
        <v>#REF!</v>
      </c>
      <c r="G162" s="1098" t="e">
        <f t="shared" si="65"/>
        <v>#REF!</v>
      </c>
      <c r="H162" s="1113" t="e">
        <f ca="1">MINIFS(#REF!,#REF!,"&lt;&gt;0",#REF!,"&gt;="&amp;B155,#REF!,"&lt;="&amp;EOMONTH(B155,0))</f>
        <v>#NAME?</v>
      </c>
      <c r="I162" s="1078" t="e">
        <f ca="1">MAXIFS(#REF!,#REF!,"&lt;&gt;0",#REF!,"&gt;="&amp;B155,#REF!,"&lt;="&amp;EOMONTH(B155,0))</f>
        <v>#NAME?</v>
      </c>
      <c r="J162" s="1114" t="e">
        <f>COUNTIFS(#REF!,"&gt;="&amp;D162,#REF!,"&gt;="&amp;B155,#REF!,"&lt;="&amp;EOMONTH(B155,0))</f>
        <v>#REF!</v>
      </c>
      <c r="K162" s="1341" t="e">
        <f t="shared" si="66"/>
        <v>#REF!</v>
      </c>
      <c r="L162" s="1115"/>
      <c r="M162" s="1082"/>
      <c r="N162" s="1076">
        <f>Parametres!$L$12</f>
        <v>100000</v>
      </c>
      <c r="O162" s="1077">
        <f>COUNTIFS('Degrémont Entrée'!$AG$14:$AG$379,"&gt;0",'Degrémont Entrée'!$A$14:$A$379,"&gt;="&amp;B155,'Degrémont Entrée'!$A$14:$A$379,"&lt;="&amp;EOMONTH(B155,0))</f>
        <v>0</v>
      </c>
      <c r="P162" s="1078">
        <f>SUMIFS('Degrémont Entrée'!$AG$14:$AG$379,'Degrémont Entrée'!$AG$14:$AG$379,"&lt;&gt;0",'Degrémont Entrée'!$A$14:$A$379,"&gt;="&amp;B155,'Degrémont Entrée'!$A$14:$A$379,"&lt;="&amp;EOMONTH(B155,0))</f>
        <v>0</v>
      </c>
      <c r="Q162" s="1078">
        <f>IF(O162=0,0,P162/O162)</f>
        <v>0</v>
      </c>
      <c r="R162" s="1078" t="e">
        <f ca="1">MINIFS('Degrémont Entrée'!$AG$14:$AG$379,'Degrémont Entrée'!$AG$14:$AG$379,"&lt;&gt;0",'Degrémont Entrée'!$A$14:$A$379,"&gt;="&amp;B155,'Degrémont Entrée'!$A$14:$A$379,"&lt;="&amp;EOMONTH(B155,0))</f>
        <v>#NAME?</v>
      </c>
      <c r="S162" s="1078" t="e">
        <f ca="1">MAXIFS('Degrémont Entrée'!$AG$14:$AG$379,'Degrémont Entrée'!$AG$14:$AG$379,"&lt;&gt;0",'Degrémont Entrée'!$A$14:$A$379,"&gt;="&amp;B155,'Degrémont Entrée'!$A$14:$A$379,"&lt;="&amp;EOMONTH(B155,0))</f>
        <v>#NAME?</v>
      </c>
      <c r="T162" s="1140" t="s">
        <v>153</v>
      </c>
      <c r="U162" s="1140" t="s">
        <v>153</v>
      </c>
      <c r="V162" s="1082"/>
      <c r="W162" s="1083">
        <f>Parametres!$T$12</f>
        <v>0.1</v>
      </c>
      <c r="X162" s="1142">
        <f>COUNTIFS('Degrémont sortie'!$AA$14:$AA$379,"&gt;0",'Degrémont sortie'!$A$14:$A$379,"&gt;="&amp;B155,'Degrémont sortie'!$A$14:$A$379,"&lt;="&amp;EOMONTH(B155,0))</f>
        <v>0</v>
      </c>
      <c r="Y162" s="1085">
        <f>SUMIFS('Degrémont sortie'!$AA$14:$AA$379,'Degrémont sortie'!$AA$14:$AA$379,"&lt;&gt;0",'Degrémont sortie'!$A$14:$A$379,"&gt;="&amp;B155,'Degrémont sortie'!$A$14:$A$379,"&lt;="&amp;EOMONTH(B155,0))</f>
        <v>0</v>
      </c>
      <c r="Z162" s="1069">
        <f t="shared" ref="Z162:Z164" si="68">IF(X162=0,0,Y162/X162)</f>
        <v>0</v>
      </c>
      <c r="AA162" s="1069" t="e">
        <f ca="1">MINIFS('Degrémont sortie'!$AA$14:$AA$379,'Degrémont sortie'!$AA$14:$AA$379,"&lt;&gt;0",'Degrémont sortie'!$A$14:$A$379,"&gt;="&amp;B155,'Degrémont sortie'!$A$14:$A$379,"&lt;="&amp;EOMONTH(B155,0))</f>
        <v>#NAME?</v>
      </c>
      <c r="AB162" s="1069" t="e">
        <f ca="1">MAXIFS('Degrémont sortie'!$AA$14:$AA$379,'Degrémont sortie'!$AA$14:$AA$379,"&lt;&gt;0",'Degrémont sortie'!$A$14:$A$379,"&gt;="&amp;B155,'Degrémont sortie'!$A$14:$A$379,"&lt;="&amp;EOMONTH(B155,0))</f>
        <v>#NAME?</v>
      </c>
      <c r="AC162" s="1142">
        <f>COUNTIFS('Degrémont sortie'!$AA$14:$AA$379,"&gt;="&amp;W162,'Degrémont sortie'!$A$14:$A$379,"&gt;="&amp;B155,'Degrémont sortie'!$A$14:$A$379,"&lt;="&amp;EOMONTH(B155,0))</f>
        <v>0</v>
      </c>
      <c r="AD162" s="1087" t="e">
        <f t="shared" ref="AD162:AD164" si="69">AC162/X162</f>
        <v>#DIV/0!</v>
      </c>
      <c r="AE162" s="1082"/>
      <c r="AF162" s="1105"/>
      <c r="AG162" s="1106"/>
      <c r="AH162" s="1106"/>
      <c r="AI162" s="1106"/>
      <c r="AJ162" s="1106"/>
      <c r="AK162" s="1082"/>
      <c r="AL162" s="1116"/>
      <c r="AM162" s="1117"/>
      <c r="AN162" s="1117"/>
      <c r="AO162" s="1117"/>
      <c r="AP162" s="1117"/>
      <c r="AQ162" s="1082"/>
      <c r="AR162" s="1118"/>
      <c r="AS162" s="1105"/>
      <c r="AT162" s="1106"/>
      <c r="AU162" s="1106"/>
      <c r="AV162" s="1106"/>
      <c r="AW162" s="1119"/>
      <c r="AX162" s="1120"/>
      <c r="AY162" s="1094"/>
      <c r="AZ162" s="1095" t="e">
        <f t="shared" si="67"/>
        <v>#REF!</v>
      </c>
      <c r="BA162" s="2"/>
    </row>
    <row r="163" spans="1:53" ht="15.75" hidden="1" customHeight="1" outlineLevel="1">
      <c r="A163" s="1027"/>
      <c r="B163" s="1096"/>
      <c r="C163" s="1139" t="s">
        <v>286</v>
      </c>
      <c r="D163" s="1122">
        <f>Parametres!$D$13</f>
        <v>0.5</v>
      </c>
      <c r="E163" s="1068" t="e">
        <f>COUNTIFS(#REF!,"&gt;0",#REF!,"&gt;="&amp;B155,#REF!,"&lt;="&amp;EOMONTH(B155,0))</f>
        <v>#REF!</v>
      </c>
      <c r="F163" s="1069" t="e">
        <f>SUMIFS(#REF!,#REF!,"&lt;&gt;0",#REF!,"&gt;="&amp;B155,#REF!,"&lt;="&amp;EOMONTH(B155,0))</f>
        <v>#REF!</v>
      </c>
      <c r="G163" s="1098" t="e">
        <f t="shared" si="65"/>
        <v>#REF!</v>
      </c>
      <c r="H163" s="1113" t="e">
        <f ca="1">MINIFS(#REF!,#REF!,"&lt;&gt;0",#REF!,"&gt;="&amp;B155,#REF!,"&lt;="&amp;EOMONTH(B155,0))</f>
        <v>#NAME?</v>
      </c>
      <c r="I163" s="1078" t="e">
        <f ca="1">MAXIFS(#REF!,#REF!,"&lt;&gt;0",#REF!,"&gt;="&amp;B155,#REF!,"&lt;="&amp;EOMONTH(B155,0))</f>
        <v>#NAME?</v>
      </c>
      <c r="J163" s="1114" t="e">
        <f>COUNTIFS(#REF!,"&gt;="&amp;D163,#REF!,"&gt;="&amp;B155,#REF!,"&lt;="&amp;EOMONTH(B155,0))</f>
        <v>#REF!</v>
      </c>
      <c r="K163" s="1341" t="e">
        <f t="shared" si="66"/>
        <v>#REF!</v>
      </c>
      <c r="L163" s="1115"/>
      <c r="M163" s="1082"/>
      <c r="N163" s="1129"/>
      <c r="O163" s="1129"/>
      <c r="P163" s="1069"/>
      <c r="Q163" s="1069"/>
      <c r="R163" s="1069"/>
      <c r="S163" s="1069"/>
      <c r="T163" s="1143"/>
      <c r="U163" s="1143"/>
      <c r="V163" s="1132"/>
      <c r="W163" s="1083">
        <f>Parametres!$T$13</f>
        <v>0.08</v>
      </c>
      <c r="X163" s="1142">
        <f>COUNTIFS('Degrémont sortie'!$AD$14:$AD$379,"&gt;0",'Degrémont sortie'!$A$14:$A$379,"&gt;="&amp;B155,'Degrémont sortie'!$A$14:$A$379,"&lt;="&amp;EOMONTH(B155,0))</f>
        <v>0</v>
      </c>
      <c r="Y163" s="1085">
        <f>SUMIFS('Degrémont sortie'!$AD$14:$AD$379,'Degrémont sortie'!$AD$14:$AD$379,"&lt;&gt;0",'Degrémont sortie'!$A$14:$A$379,"&gt;="&amp;B155,'Degrémont sortie'!$A$14:$A$379,"&lt;="&amp;EOMONTH(B155,0))</f>
        <v>0</v>
      </c>
      <c r="Z163" s="1069">
        <f t="shared" si="68"/>
        <v>0</v>
      </c>
      <c r="AA163" s="1069" t="e">
        <f ca="1">MINIFS('Degrémont sortie'!$AD$14:$AD$379,'Degrémont sortie'!$AD$14:$AD$379,"&lt;&gt;0",'Degrémont sortie'!$A$14:$A$379,"&gt;="&amp;B155,'Degrémont sortie'!$A$14:$A$379,"&lt;="&amp;EOMONTH(B155,0))</f>
        <v>#NAME?</v>
      </c>
      <c r="AB163" s="1069" t="e">
        <f ca="1">MAXIFS('Degrémont sortie'!$AD$14:$AD$379,'Degrémont sortie'!$AD$14:$AD$379,"&lt;&gt;0",'Degrémont sortie'!$A$14:$A$379,"&gt;="&amp;B155,'Degrémont sortie'!$A$14:$A$379,"&lt;="&amp;EOMONTH(B155,0))</f>
        <v>#NAME?</v>
      </c>
      <c r="AC163" s="1142">
        <f>COUNTIFS('Degrémont sortie'!$AD$14:$AD$379,"&gt;="&amp;W163,'Degrémont sortie'!$A$14:$A$379,"&gt;="&amp;B155,'Degrémont sortie'!$A$14:$A$379,"&lt;="&amp;EOMONTH(B155,0))</f>
        <v>0</v>
      </c>
      <c r="AD163" s="1087" t="e">
        <f t="shared" si="69"/>
        <v>#DIV/0!</v>
      </c>
      <c r="AE163" s="1132"/>
      <c r="AF163" s="1105"/>
      <c r="AG163" s="1106"/>
      <c r="AH163" s="1106"/>
      <c r="AI163" s="1106"/>
      <c r="AJ163" s="1106"/>
      <c r="AK163" s="1132"/>
      <c r="AL163" s="1105"/>
      <c r="AM163" s="1106"/>
      <c r="AN163" s="1106"/>
      <c r="AO163" s="1106"/>
      <c r="AP163" s="1106"/>
      <c r="AQ163" s="1133"/>
      <c r="AR163" s="1134"/>
      <c r="AS163" s="1135"/>
      <c r="AT163" s="1106"/>
      <c r="AU163" s="1106"/>
      <c r="AV163" s="1106"/>
      <c r="AW163" s="1119"/>
      <c r="AX163" s="1120"/>
      <c r="AY163" s="1094"/>
      <c r="AZ163" s="1095" t="e">
        <f t="shared" si="67"/>
        <v>#REF!</v>
      </c>
      <c r="BA163" s="2"/>
    </row>
    <row r="164" spans="1:53" ht="15.75" hidden="1" customHeight="1" outlineLevel="1">
      <c r="A164" s="1027"/>
      <c r="B164" s="1096"/>
      <c r="C164" s="1139" t="s">
        <v>45</v>
      </c>
      <c r="D164" s="1122">
        <f>Parametres!$D$14</f>
        <v>0.5</v>
      </c>
      <c r="E164" s="1068" t="e">
        <f>COUNTIFS(#REF!,"&gt;0",#REF!,"&gt;="&amp;B155,#REF!,"&lt;="&amp;EOMONTH(B155,0))</f>
        <v>#REF!</v>
      </c>
      <c r="F164" s="1069" t="e">
        <f>SUMIFS(#REF!,#REF!,"&lt;&gt;0",#REF!,"&gt;="&amp;B155,#REF!,"&lt;="&amp;EOMONTH(B155,0))</f>
        <v>#REF!</v>
      </c>
      <c r="G164" s="1098" t="e">
        <f t="shared" si="65"/>
        <v>#REF!</v>
      </c>
      <c r="H164" s="1070" t="e">
        <f ca="1">MINIFS(#REF!,#REF!,"&lt;&gt;0",#REF!,"&gt;="&amp;B155,#REF!,"&lt;="&amp;EOMONTH(B155,0))</f>
        <v>#NAME?</v>
      </c>
      <c r="I164" s="1078" t="e">
        <f ca="1">MAXIFS(#REF!,#REF!,"&lt;&gt;0",#REF!,"&gt;="&amp;B155,#REF!,"&lt;="&amp;EOMONTH(B155,0))</f>
        <v>#NAME?</v>
      </c>
      <c r="J164" s="1114" t="e">
        <f>COUNTIFS(#REF!,"&gt;="&amp;D164,#REF!,"&gt;="&amp;B155,#REF!,"&lt;="&amp;EOMONTH(B155,0))</f>
        <v>#REF!</v>
      </c>
      <c r="K164" s="1341" t="e">
        <f t="shared" si="66"/>
        <v>#REF!</v>
      </c>
      <c r="L164" s="1115"/>
      <c r="M164" s="1082"/>
      <c r="N164" s="1144">
        <f>Parametres!$L$14</f>
        <v>3</v>
      </c>
      <c r="O164" s="1077">
        <f>COUNTIFS('Degrémont Entrée'!$AS$14:$AS$379,"&gt;0",'Degrémont Entrée'!$A$14:$A$379,"&gt;="&amp;B155,'Degrémont Entrée'!$A$14:$A$379,"&lt;="&amp;EOMONTH(B155,0))</f>
        <v>0</v>
      </c>
      <c r="P164" s="1078">
        <f>SUMIFS('Degrémont Entrée'!$AS$14:$AS$379,'Degrémont Entrée'!$AS$14:$AS$379,"&lt;&gt;0",'Degrémont Entrée'!$A$14:$A$379,"&gt;="&amp;B155,'Degrémont Entrée'!$A$14:$A$379,"&lt;="&amp;EOMONTH(B155,0))</f>
        <v>0</v>
      </c>
      <c r="Q164" s="1078">
        <f>IF(O164=0,0,P164/O164)</f>
        <v>0</v>
      </c>
      <c r="R164" s="1069" t="e">
        <f ca="1">MINIFS('Degrémont Entrée'!$AS$14:$AS$379,'Degrémont Entrée'!$AS$14:$AS$379,"&lt;&gt;0",'Degrémont Entrée'!$A$14:$A$379,"&gt;="&amp;B155,'Degrémont Entrée'!$A$14:$A$379,"&lt;="&amp;EOMONTH(B155,0))</f>
        <v>#NAME?</v>
      </c>
      <c r="S164" s="1069" t="e">
        <f ca="1">MAXIFS('Degrémont Entrée'!$AS$14:$AS$379,'Degrémont Entrée'!$AS$14:$AS$379,"&lt;&gt;0",'Degrémont Entrée'!$A$14:$A$379,"&gt;="&amp;B155,'Degrémont Entrée'!$A$14:$A$379,"&lt;="&amp;EOMONTH(B155,0))</f>
        <v>#NAME?</v>
      </c>
      <c r="T164" s="1145">
        <f>COUNTIFS('Degrémont Entrée'!$AS$14:$AS$379,"&gt;="&amp;N164,'Degrémont Entrée'!$A$14:$A$379,"&gt;="&amp;B155,'Degrémont Entrée'!$A$14:$A$379,"&lt;="&amp;EOMONTH(B155,0))</f>
        <v>0</v>
      </c>
      <c r="U164" s="1081" t="e">
        <f>T164/O164</f>
        <v>#DIV/0!</v>
      </c>
      <c r="V164" s="1132"/>
      <c r="W164" s="1083">
        <f>Parametres!$T$14</f>
        <v>0.12</v>
      </c>
      <c r="X164" s="1142">
        <f>COUNTIFS('Degrémont sortie'!$AM$14:$AM$379,"&gt;0",'Degrémont sortie'!$A$14:$A$379,"&gt;="&amp;B155,'Degrémont sortie'!$A$14:$A$379,"&lt;="&amp;EOMONTH(B155,0))</f>
        <v>0</v>
      </c>
      <c r="Y164" s="1085">
        <f>SUMIFS('Degrémont sortie'!$AM$14:$AM$379,'Degrémont sortie'!$AM$14:$AM$379,"&lt;&gt;0",'Degrémont sortie'!$A$14:$A$379,"&gt;="&amp;B155,'Degrémont sortie'!$A$14:$A$379,"&lt;="&amp;EOMONTH(B155,0))</f>
        <v>0</v>
      </c>
      <c r="Z164" s="1069">
        <f t="shared" si="68"/>
        <v>0</v>
      </c>
      <c r="AA164" s="1069" t="e">
        <f ca="1">MINIFS('Degrémont sortie'!$AM$14:$AM$379,'Degrémont sortie'!$AM$14:$AM$379,"&lt;&gt;0",'Degrémont sortie'!$A$14:$A$379,"&gt;="&amp;B155,'Degrémont sortie'!$A$14:$A$379,"&lt;="&amp;EOMONTH(B155,0))</f>
        <v>#NAME?</v>
      </c>
      <c r="AB164" s="1069" t="e">
        <f ca="1">MAXIFS('Degrémont sortie'!$AM$14:$AM$379,'Degrémont sortie'!$AM$14:$AM$379,"&lt;&gt;0",'Degrémont sortie'!$A$14:$A$379,"&gt;="&amp;B155,'Degrémont sortie'!$A$14:$A$379,"&lt;="&amp;EOMONTH(B155,0))</f>
        <v>#NAME?</v>
      </c>
      <c r="AC164" s="1142">
        <f>COUNTIFS('Degrémont sortie'!$AM$14:$AM$379,"&gt;="&amp;W164,'Degrémont sortie'!$A$14:$A$379,"&gt;="&amp;B155,'Degrémont sortie'!$A$14:$A$379,"&lt;="&amp;EOMONTH(B155,0))</f>
        <v>0</v>
      </c>
      <c r="AD164" s="1087" t="e">
        <f t="shared" si="69"/>
        <v>#DIV/0!</v>
      </c>
      <c r="AE164" s="1132"/>
      <c r="AF164" s="1105"/>
      <c r="AG164" s="1106"/>
      <c r="AH164" s="1106"/>
      <c r="AI164" s="1106"/>
      <c r="AJ164" s="1106"/>
      <c r="AK164" s="1132"/>
      <c r="AL164" s="1105"/>
      <c r="AM164" s="1106"/>
      <c r="AN164" s="1106"/>
      <c r="AO164" s="1106"/>
      <c r="AP164" s="1106"/>
      <c r="AQ164" s="1132"/>
      <c r="AR164" s="1148"/>
      <c r="AS164" s="1105"/>
      <c r="AT164" s="1106"/>
      <c r="AU164" s="1106"/>
      <c r="AV164" s="1106"/>
      <c r="AW164" s="1138"/>
      <c r="AX164" s="1120"/>
      <c r="AY164" s="1094"/>
      <c r="AZ164" s="1095" t="e">
        <f t="shared" si="67"/>
        <v>#REF!</v>
      </c>
      <c r="BA164" s="2"/>
    </row>
    <row r="165" spans="1:53" ht="15.75" hidden="1" customHeight="1" outlineLevel="1">
      <c r="A165" s="1027"/>
      <c r="B165" s="1096"/>
      <c r="C165" s="1121" t="s">
        <v>20</v>
      </c>
      <c r="D165" s="1122">
        <f>Parametres!$D$15</f>
        <v>0.1</v>
      </c>
      <c r="E165" s="1068" t="e">
        <f>COUNTIFS(#REF!,"&gt;0",#REF!,"&gt;="&amp;B155,#REF!,"&lt;="&amp;EOMONTH(B155,0))</f>
        <v>#REF!</v>
      </c>
      <c r="F165" s="1069" t="e">
        <f>SUMIFS(#REF!,#REF!,"&lt;&gt;0",#REF!,"&gt;="&amp;B155,#REF!,"&lt;="&amp;EOMONTH(B155,0))</f>
        <v>#REF!</v>
      </c>
      <c r="G165" s="1098" t="e">
        <f t="shared" si="65"/>
        <v>#REF!</v>
      </c>
      <c r="H165" s="1070" t="e">
        <f ca="1">MINIFS(#REF!,#REF!,"&lt;&gt;0",#REF!,"&gt;="&amp;B155,#REF!,"&lt;="&amp;EOMONTH(B155,0))</f>
        <v>#NAME?</v>
      </c>
      <c r="I165" s="1078" t="e">
        <f ca="1">MAXIFS(#REF!,#REF!,"&lt;&gt;0",#REF!,"&gt;="&amp;B155,#REF!,"&lt;="&amp;EOMONTH(B155,0))</f>
        <v>#NAME?</v>
      </c>
      <c r="J165" s="1072" t="e">
        <f>COUNTIFS(#REF!,"&gt;="&amp;D165,#REF!,"&gt;="&amp;B155,#REF!,"&lt;="&amp;EOMONTH(B155,0))</f>
        <v>#REF!</v>
      </c>
      <c r="K165" s="1341" t="e">
        <f t="shared" si="66"/>
        <v>#REF!</v>
      </c>
      <c r="L165" s="1115"/>
      <c r="M165" s="1082"/>
      <c r="N165" s="1129"/>
      <c r="O165" s="1129"/>
      <c r="P165" s="1069"/>
      <c r="Q165" s="1069"/>
      <c r="R165" s="1069"/>
      <c r="S165" s="1069"/>
      <c r="T165" s="1143"/>
      <c r="U165" s="1143"/>
      <c r="V165" s="1132"/>
      <c r="W165" s="1129"/>
      <c r="X165" s="1129"/>
      <c r="Y165" s="1069"/>
      <c r="Z165" s="1069"/>
      <c r="AA165" s="1069"/>
      <c r="AB165" s="1069"/>
      <c r="AC165" s="1130"/>
      <c r="AD165" s="1131"/>
      <c r="AE165" s="1132"/>
      <c r="AF165" s="1105"/>
      <c r="AG165" s="1106"/>
      <c r="AH165" s="1106"/>
      <c r="AI165" s="1106"/>
      <c r="AJ165" s="1106"/>
      <c r="AK165" s="1132"/>
      <c r="AL165" s="1105"/>
      <c r="AM165" s="1106"/>
      <c r="AN165" s="1106"/>
      <c r="AO165" s="1106"/>
      <c r="AP165" s="1106"/>
      <c r="AQ165" s="1132"/>
      <c r="AR165" s="1148"/>
      <c r="AS165" s="1105"/>
      <c r="AT165" s="1106"/>
      <c r="AU165" s="1106"/>
      <c r="AV165" s="1106"/>
      <c r="AW165" s="1119"/>
      <c r="AX165" s="1120"/>
      <c r="AY165" s="1094"/>
      <c r="AZ165" s="1095" t="e">
        <f t="shared" si="67"/>
        <v>#REF!</v>
      </c>
      <c r="BA165" s="2"/>
    </row>
    <row r="166" spans="1:53" ht="15.75" hidden="1" customHeight="1" outlineLevel="1">
      <c r="A166" s="1027"/>
      <c r="B166" s="1096"/>
      <c r="C166" s="1121" t="s">
        <v>14</v>
      </c>
      <c r="D166" s="1122">
        <f>Parametres!$D$16</f>
        <v>10000000</v>
      </c>
      <c r="E166" s="1068" t="e">
        <f>COUNTIFS(#REF!,"&gt;0",#REF!,"&gt;="&amp;B155,#REF!,"&lt;="&amp;EOMONTH(B155,0))</f>
        <v>#REF!</v>
      </c>
      <c r="F166" s="1069" t="e">
        <f>SUMIFS(#REF!,#REF!,"&lt;&gt;0",#REF!,"&gt;="&amp;B155,#REF!,"&lt;="&amp;EOMONTH(B155,0))</f>
        <v>#REF!</v>
      </c>
      <c r="G166" s="1098" t="e">
        <f t="shared" si="65"/>
        <v>#REF!</v>
      </c>
      <c r="H166" s="1070" t="e">
        <f ca="1">MINIFS(#REF!,#REF!,"&lt;&gt;0",#REF!,"&gt;="&amp;B155,#REF!,"&lt;="&amp;EOMONTH(B155,0))</f>
        <v>#NAME?</v>
      </c>
      <c r="I166" s="1078" t="e">
        <f ca="1">MAXIFS(#REF!,#REF!,"&lt;&gt;0",#REF!,"&gt;="&amp;B155,#REF!,"&lt;="&amp;EOMONTH(B155,0))</f>
        <v>#NAME?</v>
      </c>
      <c r="J166" s="1072" t="e">
        <f>COUNTIFS(#REF!,"&gt;="&amp;D166,#REF!,"&gt;="&amp;B155,#REF!,"&lt;="&amp;EOMONTH(B155,0))</f>
        <v>#REF!</v>
      </c>
      <c r="K166" s="1341" t="e">
        <f t="shared" si="66"/>
        <v>#REF!</v>
      </c>
      <c r="L166" s="1115"/>
      <c r="M166" s="1082"/>
      <c r="N166" s="1129"/>
      <c r="O166" s="1129"/>
      <c r="P166" s="1069"/>
      <c r="Q166" s="1069"/>
      <c r="R166" s="1069"/>
      <c r="S166" s="1069"/>
      <c r="T166" s="1143"/>
      <c r="U166" s="1143"/>
      <c r="V166" s="1132"/>
      <c r="W166" s="1129"/>
      <c r="X166" s="1129"/>
      <c r="Y166" s="1069"/>
      <c r="Z166" s="1069"/>
      <c r="AA166" s="1069"/>
      <c r="AB166" s="1069"/>
      <c r="AC166" s="1130"/>
      <c r="AD166" s="1131"/>
      <c r="AE166" s="1132"/>
      <c r="AF166" s="1105"/>
      <c r="AG166" s="1106"/>
      <c r="AH166" s="1106"/>
      <c r="AI166" s="1106"/>
      <c r="AJ166" s="1106"/>
      <c r="AK166" s="1082"/>
      <c r="AL166" s="1136"/>
      <c r="AM166" s="1137"/>
      <c r="AN166" s="1137"/>
      <c r="AO166" s="1137"/>
      <c r="AP166" s="1137"/>
      <c r="AQ166" s="1082"/>
      <c r="AR166" s="1118"/>
      <c r="AS166" s="1105"/>
      <c r="AT166" s="1106"/>
      <c r="AU166" s="1106"/>
      <c r="AV166" s="1106"/>
      <c r="AW166" s="1138"/>
      <c r="AX166" s="1120"/>
      <c r="AY166" s="1094"/>
      <c r="AZ166" s="1095" t="e">
        <f t="shared" si="67"/>
        <v>#REF!</v>
      </c>
      <c r="BA166" s="2"/>
    </row>
    <row r="167" spans="1:53" ht="15.75" hidden="1" customHeight="1" outlineLevel="1">
      <c r="A167" s="1027"/>
      <c r="B167" s="1096"/>
      <c r="C167" s="1139" t="s">
        <v>284</v>
      </c>
      <c r="D167" s="1122">
        <f>Parametres!$D$17</f>
        <v>450</v>
      </c>
      <c r="E167" s="1068" t="e">
        <f>COUNTIFS(#REF!,"&gt;0",#REF!,"&gt;="&amp;B155,#REF!,"&lt;="&amp;EOMONTH(B155,0))</f>
        <v>#REF!</v>
      </c>
      <c r="F167" s="1069" t="e">
        <f>SUMIFS(#REF!,#REF!,"&lt;&gt;0",#REF!,"&gt;="&amp;B155,#REF!,"&lt;="&amp;EOMONTH(B155,0))</f>
        <v>#REF!</v>
      </c>
      <c r="G167" s="1069" t="e">
        <f t="shared" si="65"/>
        <v>#REF!</v>
      </c>
      <c r="H167" s="1070" t="e">
        <f ca="1">MINIFS(#REF!,#REF!,"&lt;&gt;0",#REF!,"&gt;="&amp;B155,#REF!,"&lt;="&amp;EOMONTH(B155,0))</f>
        <v>#NAME?</v>
      </c>
      <c r="I167" s="1078" t="e">
        <f ca="1">MAXIFS(#REF!,#REF!,"&lt;&gt;0",#REF!,"&gt;="&amp;B155,#REF!,"&lt;="&amp;EOMONTH(B155,0))</f>
        <v>#NAME?</v>
      </c>
      <c r="J167" s="1114" t="e">
        <f>COUNTIFS(#REF!,"&gt;="&amp;D167,#REF!,"&gt;="&amp;B155,#REF!,"&lt;="&amp;EOMONTH(B155,0))</f>
        <v>#REF!</v>
      </c>
      <c r="K167" s="1341" t="e">
        <f t="shared" si="66"/>
        <v>#REF!</v>
      </c>
      <c r="L167" s="1115"/>
      <c r="M167" s="1082"/>
      <c r="N167" s="1171"/>
      <c r="O167" s="1171"/>
      <c r="P167" s="1173"/>
      <c r="Q167" s="1173"/>
      <c r="R167" s="1173"/>
      <c r="S167" s="1173"/>
      <c r="T167" s="1175"/>
      <c r="U167" s="1175"/>
      <c r="V167" s="1177"/>
      <c r="W167" s="1129"/>
      <c r="X167" s="1129"/>
      <c r="Y167" s="1069"/>
      <c r="Z167" s="1069"/>
      <c r="AA167" s="1069"/>
      <c r="AB167" s="1069"/>
      <c r="AC167" s="1130"/>
      <c r="AD167" s="1131"/>
      <c r="AE167" s="1082"/>
      <c r="AF167" s="1105"/>
      <c r="AG167" s="1106"/>
      <c r="AH167" s="1106"/>
      <c r="AI167" s="1106"/>
      <c r="AJ167" s="1106"/>
      <c r="AK167" s="1132"/>
      <c r="AL167" s="1105"/>
      <c r="AM167" s="1106"/>
      <c r="AN167" s="1106"/>
      <c r="AO167" s="1106"/>
      <c r="AP167" s="1119"/>
      <c r="AQ167" s="1132"/>
      <c r="AR167" s="1148"/>
      <c r="AS167" s="1105"/>
      <c r="AT167" s="1106"/>
      <c r="AU167" s="1106"/>
      <c r="AV167" s="1106"/>
      <c r="AW167" s="1119"/>
      <c r="AX167" s="1120"/>
      <c r="AY167" s="1094"/>
      <c r="AZ167" s="1095" t="e">
        <f t="shared" si="67"/>
        <v>#REF!</v>
      </c>
      <c r="BA167" s="2"/>
    </row>
    <row r="168" spans="1:53" ht="15.75" hidden="1" customHeight="1" outlineLevel="1">
      <c r="A168" s="1027"/>
      <c r="B168" s="1096"/>
      <c r="C168" s="1182" t="s">
        <v>35</v>
      </c>
      <c r="D168" s="1122">
        <f>Parametres!$D$18</f>
        <v>1750</v>
      </c>
      <c r="E168" s="1068" t="e">
        <f>COUNTIFS(#REF!,"&gt;0",#REF!,"&gt;="&amp;B155,#REF!,"&lt;="&amp;EOMONTH(B155,0))</f>
        <v>#REF!</v>
      </c>
      <c r="F168" s="1069" t="e">
        <f>SUMIFS(#REF!,#REF!,"&lt;&gt;0",#REF!,"&gt;="&amp;B155,#REF!,"&lt;="&amp;EOMONTH(B155,0))</f>
        <v>#REF!</v>
      </c>
      <c r="G168" s="1069" t="e">
        <f t="shared" si="65"/>
        <v>#REF!</v>
      </c>
      <c r="H168" s="1070" t="e">
        <f ca="1">MINIFS(#REF!,#REF!,"&lt;&gt;0",#REF!,"&gt;="&amp;B155,#REF!,"&lt;="&amp;EOMONTH(B155,0))</f>
        <v>#NAME?</v>
      </c>
      <c r="I168" s="1078" t="e">
        <f ca="1">MAXIFS(#REF!,#REF!,"&lt;&gt;0",#REF!,"&gt;="&amp;B155,#REF!,"&lt;="&amp;EOMONTH(B155,0))</f>
        <v>#NAME?</v>
      </c>
      <c r="J168" s="1114" t="e">
        <f>COUNTIFS(#REF!,"&gt;="&amp;D168,#REF!,"&gt;="&amp;B155,#REF!,"&lt;="&amp;EOMONTH(B155,0))</f>
        <v>#REF!</v>
      </c>
      <c r="K168" s="1341" t="e">
        <f t="shared" si="66"/>
        <v>#REF!</v>
      </c>
      <c r="L168" s="1115"/>
      <c r="M168" s="1082"/>
      <c r="N168" s="1144">
        <f>Parametres!$L$18</f>
        <v>5000</v>
      </c>
      <c r="O168" s="1077">
        <f>COUNTIFS('Degrémont Entrée'!$K$14:$K$379,"&gt;0",'Degrémont Entrée'!$A$14:$A$379,"&gt;="&amp;B155,'Degrémont Entrée'!$A$14:$A$379,"&lt;="&amp;EOMONTH(B155,0))</f>
        <v>0</v>
      </c>
      <c r="P168" s="1078">
        <f>SUMIFS('Degrémont Entrée'!$K$14:$K$379,'Degrémont Entrée'!$K$14:$K$379,"&lt;&gt;0",'Degrémont Entrée'!$A$14:$A$379,"&gt;="&amp;B155,'Degrémont Entrée'!$A$14:$A$379,"&lt;="&amp;EOMONTH(B155,0))</f>
        <v>0</v>
      </c>
      <c r="Q168" s="1078">
        <f t="shared" ref="Q168:Q170" si="70">IF(O168=0,0,P168/O168)</f>
        <v>0</v>
      </c>
      <c r="R168" s="1078" t="e">
        <f ca="1">MINIFS('Degrémont Entrée'!$K$14:$K$379,'Degrémont Entrée'!$K$14:$K$379,"&lt;&gt;0",'Degrémont Entrée'!$A$14:$A$379,"&gt;="&amp;B155,'Degrémont Entrée'!$A$14:$A$379,"&lt;="&amp;EOMONTH(B155,0))</f>
        <v>#NAME?</v>
      </c>
      <c r="S168" s="1078" t="e">
        <f ca="1">MAXIFS('Degrémont Entrée'!$K$14:$K$379,'Degrémont Entrée'!$K$14:$K$379,"&lt;&gt;0",'Degrémont Entrée'!$A$14:$A$379,"&gt;="&amp;B155,'Degrémont Entrée'!$A$14:$A$379,"&lt;="&amp;EOMONTH(B155,0))</f>
        <v>#NAME?</v>
      </c>
      <c r="T168" s="1080">
        <f>COUNTIFS('Degrémont Entrée'!$K$14:$K$379,"&gt;="&amp;N168,'Degrémont Entrée'!$A$14:$A$379,"&gt;="&amp;B155,'Degrémont Entrée'!$A$14:$A$379,"&lt;="&amp;EOMONTH(B155,0))</f>
        <v>0</v>
      </c>
      <c r="U168" s="1081" t="e">
        <f>T168/O168</f>
        <v>#DIV/0!</v>
      </c>
      <c r="V168" s="1082"/>
      <c r="W168" s="1083">
        <f>Parametres!$T$18</f>
        <v>2000</v>
      </c>
      <c r="X168" s="1142">
        <f>COUNTIFS('Degrémont sortie'!$I$14:$I$379,"&gt;0",'Degrémont sortie'!$A$14:$A$379,"&gt;="&amp;B155,'Degrémont sortie'!$A$14:$A$379,"&lt;="&amp;EOMONTH(B155,0))</f>
        <v>0</v>
      </c>
      <c r="Y168" s="1085">
        <f>SUMIFS('Degrémont sortie'!$I$14:$I$379,'Degrémont sortie'!$I$14:$I$379,"&lt;&gt;0",'Degrémont sortie'!$A$14:$A$379,"&gt;="&amp;B155,'Degrémont sortie'!$A$14:$A$379,"&lt;="&amp;EOMONTH(B155,0))</f>
        <v>0</v>
      </c>
      <c r="Z168" s="1069">
        <f>IF(X168=0,0,Y168/X168)</f>
        <v>0</v>
      </c>
      <c r="AA168" s="1069" t="e">
        <f ca="1">MINIFS('Degrémont sortie'!$I$14:$I$379,'Degrémont sortie'!$I$14:$I$379,"&lt;&gt;0",'Degrémont sortie'!$A$14:$A$379,"&gt;="&amp;B155,'Degrémont sortie'!$A$14:$A$379,"&lt;="&amp;EOMONTH(B155,0))</f>
        <v>#NAME?</v>
      </c>
      <c r="AB168" s="1069" t="e">
        <f ca="1">MAXIFS('Degrémont sortie'!$I$14:$I$379,'Degrémont sortie'!$I$14:$I$379,"&lt;&gt;0",'Degrémont sortie'!$A$14:$A$379,"&gt;="&amp;B155,'Degrémont sortie'!$A$14:$A$379,"&lt;="&amp;EOMONTH(B155,0))</f>
        <v>#NAME?</v>
      </c>
      <c r="AC168" s="1142">
        <f>COUNTIFS('Degrémont sortie'!$I$14:$I$379,"&gt;="&amp;W168,'Degrémont sortie'!$A$14:$A$379,"&gt;="&amp;B155,'Degrémont sortie'!$A$14:$A$379,"&lt;="&amp;EOMONTH(B155,0))</f>
        <v>0</v>
      </c>
      <c r="AD168" s="1087" t="e">
        <f>AC168/X168</f>
        <v>#DIV/0!</v>
      </c>
      <c r="AE168" s="1082"/>
      <c r="AF168" s="1205" t="e">
        <f>COUNTIFS(#REF!,"&gt;0",#REF!,"&gt;="&amp;B155,#REF!,"&lt;="&amp;EOMONTH(B155,0))</f>
        <v>#REF!</v>
      </c>
      <c r="AG168" s="1208" t="e">
        <f>SUMIFS(#REF!,#REF!,"&lt;&gt;0",#REF!,"&gt;="&amp;B155,#REF!,"&lt;="&amp;EOMONTH(B155,0))</f>
        <v>#REF!</v>
      </c>
      <c r="AH168" s="1208" t="e">
        <f>IF(AF168=0,0,AG168/AF168)</f>
        <v>#REF!</v>
      </c>
      <c r="AI168" s="1208" t="e">
        <f ca="1">MINIFS(#REF!,#REF!,"&lt;&gt;0",#REF!,"&gt;="&amp;B155,#REF!,"&lt;="&amp;EOMONTH(B155,0))</f>
        <v>#NAME?</v>
      </c>
      <c r="AJ168" s="1211" t="e">
        <f ca="1">MAXIFS(#REF!,#REF!,"&lt;&gt;0",#REF!,"&gt;="&amp;B155,#REF!,"&lt;="&amp;EOMONTH(B155,0))</f>
        <v>#NAME?</v>
      </c>
      <c r="AK168" s="1132"/>
      <c r="AL168" s="1205" t="e">
        <f>COUNTIFS(#REF!,"&gt;0",#REF!,"&gt;="&amp;B155,#REF!,"&lt;="&amp;EOMONTH(B155,0))</f>
        <v>#REF!</v>
      </c>
      <c r="AM168" s="1208" t="e">
        <f>SUMIFS(#REF!,#REF!,"&lt;&gt;0",#REF!,"&gt;="&amp;B155,#REF!,"&lt;="&amp;EOMONTH(B155,0))</f>
        <v>#REF!</v>
      </c>
      <c r="AN168" s="1208" t="e">
        <f>IF(AL168=0,0,AM168/AL168)</f>
        <v>#REF!</v>
      </c>
      <c r="AO168" s="1208" t="e">
        <f ca="1">MINIFS(#REF!,#REF!,"&lt;&gt;0",#REF!,"&gt;="&amp;B155,#REF!,"&lt;="&amp;EOMONTH(B155,0))</f>
        <v>#NAME?</v>
      </c>
      <c r="AP168" s="1218" t="e">
        <f ca="1">MAXIFS(#REF!,#REF!,"&lt;&gt;0",#REF!,"&gt;="&amp;B155,#REF!,"&lt;="&amp;EOMONTH(B155,0))</f>
        <v>#NAME?</v>
      </c>
      <c r="AQ168" s="1132"/>
      <c r="AR168" s="1220">
        <f>Parametres!$AM$18</f>
        <v>17000</v>
      </c>
      <c r="AS168" s="1205" t="e">
        <f>COUNTIFS(#REF!,"&gt;0",#REF!,"&gt;="&amp;B155,#REF!,"&lt;="&amp;EOMONTH(B155,0))</f>
        <v>#REF!</v>
      </c>
      <c r="AT168" s="1208" t="e">
        <f>SUMIFS(#REF!,#REF!,"&lt;&gt;0",#REF!,"&gt;="&amp;B155,#REF!,"&lt;="&amp;EOMONTH(B155,0))</f>
        <v>#REF!</v>
      </c>
      <c r="AU168" s="1208" t="e">
        <f>IF(AS168=0,0,AT168/AS168)</f>
        <v>#REF!</v>
      </c>
      <c r="AV168" s="1208" t="e">
        <f ca="1">MINIFS(#REF!,#REF!,"&lt;&gt;0",#REF!,"&gt;="&amp;B155,#REF!,"&lt;="&amp;EOMONTH(B155,0))</f>
        <v>#NAME?</v>
      </c>
      <c r="AW168" s="1222" t="e">
        <f ca="1">MAXIFS(#REF!,#REF!,"&lt;&gt;0",#REF!,"&gt;="&amp;B155,#REF!,"&lt;="&amp;EOMONTH(B155,0))</f>
        <v>#NAME?</v>
      </c>
      <c r="AX168" s="1223" t="e">
        <f>COUNTIFS(#REF!,"&gt;="&amp;AR168,#REF!,"&gt;="&amp;B155,#REF!,"&lt;="&amp;EOMONTH(B155,0))</f>
        <v>#REF!</v>
      </c>
      <c r="AY168" s="1224" t="e">
        <f>AX168/AS168</f>
        <v>#REF!</v>
      </c>
      <c r="AZ168" s="1095" t="e">
        <f t="shared" si="67"/>
        <v>#REF!</v>
      </c>
      <c r="BA168" s="2"/>
    </row>
    <row r="169" spans="1:53" ht="15.75" hidden="1" customHeight="1" outlineLevel="1">
      <c r="A169" s="1027"/>
      <c r="B169" s="1096"/>
      <c r="C169" s="1139" t="s">
        <v>36</v>
      </c>
      <c r="D169" s="1122">
        <f>Parametres!$D$19</f>
        <v>100000</v>
      </c>
      <c r="E169" s="1068" t="e">
        <f>COUNTIFS(#REF!,"&gt;0",#REF!,"&gt;="&amp;B155,#REF!,"&lt;="&amp;EOMONTH(B155,0))</f>
        <v>#REF!</v>
      </c>
      <c r="F169" s="1069" t="e">
        <f>SUMIFS(#REF!,#REF!,"&lt;&gt;0",#REF!,"&gt;="&amp;B155,#REF!,"&lt;="&amp;EOMONTH(B155,0))</f>
        <v>#REF!</v>
      </c>
      <c r="G169" s="1069" t="e">
        <f t="shared" si="65"/>
        <v>#REF!</v>
      </c>
      <c r="H169" s="1070" t="e">
        <f ca="1">MINIFS(#REF!,#REF!,"&lt;&gt;0",#REF!,"&gt;="&amp;B155,#REF!,"&lt;="&amp;EOMONTH(B155,0))</f>
        <v>#NAME?</v>
      </c>
      <c r="I169" s="1078" t="e">
        <f ca="1">MAXIFS(#REF!,#REF!,"&lt;&gt;0",#REF!,"&gt;="&amp;B155,#REF!,"&lt;="&amp;EOMONTH(B155,0))</f>
        <v>#NAME?</v>
      </c>
      <c r="J169" s="1072" t="s">
        <v>153</v>
      </c>
      <c r="K169" s="1072" t="s">
        <v>153</v>
      </c>
      <c r="L169" s="1115"/>
      <c r="M169" s="1082"/>
      <c r="N169" s="1144">
        <f>Parametres!$L$19</f>
        <v>100000</v>
      </c>
      <c r="O169" s="1077">
        <f>COUNTIFS('Degrémont Entrée'!$O$14:$O$379,"&gt;0",'Degrémont Entrée'!$A$14:$A$379,"&gt;="&amp;B155,'Degrémont Entrée'!$A$14:$A$379,"&lt;="&amp;EOMONTH(B155,0))</f>
        <v>0</v>
      </c>
      <c r="P169" s="1078">
        <f>SUMIFS('Degrémont Entrée'!$O$14:$O$379,'Degrémont Entrée'!$O$14:$O$379,"&lt;&gt;0",'Degrémont Entrée'!$A$14:$A$379,"&gt;="&amp;B155,'Degrémont Entrée'!$A$14:$A$379,"&lt;="&amp;EOMONTH(B155,0))</f>
        <v>0</v>
      </c>
      <c r="Q169" s="1078">
        <f t="shared" si="70"/>
        <v>0</v>
      </c>
      <c r="R169" s="1173" t="e">
        <f ca="1">MINIFS('Degrémont Entrée'!$O$14:$O$379,'Degrémont Entrée'!$O$14:$O$379,"&lt;&gt;0",'Degrémont Entrée'!$A$14:$A$379,"&gt;="&amp;B155,'Degrémont Entrée'!$A$14:$A$379,"&lt;="&amp;EOMONTH(B155,0))</f>
        <v>#NAME?</v>
      </c>
      <c r="S169" s="1227" t="e">
        <f ca="1">MAXIFS('Degrémont Entrée'!$O$14:$O$379,'Degrémont Entrée'!$O$14:$O$379,"&lt;&gt;0",'Degrémont Entrée'!$A$14:$A$379,"&gt;="&amp;B155,'Degrémont Entrée'!$A$14:$A$379,"&lt;="&amp;EOMONTH(B155,0))</f>
        <v>#NAME?</v>
      </c>
      <c r="T169" s="1228" t="s">
        <v>153</v>
      </c>
      <c r="U169" s="1228" t="s">
        <v>153</v>
      </c>
      <c r="V169" s="1177"/>
      <c r="W169" s="1129"/>
      <c r="X169" s="1129"/>
      <c r="Y169" s="1069"/>
      <c r="Z169" s="1069"/>
      <c r="AA169" s="1069"/>
      <c r="AB169" s="1069"/>
      <c r="AC169" s="1130"/>
      <c r="AD169" s="1131"/>
      <c r="AE169" s="1082"/>
      <c r="AF169" s="1106"/>
      <c r="AG169" s="1106"/>
      <c r="AH169" s="1106"/>
      <c r="AI169" s="1106"/>
      <c r="AJ169" s="1106"/>
      <c r="AK169" s="1132"/>
      <c r="AL169" s="1106"/>
      <c r="AM169" s="1106"/>
      <c r="AN169" s="1106"/>
      <c r="AO169" s="1106"/>
      <c r="AP169" s="1119"/>
      <c r="AQ169" s="1132"/>
      <c r="AR169" s="1106"/>
      <c r="AS169" s="1106"/>
      <c r="AT169" s="1106"/>
      <c r="AU169" s="1106"/>
      <c r="AV169" s="1106"/>
      <c r="AW169" s="1119"/>
      <c r="AX169" s="1120"/>
      <c r="AY169" s="1094"/>
      <c r="AZ169" s="1095" t="e">
        <f t="shared" si="67"/>
        <v>#REF!</v>
      </c>
      <c r="BA169" s="2"/>
    </row>
    <row r="170" spans="1:53" ht="15.75" hidden="1" customHeight="1" outlineLevel="1">
      <c r="A170" s="1027"/>
      <c r="B170" s="1096"/>
      <c r="C170" s="1139" t="s">
        <v>32</v>
      </c>
      <c r="D170" s="1122">
        <f>Parametres!$D$20</f>
        <v>4800</v>
      </c>
      <c r="E170" s="1068" t="e">
        <f>COUNTIFS(#REF!,"&gt;0",#REF!,"&gt;="&amp;B155,#REF!,"&lt;="&amp;EOMONTH(B155,0))</f>
        <v>#REF!</v>
      </c>
      <c r="F170" s="1069" t="e">
        <f>SUMIFS(#REF!,#REF!,"&lt;&gt;0",#REF!,"&gt;="&amp;B155,#REF!,"&lt;="&amp;EOMONTH(B155,0))</f>
        <v>#REF!</v>
      </c>
      <c r="G170" s="1069" t="e">
        <f t="shared" si="65"/>
        <v>#REF!</v>
      </c>
      <c r="H170" s="1070" t="e">
        <f ca="1">MINIFS(#REF!,#REF!,"&lt;&gt;0",#REF!,"&gt;="&amp;B155,#REF!,"&lt;="&amp;EOMONTH(B155,0))</f>
        <v>#NAME?</v>
      </c>
      <c r="I170" s="1078" t="e">
        <f ca="1">MAXIFS(#REF!,#REF!,"&lt;&gt;0",#REF!,"&gt;="&amp;B155,#REF!,"&lt;="&amp;EOMONTH(B155,0))</f>
        <v>#NAME?</v>
      </c>
      <c r="J170" s="1072" t="e">
        <f>COUNTIFS(#REF!,"&gt;="&amp;D170,#REF!,"&gt;="&amp;B155,#REF!,"&lt;="&amp;EOMONTH(B155,0))</f>
        <v>#REF!</v>
      </c>
      <c r="K170" s="1341" t="e">
        <f t="shared" ref="K170:K171" si="71">J170/E170</f>
        <v>#REF!</v>
      </c>
      <c r="L170" s="1115"/>
      <c r="M170" s="1082"/>
      <c r="N170" s="1144">
        <f>Parametres!$L$20</f>
        <v>1000</v>
      </c>
      <c r="O170" s="1077">
        <f>COUNTIFS('Degrémont Entrée'!$B$14:$B$379,"&gt;0",'Degrémont Entrée'!$A$14:$A$379,"&gt;="&amp;B155,'Degrémont Entrée'!$A$14:$A$379,"&lt;="&amp;EOMONTH(B155,0))</f>
        <v>0</v>
      </c>
      <c r="P170" s="1078">
        <f>SUMIFS('Degrémont Entrée'!$B$14:$B$379,'Degrémont Entrée'!$B$14:$B$379,"&lt;&gt;0",'Degrémont Entrée'!$A$14:$A$379,"&gt;="&amp;B155,'Degrémont Entrée'!$A$14:$A$379,"&lt;="&amp;EOMONTH(B155,0))</f>
        <v>0</v>
      </c>
      <c r="Q170" s="1078">
        <f t="shared" si="70"/>
        <v>0</v>
      </c>
      <c r="R170" s="1173" t="e">
        <f ca="1">MINIFS('Degrémont Entrée'!$B$14:$B$379,'Degrémont Entrée'!$B$14:$B$379,"&lt;&gt;0",'Degrémont Entrée'!$A$14:$A$379,"&gt;="&amp;B155,'Degrémont Entrée'!$A$14:$A$379,"&lt;="&amp;EOMONTH(B155,0))</f>
        <v>#NAME?</v>
      </c>
      <c r="S170" s="1078" t="e">
        <f ca="1">MAXIFS('Degrémont Entrée'!$B$14:$B$379,'Degrémont Entrée'!$B$14:$B$379,"&lt;&gt;0",'Degrémont Entrée'!$A$14:$A$379,"&gt;="&amp;B155,'Degrémont Entrée'!$A$14:$A$379,"&lt;="&amp;EOMONTH(B155,0))</f>
        <v>#NAME?</v>
      </c>
      <c r="T170" s="1236">
        <f>COUNTIFS('Degrémont Entrée'!$B$14:$B$379,"&gt;="&amp;N170,'Degrémont Entrée'!$A$14:$A$379,"&gt;="&amp;B155,'Degrémont Entrée'!$A$14:$A$379,"&lt;="&amp;EOMONTH(B155,0))</f>
        <v>0</v>
      </c>
      <c r="U170" s="1081" t="e">
        <f>T170/O170</f>
        <v>#DIV/0!</v>
      </c>
      <c r="V170" s="1177"/>
      <c r="W170" s="1083">
        <f>Parametres!$T$20</f>
        <v>1000</v>
      </c>
      <c r="X170" s="1142">
        <f>COUNTIFS('Degrémont sortie'!$B$14:$B$379,"&gt;0",'Degrémont sortie'!$A$14:$A$379,"&gt;="&amp;B155,'Degrémont sortie'!$A$14:$A$379,"&lt;="&amp;EOMONTH(B155,0))</f>
        <v>0</v>
      </c>
      <c r="Y170" s="1085">
        <f>SUMIFS('Degrémont sortie'!$B$14:$B$379,'Degrémont sortie'!$B$14:$B$379,"&lt;&gt;0",'Degrémont sortie'!$A$14:$A$379,"&gt;="&amp;B155,'Degrémont sortie'!$A$14:$A$379,"&lt;="&amp;EOMONTH(B155,0))</f>
        <v>0</v>
      </c>
      <c r="Z170" s="1069">
        <f>IF(X170=0,0,Y170/X170)</f>
        <v>0</v>
      </c>
      <c r="AA170" s="1069" t="e">
        <f ca="1">MINIFS('Degrémont sortie'!$B$14:$B$379,'Degrémont sortie'!$B$14:$B$379,"&lt;&gt;0",'Degrémont sortie'!$A$14:$A$379,"&gt;="&amp;B155,'Degrémont sortie'!$A$14:$A$379,"&lt;="&amp;EOMONTH(B155,0))</f>
        <v>#NAME?</v>
      </c>
      <c r="AB170" s="1069" t="e">
        <f ca="1">MAXIFS('Degrémont sortie'!$B$14:$B$379,'Degrémont sortie'!$B$14:$B$379,"&lt;&gt;0",'Degrémont sortie'!$A$14:$A$379,"&gt;="&amp;B155,'Degrémont sortie'!$A$14:$A$379,"&lt;="&amp;EOMONTH(B155,0))</f>
        <v>#NAME?</v>
      </c>
      <c r="AC170" s="1142">
        <f>COUNTIFS('Degrémont sortie'!$B$14:$B$379,"&gt;="&amp;W170,'Degrémont sortie'!$A$14:$A$379,"&gt;="&amp;B155,'Degrémont sortie'!$A$14:$A$379,"&lt;="&amp;EOMONTH(B155,0))</f>
        <v>0</v>
      </c>
      <c r="AD170" s="1087" t="e">
        <f>AC170/X170</f>
        <v>#DIV/0!</v>
      </c>
      <c r="AE170" s="1082"/>
      <c r="AF170" s="1205" t="e">
        <f>COUNTIFS(#REF!,"&gt;0",#REF!,"&gt;="&amp;B155,#REF!,"&lt;="&amp;EOMONTH(B155,0))</f>
        <v>#REF!</v>
      </c>
      <c r="AG170" s="1208" t="e">
        <f>SUMIFS(#REF!,#REF!,"&lt;&gt;0",#REF!,"&gt;="&amp;B155,#REF!,"&lt;="&amp;EOMONTH(B155,0))</f>
        <v>#REF!</v>
      </c>
      <c r="AH170" s="1208" t="e">
        <f>IF(AF170=0,0,AG170/AF170)</f>
        <v>#REF!</v>
      </c>
      <c r="AI170" s="1208" t="e">
        <f ca="1">MINIFS(#REF!,#REF!,"&lt;&gt;0",#REF!,"&gt;="&amp;B155,#REF!,"&lt;="&amp;EOMONTH(B155,0))</f>
        <v>#NAME?</v>
      </c>
      <c r="AJ170" s="1208" t="e">
        <f ca="1">MAXIFS(#REF!,#REF!,"&lt;&gt;0",#REF!,"&gt;="&amp;B155,#REF!,"&lt;="&amp;EOMONTH(B155,0))</f>
        <v>#NAME?</v>
      </c>
      <c r="AK170" s="1132"/>
      <c r="AL170" s="1106"/>
      <c r="AM170" s="1106"/>
      <c r="AN170" s="1106"/>
      <c r="AO170" s="1106"/>
      <c r="AP170" s="1119"/>
      <c r="AQ170" s="1132"/>
      <c r="AR170" s="1220">
        <f>Parametres!$AM$20</f>
        <v>1000000</v>
      </c>
      <c r="AS170" s="1205" t="e">
        <f>COUNTIFS(#REF!,"&gt;0",#REF!,"&gt;="&amp;B155,#REF!,"&lt;="&amp;EOMONTH(B155,0))</f>
        <v>#REF!</v>
      </c>
      <c r="AT170" s="1208" t="e">
        <f>SUMIFS(#REF!,#REF!,"&lt;&gt;0",#REF!,"&gt;="&amp;B155,#REF!,"&lt;="&amp;EOMONTH(B155,0))</f>
        <v>#REF!</v>
      </c>
      <c r="AU170" s="1208" t="e">
        <f>IF(AS170=0,0,AT170/AS170)</f>
        <v>#REF!</v>
      </c>
      <c r="AV170" s="1208" t="e">
        <f ca="1">MINIFS(#REF!,#REF!,"&lt;&gt;0",#REF!,"&gt;="&amp;B155,#REF!,"&lt;="&amp;EOMONTH(B155,0))</f>
        <v>#NAME?</v>
      </c>
      <c r="AW170" s="1222" t="e">
        <f ca="1">MAXIFS(#REF!,#REF!,"&lt;&gt;0",#REF!,"&gt;="&amp;B155,#REF!,"&lt;="&amp;EOMONTH(B155,0))</f>
        <v>#NAME?</v>
      </c>
      <c r="AX170" s="1243" t="s">
        <v>153</v>
      </c>
      <c r="AY170" s="1224" t="e">
        <f>AX170/AS170</f>
        <v>#VALUE!</v>
      </c>
      <c r="AZ170" s="1095" t="e">
        <f t="shared" si="67"/>
        <v>#REF!</v>
      </c>
      <c r="BA170" s="2"/>
    </row>
    <row r="171" spans="1:53" ht="15.75" hidden="1" customHeight="1" outlineLevel="1">
      <c r="A171" s="1027"/>
      <c r="B171" s="1096"/>
      <c r="C171" s="1121" t="s">
        <v>21</v>
      </c>
      <c r="D171" s="1122">
        <f>Parametres!$D$22</f>
        <v>2</v>
      </c>
      <c r="E171" s="1068" t="e">
        <f>COUNTIFS(#REF!,"&gt;0",#REF!,"&gt;="&amp;B155,#REF!,"&lt;="&amp;EOMONTH(B155,0))</f>
        <v>#REF!</v>
      </c>
      <c r="F171" s="1069" t="e">
        <f>SUMIFS(#REF!,#REF!,"&lt;&gt;0",#REF!,"&gt;="&amp;B155,#REF!,"&lt;="&amp;EOMONTH(B155,0))</f>
        <v>#REF!</v>
      </c>
      <c r="G171" s="1069" t="e">
        <f t="shared" si="65"/>
        <v>#REF!</v>
      </c>
      <c r="H171" s="1070" t="e">
        <f ca="1">MINIFS(#REF!,#REF!,"&lt;&gt;0",#REF!,"&gt;="&amp;B155,#REF!,"&lt;="&amp;EOMONTH(B155,0))</f>
        <v>#NAME?</v>
      </c>
      <c r="I171" s="1078" t="e">
        <f ca="1">MAXIFS(#REF!,#REF!,"&lt;&gt;0",#REF!,"&gt;="&amp;B155,#REF!,"&lt;="&amp;EOMONTH(B155,0))</f>
        <v>#NAME?</v>
      </c>
      <c r="J171" s="1072" t="e">
        <f>COUNTIFS(#REF!,"&gt;="&amp;D171,#REF!,"&gt;="&amp;B155,#REF!,"&lt;="&amp;EOMONTH(B155,0))</f>
        <v>#REF!</v>
      </c>
      <c r="K171" s="1341" t="e">
        <f t="shared" si="71"/>
        <v>#REF!</v>
      </c>
      <c r="L171" s="1115"/>
      <c r="M171" s="1082"/>
      <c r="N171" s="1171"/>
      <c r="O171" s="1171"/>
      <c r="P171" s="1173"/>
      <c r="Q171" s="1173"/>
      <c r="R171" s="1173"/>
      <c r="S171" s="1173"/>
      <c r="T171" s="1175"/>
      <c r="U171" s="1175"/>
      <c r="V171" s="1082"/>
      <c r="W171" s="1106"/>
      <c r="X171" s="1106"/>
      <c r="Y171" s="1069"/>
      <c r="Z171" s="1069"/>
      <c r="AA171" s="1069"/>
      <c r="AB171" s="1069"/>
      <c r="AC171" s="1248"/>
      <c r="AD171" s="1249"/>
      <c r="AE171" s="1082"/>
      <c r="AF171" s="1106"/>
      <c r="AG171" s="1106"/>
      <c r="AH171" s="1106"/>
      <c r="AI171" s="1106"/>
      <c r="AJ171" s="1106"/>
      <c r="AK171" s="1132"/>
      <c r="AL171" s="1106"/>
      <c r="AM171" s="1106"/>
      <c r="AN171" s="1106"/>
      <c r="AO171" s="1106"/>
      <c r="AP171" s="1119"/>
      <c r="AQ171" s="1132"/>
      <c r="AR171" s="1106"/>
      <c r="AS171" s="1106"/>
      <c r="AT171" s="1106"/>
      <c r="AU171" s="1106"/>
      <c r="AV171" s="1106"/>
      <c r="AW171" s="1119"/>
      <c r="AX171" s="1120"/>
      <c r="AY171" s="1094"/>
      <c r="AZ171" s="1095" t="e">
        <f t="shared" si="67"/>
        <v>#REF!</v>
      </c>
      <c r="BA171" s="2"/>
    </row>
    <row r="172" spans="1:53" ht="15.75" hidden="1" customHeight="1" outlineLevel="1">
      <c r="A172" s="1027"/>
      <c r="B172" s="1096"/>
      <c r="C172" s="1121" t="s">
        <v>22</v>
      </c>
      <c r="D172" s="1122">
        <f>Parametres!$D$23</f>
        <v>1000000</v>
      </c>
      <c r="E172" s="1068" t="e">
        <f>COUNTIFS(#REF!,"&gt;0",#REF!,"&gt;="&amp;B155,#REF!,"&lt;="&amp;EOMONTH(B155,0))</f>
        <v>#REF!</v>
      </c>
      <c r="F172" s="1069" t="e">
        <f>SUMIFS(#REF!,#REF!,"&lt;&gt;0",#REF!,"&gt;="&amp;B155,#REF!,"&lt;="&amp;EOMONTH(B155,0))</f>
        <v>#REF!</v>
      </c>
      <c r="G172" s="1069" t="e">
        <f t="shared" si="65"/>
        <v>#REF!</v>
      </c>
      <c r="H172" s="1070" t="e">
        <f ca="1">MINIFS(#REF!,#REF!,"&lt;&gt;0",#REF!,"&gt;="&amp;B155,#REF!,"&lt;="&amp;EOMONTH(B155,0))</f>
        <v>#NAME?</v>
      </c>
      <c r="I172" s="1078" t="e">
        <f ca="1">MAXIFS(#REF!,#REF!,"&lt;&gt;0",#REF!,"&gt;="&amp;B155,#REF!,"&lt;="&amp;EOMONTH(B155,0))</f>
        <v>#NAME?</v>
      </c>
      <c r="J172" s="1072" t="s">
        <v>153</v>
      </c>
      <c r="K172" s="1072" t="s">
        <v>153</v>
      </c>
      <c r="L172" s="1115"/>
      <c r="M172" s="1082"/>
      <c r="N172" s="1171"/>
      <c r="O172" s="1171"/>
      <c r="P172" s="1173"/>
      <c r="Q172" s="1173"/>
      <c r="R172" s="1173"/>
      <c r="S172" s="1173"/>
      <c r="T172" s="1175"/>
      <c r="U172" s="1175"/>
      <c r="V172" s="1082"/>
      <c r="W172" s="1106"/>
      <c r="X172" s="1106"/>
      <c r="Y172" s="1069"/>
      <c r="Z172" s="1069"/>
      <c r="AA172" s="1069"/>
      <c r="AB172" s="1069"/>
      <c r="AC172" s="1248"/>
      <c r="AD172" s="1249"/>
      <c r="AE172" s="1082"/>
      <c r="AF172" s="1106"/>
      <c r="AG172" s="1106"/>
      <c r="AH172" s="1106"/>
      <c r="AI172" s="1106"/>
      <c r="AJ172" s="1106"/>
      <c r="AK172" s="1132"/>
      <c r="AL172" s="1106"/>
      <c r="AM172" s="1106"/>
      <c r="AN172" s="1106"/>
      <c r="AO172" s="1106"/>
      <c r="AP172" s="1119"/>
      <c r="AQ172" s="1132"/>
      <c r="AR172" s="1106"/>
      <c r="AS172" s="1106"/>
      <c r="AT172" s="1106"/>
      <c r="AU172" s="1106"/>
      <c r="AV172" s="1106"/>
      <c r="AW172" s="1119"/>
      <c r="AX172" s="1120"/>
      <c r="AY172" s="1094"/>
      <c r="AZ172" s="1095" t="e">
        <f t="shared" si="67"/>
        <v>#REF!</v>
      </c>
      <c r="BA172" s="2"/>
    </row>
    <row r="173" spans="1:53" ht="15.75" hidden="1" customHeight="1" outlineLevel="1">
      <c r="A173" s="1027"/>
      <c r="B173" s="1096"/>
      <c r="C173" s="1139" t="s">
        <v>44</v>
      </c>
      <c r="D173" s="1122">
        <f>Parametres!$D$24</f>
        <v>5</v>
      </c>
      <c r="E173" s="1068" t="e">
        <f>COUNTIFS(#REF!,"&gt;0",#REF!,"&gt;="&amp;B155,#REF!,"&lt;="&amp;EOMONTH(B155,0))</f>
        <v>#REF!</v>
      </c>
      <c r="F173" s="1069" t="e">
        <f>SUMIFS(#REF!,#REF!,"&lt;&gt;0",#REF!,"&gt;="&amp;B155,#REF!,"&lt;="&amp;EOMONTH(B155,0))</f>
        <v>#REF!</v>
      </c>
      <c r="G173" s="1069" t="e">
        <f t="shared" si="65"/>
        <v>#REF!</v>
      </c>
      <c r="H173" s="1070" t="e">
        <f ca="1">MINIFS(#REF!,#REF!,"&lt;&gt;0",#REF!,"&gt;="&amp;B155,#REF!,"&lt;="&amp;EOMONTH(B155,0))</f>
        <v>#NAME?</v>
      </c>
      <c r="I173" s="1078" t="e">
        <f ca="1">MAXIFS(#REF!,#REF!,"&lt;&gt;0",#REF!,"&gt;="&amp;B155,#REF!,"&lt;="&amp;EOMONTH(B155,0))</f>
        <v>#NAME?</v>
      </c>
      <c r="J173" s="1072" t="e">
        <f>COUNTIFS(#REF!,"&gt;="&amp;D173,#REF!,"&gt;="&amp;B155,#REF!,"&lt;="&amp;EOMONTH(B155,0))</f>
        <v>#REF!</v>
      </c>
      <c r="K173" s="1341" t="e">
        <f t="shared" ref="K173:K181" si="72">J173/E173</f>
        <v>#REF!</v>
      </c>
      <c r="L173" s="1115"/>
      <c r="M173" s="1082"/>
      <c r="N173" s="1144">
        <f>Parametres!$L$24</f>
        <v>60</v>
      </c>
      <c r="O173" s="1077">
        <f>COUNTIFS('Degrémont Entrée'!$AP$14:$AP$379,"&gt;0",'Degrémont Entrée'!$A$14:$A$379,"&gt;="&amp;B155,'Degrémont Entrée'!$A$14:$A$379,"&lt;="&amp;EOMONTH(B155,0))</f>
        <v>0</v>
      </c>
      <c r="P173" s="1078">
        <f>SUMIFS('Degrémont Entrée'!$AP$14:$AP$379,'Degrémont Entrée'!$AP$14:$AP$379,"&lt;&gt;0",'Degrémont Entrée'!$A$14:$A$379,"&gt;="&amp;B155,'Degrémont Entrée'!$A$14:$A$379,"&lt;="&amp;EOMONTH(B155,0))</f>
        <v>0</v>
      </c>
      <c r="Q173" s="1078">
        <f>IF(O173=0,0,P173/O173)</f>
        <v>0</v>
      </c>
      <c r="R173" s="1078" t="e">
        <f ca="1">MINIFS('Degrémont Entrée'!$AP$14:$AP$379,'Degrémont Entrée'!$AP$14:$AP$379,"&lt;&gt;0",'Degrémont Entrée'!$A$14:$A$379,"&gt;="&amp;B155,'Degrémont Entrée'!$A$14:$A$379,"&lt;="&amp;EOMONTH(B155,0))</f>
        <v>#NAME?</v>
      </c>
      <c r="S173" s="1078" t="e">
        <f ca="1">MAXIFS('Degrémont Entrée'!$AP$14:$AP$379,'Degrémont Entrée'!$AP$14:$AP$379,"&lt;&gt;0",'Degrémont Entrée'!$A$14:$A$379,"&gt;="&amp;B155,'Degrémont Entrée'!$A$14:$A$379,"&lt;="&amp;EOMONTH(B155,0))</f>
        <v>#NAME?</v>
      </c>
      <c r="T173" s="1080">
        <f>COUNTIFS('Degrémont Entrée'!$AP$14:$AP$379,"&gt;="&amp;N173,'Degrémont Entrée'!$A$14:$A$379,"&gt;="&amp;B155,'Degrémont Entrée'!$A$14:$A$379,"&lt;="&amp;EOMONTH(B155,0))</f>
        <v>0</v>
      </c>
      <c r="U173" s="1081" t="e">
        <f>T173/O173</f>
        <v>#DIV/0!</v>
      </c>
      <c r="V173" s="1082"/>
      <c r="W173" s="1083">
        <f>Parametres!$T$24</f>
        <v>1.6</v>
      </c>
      <c r="X173" s="1142">
        <f>COUNTIFS('Degrémont sortie'!$AJ$14:$AJ$379,"&gt;0",'Degrémont sortie'!$A$14:$A$379,"&gt;="&amp;B155,'Degrémont sortie'!$A$14:$A$379,"&lt;="&amp;EOMONTH(B155,0))</f>
        <v>0</v>
      </c>
      <c r="Y173" s="1085">
        <f>SUMIFS('Degrémont sortie'!$AJ$14:$AJ$379,'Degrémont sortie'!$AJ$14:$AJ$379,"&lt;&gt;0",'Degrémont sortie'!$A$14:$A$379,"&gt;="&amp;B155,'Degrémont sortie'!$A$14:$A$379,"&lt;="&amp;EOMONTH(B155,0))</f>
        <v>0</v>
      </c>
      <c r="Z173" s="1069">
        <f>IF(X173=0,0,Y173/X173)</f>
        <v>0</v>
      </c>
      <c r="AA173" s="1069" t="e">
        <f ca="1">MINIFS('Degrémont sortie'!$AJ$14:$AJ$379,'Degrémont sortie'!$AJ$14:$AJ$379,"&lt;&gt;0",'Degrémont sortie'!$A$14:$A$379,"&gt;="&amp;B155,'Degrémont sortie'!$A$14:$A$379,"&lt;="&amp;EOMONTH(B155,0))</f>
        <v>#NAME?</v>
      </c>
      <c r="AB173" s="1069" t="e">
        <f ca="1">MAXIFS('Degrémont sortie'!$AJ$14:$AJ$379,'Degrémont sortie'!$AJ$14:$AJ$379,"&lt;&gt;0",'Degrémont sortie'!$A$14:$A$379,"&gt;="&amp;B155,'Degrémont sortie'!$A$14:$A$379,"&lt;="&amp;EOMONTH(B155,0))</f>
        <v>#NAME?</v>
      </c>
      <c r="AC173" s="1142">
        <f>COUNTIFS('Degrémont sortie'!$AJ$14:$AJ$379,"&gt;="&amp;W173,'Degrémont sortie'!$A$14:$A$379,"&gt;="&amp;B155,'Degrémont sortie'!$A$14:$A$379,"&lt;="&amp;EOMONTH(B155,0))</f>
        <v>0</v>
      </c>
      <c r="AD173" s="1087" t="e">
        <f>AC173/X173</f>
        <v>#DIV/0!</v>
      </c>
      <c r="AE173" s="1082"/>
      <c r="AF173" s="1106"/>
      <c r="AG173" s="1106"/>
      <c r="AH173" s="1106"/>
      <c r="AI173" s="1106"/>
      <c r="AJ173" s="1106"/>
      <c r="AK173" s="1132"/>
      <c r="AL173" s="1106"/>
      <c r="AM173" s="1106"/>
      <c r="AN173" s="1106"/>
      <c r="AO173" s="1106"/>
      <c r="AP173" s="1119"/>
      <c r="AQ173" s="1132"/>
      <c r="AR173" s="1106"/>
      <c r="AS173" s="1106"/>
      <c r="AT173" s="1106"/>
      <c r="AU173" s="1106"/>
      <c r="AV173" s="1106"/>
      <c r="AW173" s="1119"/>
      <c r="AX173" s="1120"/>
      <c r="AY173" s="1094"/>
      <c r="AZ173" s="1095" t="e">
        <f t="shared" si="67"/>
        <v>#REF!</v>
      </c>
      <c r="BA173" s="2"/>
    </row>
    <row r="174" spans="1:53" ht="15.75" hidden="1" customHeight="1" outlineLevel="1">
      <c r="A174" s="1027"/>
      <c r="B174" s="1096"/>
      <c r="C174" s="1121" t="s">
        <v>169</v>
      </c>
      <c r="D174" s="1122">
        <f>Parametres!$D$25</f>
        <v>4</v>
      </c>
      <c r="E174" s="1068" t="e">
        <f>COUNTIFS(#REF!,"&gt;0",#REF!,"&gt;="&amp;B155,#REF!,"&lt;="&amp;EOMONTH(B155,0))</f>
        <v>#REF!</v>
      </c>
      <c r="F174" s="1069" t="e">
        <f>SUMIFS(#REF!,#REF!,"&lt;&gt;0",#REF!,"&gt;="&amp;B155,#REF!,"&lt;="&amp;EOMONTH(B155,0))</f>
        <v>#REF!</v>
      </c>
      <c r="G174" s="1069" t="e">
        <f t="shared" si="65"/>
        <v>#REF!</v>
      </c>
      <c r="H174" s="1070" t="e">
        <f ca="1">MINIFS(#REF!,#REF!,"&lt;&gt;0",#REF!,"&gt;="&amp;B155,#REF!,"&lt;="&amp;EOMONTH(B155,0))</f>
        <v>#NAME?</v>
      </c>
      <c r="I174" s="1078" t="e">
        <f ca="1">MAXIFS(#REF!,#REF!,"&lt;&gt;0",#REF!,"&gt;="&amp;B155,#REF!,"&lt;="&amp;EOMONTH(B155,0))</f>
        <v>#NAME?</v>
      </c>
      <c r="J174" s="1072" t="e">
        <f>COUNTIFS(#REF!,"&gt;="&amp;D174,#REF!,"&gt;="&amp;B155,#REF!,"&lt;="&amp;EOMONTH(B155,0))</f>
        <v>#REF!</v>
      </c>
      <c r="K174" s="1341" t="e">
        <f t="shared" si="72"/>
        <v>#REF!</v>
      </c>
      <c r="L174" s="1115"/>
      <c r="M174" s="1082"/>
      <c r="N174" s="1263"/>
      <c r="O174" s="1263"/>
      <c r="P174" s="1078"/>
      <c r="Q174" s="1078"/>
      <c r="R174" s="1078"/>
      <c r="S174" s="1078"/>
      <c r="T174" s="1264"/>
      <c r="U174" s="1264"/>
      <c r="V174" s="1082"/>
      <c r="W174" s="1106"/>
      <c r="X174" s="1106"/>
      <c r="Y174" s="1069"/>
      <c r="Z174" s="1069"/>
      <c r="AA174" s="1069"/>
      <c r="AB174" s="1069"/>
      <c r="AC174" s="1248"/>
      <c r="AD174" s="1249"/>
      <c r="AE174" s="1082"/>
      <c r="AF174" s="1106"/>
      <c r="AG174" s="1106"/>
      <c r="AH174" s="1106"/>
      <c r="AI174" s="1106"/>
      <c r="AJ174" s="1106"/>
      <c r="AK174" s="1132"/>
      <c r="AL174" s="1106"/>
      <c r="AM174" s="1106"/>
      <c r="AN174" s="1106"/>
      <c r="AO174" s="1106"/>
      <c r="AP174" s="1138"/>
      <c r="AQ174" s="1132"/>
      <c r="AR174" s="1106"/>
      <c r="AS174" s="1106"/>
      <c r="AT174" s="1106"/>
      <c r="AU174" s="1106"/>
      <c r="AV174" s="1106"/>
      <c r="AW174" s="1119"/>
      <c r="AX174" s="1120"/>
      <c r="AY174" s="1094"/>
      <c r="AZ174" s="1095" t="e">
        <f t="shared" si="67"/>
        <v>#REF!</v>
      </c>
      <c r="BA174" s="2"/>
    </row>
    <row r="175" spans="1:53" ht="15.75" hidden="1" customHeight="1" outlineLevel="1">
      <c r="A175" s="1027"/>
      <c r="B175" s="1096"/>
      <c r="C175" s="1139" t="s">
        <v>165</v>
      </c>
      <c r="D175" s="1122">
        <f>Parametres!$D$26</f>
        <v>10</v>
      </c>
      <c r="E175" s="1068" t="e">
        <f>COUNTIFS(#REF!,"&gt;0",#REF!,"&gt;="&amp;B155,#REF!,"&lt;="&amp;EOMONTH(B155,0))</f>
        <v>#REF!</v>
      </c>
      <c r="F175" s="1069" t="e">
        <f>SUMIFS(#REF!,#REF!,"&lt;&gt;0",#REF!,"&gt;="&amp;B155,#REF!,"&lt;="&amp;EOMONTH(B155,0))</f>
        <v>#REF!</v>
      </c>
      <c r="G175" s="1069" t="e">
        <f t="shared" si="65"/>
        <v>#REF!</v>
      </c>
      <c r="H175" s="1070" t="e">
        <f ca="1">MINIFS(#REF!,#REF!,"&lt;&gt;0",#REF!,"&gt;="&amp;B155,#REF!,"&lt;="&amp;EOMONTH(B155,0))</f>
        <v>#NAME?</v>
      </c>
      <c r="I175" s="1078" t="e">
        <f ca="1">MAXIFS(#REF!,#REF!,"&lt;&gt;0",#REF!,"&gt;="&amp;B155,#REF!,"&lt;="&amp;EOMONTH(B155,0))</f>
        <v>#NAME?</v>
      </c>
      <c r="J175" s="1114" t="e">
        <f>COUNTIFS(#REF!,"&gt;="&amp;D175,#REF!,"&gt;="&amp;B155,#REF!,"&lt;="&amp;EOMONTH(B155,0))</f>
        <v>#REF!</v>
      </c>
      <c r="K175" s="1341" t="e">
        <f t="shared" si="72"/>
        <v>#REF!</v>
      </c>
      <c r="L175" s="1115"/>
      <c r="M175" s="1075"/>
      <c r="N175" s="1265"/>
      <c r="O175" s="1265"/>
      <c r="P175" s="1266"/>
      <c r="Q175" s="1266"/>
      <c r="R175" s="1266"/>
      <c r="S175" s="1266"/>
      <c r="T175" s="1267"/>
      <c r="U175" s="1267"/>
      <c r="V175" s="1075"/>
      <c r="W175" s="1106"/>
      <c r="X175" s="1106"/>
      <c r="Y175" s="1069"/>
      <c r="Z175" s="1069"/>
      <c r="AA175" s="1069"/>
      <c r="AB175" s="1069"/>
      <c r="AC175" s="1248"/>
      <c r="AD175" s="1249"/>
      <c r="AE175" s="1082"/>
      <c r="AF175" s="1106"/>
      <c r="AG175" s="1106"/>
      <c r="AH175" s="1106"/>
      <c r="AI175" s="1106"/>
      <c r="AJ175" s="1106"/>
      <c r="AK175" s="1132"/>
      <c r="AL175" s="1106"/>
      <c r="AM175" s="1106"/>
      <c r="AN175" s="1106"/>
      <c r="AO175" s="1106"/>
      <c r="AP175" s="1138"/>
      <c r="AQ175" s="1132"/>
      <c r="AR175" s="1106"/>
      <c r="AS175" s="1106"/>
      <c r="AT175" s="1106"/>
      <c r="AU175" s="1106"/>
      <c r="AV175" s="1106"/>
      <c r="AW175" s="1119"/>
      <c r="AX175" s="1120"/>
      <c r="AY175" s="1094"/>
      <c r="AZ175" s="1095" t="e">
        <f t="shared" si="67"/>
        <v>#REF!</v>
      </c>
      <c r="BA175" s="2"/>
    </row>
    <row r="176" spans="1:53" ht="15.75" hidden="1" customHeight="1" outlineLevel="1">
      <c r="A176" s="1027"/>
      <c r="B176" s="1096"/>
      <c r="C176" s="1121" t="s">
        <v>23</v>
      </c>
      <c r="D176" s="1122">
        <f>Parametres!$D$27</f>
        <v>0.05</v>
      </c>
      <c r="E176" s="1068" t="e">
        <f>COUNTIFS(#REF!,"&gt;0",#REF!,"&gt;="&amp;B155,#REF!,"&lt;="&amp;EOMONTH(B155,0))</f>
        <v>#REF!</v>
      </c>
      <c r="F176" s="1069" t="e">
        <f>SUMIFS(#REF!,#REF!,"&lt;&gt;0",#REF!,"&gt;="&amp;B155,#REF!,"&lt;="&amp;EOMONTH(B155,0))</f>
        <v>#REF!</v>
      </c>
      <c r="G176" s="1069" t="e">
        <f t="shared" si="65"/>
        <v>#REF!</v>
      </c>
      <c r="H176" s="1070" t="e">
        <f ca="1">MINIFS(#REF!,#REF!,"&lt;&gt;0",#REF!,"&gt;="&amp;B155,#REF!,"&lt;="&amp;EOMONTH(B155,0))</f>
        <v>#NAME?</v>
      </c>
      <c r="I176" s="1078" t="e">
        <f ca="1">MAXIFS(#REF!,#REF!,"&lt;&gt;0",#REF!,"&gt;="&amp;B155,#REF!,"&lt;="&amp;EOMONTH(B155,0))</f>
        <v>#NAME?</v>
      </c>
      <c r="J176" s="1072" t="e">
        <f>COUNTIFS(#REF!,"&gt;="&amp;D176,#REF!,"&gt;="&amp;B155,#REF!,"&lt;="&amp;EOMONTH(B155,0))</f>
        <v>#REF!</v>
      </c>
      <c r="K176" s="1341" t="e">
        <f t="shared" si="72"/>
        <v>#REF!</v>
      </c>
      <c r="L176" s="1115"/>
      <c r="M176" s="1082"/>
      <c r="N176" s="1129"/>
      <c r="O176" s="1129"/>
      <c r="P176" s="1069"/>
      <c r="Q176" s="1069"/>
      <c r="R176" s="1069"/>
      <c r="S176" s="1069"/>
      <c r="T176" s="1143"/>
      <c r="U176" s="1143"/>
      <c r="V176" s="1132"/>
      <c r="W176" s="1106"/>
      <c r="X176" s="1106"/>
      <c r="Y176" s="1069"/>
      <c r="Z176" s="1069"/>
      <c r="AA176" s="1069"/>
      <c r="AB176" s="1069"/>
      <c r="AC176" s="1248"/>
      <c r="AD176" s="1249"/>
      <c r="AE176" s="1132"/>
      <c r="AF176" s="1106"/>
      <c r="AG176" s="1106"/>
      <c r="AH176" s="1106"/>
      <c r="AI176" s="1106"/>
      <c r="AJ176" s="1106"/>
      <c r="AK176" s="1132"/>
      <c r="AL176" s="1106"/>
      <c r="AM176" s="1106"/>
      <c r="AN176" s="1106"/>
      <c r="AO176" s="1106"/>
      <c r="AP176" s="1138"/>
      <c r="AQ176" s="1132"/>
      <c r="AR176" s="1106"/>
      <c r="AS176" s="1106"/>
      <c r="AT176" s="1106"/>
      <c r="AU176" s="1106"/>
      <c r="AV176" s="1106"/>
      <c r="AW176" s="1119"/>
      <c r="AX176" s="1120"/>
      <c r="AY176" s="1094"/>
      <c r="AZ176" s="1095" t="e">
        <f t="shared" si="67"/>
        <v>#REF!</v>
      </c>
      <c r="BA176" s="2"/>
    </row>
    <row r="177" spans="1:53" ht="15.75" hidden="1" customHeight="1" outlineLevel="1">
      <c r="A177" s="1027"/>
      <c r="B177" s="1096"/>
      <c r="C177" s="1139" t="s">
        <v>201</v>
      </c>
      <c r="D177" s="1122">
        <f>Parametres!$D$28</f>
        <v>8</v>
      </c>
      <c r="E177" s="1068" t="e">
        <f>COUNTIFS(#REF!,"&gt;0",#REF!,"&gt;="&amp;B155,#REF!,"&lt;="&amp;EOMONTH(B155,0))</f>
        <v>#REF!</v>
      </c>
      <c r="F177" s="1069" t="e">
        <f>SUMIFS(#REF!,#REF!,"&lt;&gt;0",#REF!,"&gt;="&amp;B155,#REF!,"&lt;="&amp;EOMONTH(B155,0))</f>
        <v>#REF!</v>
      </c>
      <c r="G177" s="1069" t="e">
        <f t="shared" si="65"/>
        <v>#REF!</v>
      </c>
      <c r="H177" s="1070" t="e">
        <f ca="1">MINIFS(#REF!,#REF!,"&lt;&gt;0",#REF!,"&gt;="&amp;B155,#REF!,"&lt;="&amp;EOMONTH(B155,0))</f>
        <v>#NAME?</v>
      </c>
      <c r="I177" s="1078" t="e">
        <f ca="1">MAXIFS(#REF!,#REF!,"&lt;&gt;0",#REF!,"&gt;="&amp;B155,#REF!,"&lt;="&amp;EOMONTH(B155,0))</f>
        <v>#NAME?</v>
      </c>
      <c r="J177" s="1114" t="e">
        <f>COUNTIFS(#REF!,"&gt;="&amp;D177,#REF!,"&gt;="&amp;B155,#REF!,"&lt;="&amp;EOMONTH(B155,0))</f>
        <v>#REF!</v>
      </c>
      <c r="K177" s="1341" t="e">
        <f t="shared" si="72"/>
        <v>#REF!</v>
      </c>
      <c r="L177" s="1115"/>
      <c r="M177" s="1082"/>
      <c r="N177" s="1171"/>
      <c r="O177" s="1171"/>
      <c r="P177" s="1173"/>
      <c r="Q177" s="1173"/>
      <c r="R177" s="1173"/>
      <c r="S177" s="1173"/>
      <c r="T177" s="1175"/>
      <c r="U177" s="1175"/>
      <c r="V177" s="1177"/>
      <c r="W177" s="1106"/>
      <c r="X177" s="1106"/>
      <c r="Y177" s="1069"/>
      <c r="Z177" s="1069"/>
      <c r="AA177" s="1069"/>
      <c r="AB177" s="1069"/>
      <c r="AC177" s="1248"/>
      <c r="AD177" s="1249"/>
      <c r="AE177" s="1082"/>
      <c r="AF177" s="1106"/>
      <c r="AG177" s="1106"/>
      <c r="AH177" s="1106"/>
      <c r="AI177" s="1106"/>
      <c r="AJ177" s="1106"/>
      <c r="AK177" s="1082"/>
      <c r="AL177" s="1205" t="e">
        <f>COUNTIFS(#REF!,"&gt;0",#REF!,"&gt;="&amp;B155,#REF!,"&lt;="&amp;EOMONTH(B155,0))</f>
        <v>#REF!</v>
      </c>
      <c r="AM177" s="1208" t="e">
        <f>SUMIFS(#REF!,#REF!,"&lt;&gt;0",#REF!,"&gt;="&amp;B155,#REF!,"&lt;="&amp;EOMONTH(B155,0))</f>
        <v>#REF!</v>
      </c>
      <c r="AN177" s="1208" t="e">
        <f>IF(AL177=0,0,AM177/AL177)</f>
        <v>#REF!</v>
      </c>
      <c r="AO177" s="1269" t="e">
        <f ca="1">MINIFS(#REF!,#REF!,"&lt;&gt;0",#REF!,"&gt;="&amp;B155,#REF!,"&lt;="&amp;EOMONTH(B155,0))</f>
        <v>#NAME?</v>
      </c>
      <c r="AP177" s="1269" t="e">
        <f ca="1">MAXIFS(#REF!,#REF!,"&lt;&gt;0",#REF!,"&gt;="&amp;B155,#REF!,"&lt;="&amp;EOMONTH(B155,0))</f>
        <v>#NAME?</v>
      </c>
      <c r="AQ177" s="1082"/>
      <c r="AR177" s="1220">
        <f>Parametres!$AM$28</f>
        <v>500</v>
      </c>
      <c r="AS177" s="1205" t="e">
        <f>COUNTIFS(#REF!,"&gt;0",#REF!,"&gt;="&amp;B155,#REF!,"&lt;="&amp;EOMONTH(B155,0))</f>
        <v>#REF!</v>
      </c>
      <c r="AT177" s="1208" t="e">
        <f>SUMIFS(#REF!,#REF!,"&lt;&gt;0",#REF!,"&gt;="&amp;B155,#REF!,"&lt;="&amp;EOMONTH(B155,0))</f>
        <v>#REF!</v>
      </c>
      <c r="AU177" s="1208" t="e">
        <f>IF(AS177=0,0,AT177/AS177)</f>
        <v>#REF!</v>
      </c>
      <c r="AV177" s="1208" t="e">
        <f ca="1">MINIFS(#REF!,#REF!,"&lt;&gt;0",#REF!,"&gt;="&amp;B155,#REF!,"&lt;="&amp;EOMONTH(B155,0))</f>
        <v>#NAME?</v>
      </c>
      <c r="AW177" s="1222" t="e">
        <f ca="1">MAXIFS(#REF!,#REF!,"&lt;&gt;0",#REF!,"&gt;="&amp;B155,#REF!,"&lt;="&amp;EOMONTH(B155,0))</f>
        <v>#NAME?</v>
      </c>
      <c r="AX177" s="1223" t="e">
        <f>COUNTIFS(#REF!,"&gt;="&amp;AR177,#REF!,"&gt;="&amp;B155,#REF!,"&lt;="&amp;EOMONTH(B155,0))</f>
        <v>#REF!</v>
      </c>
      <c r="AY177" s="1224" t="e">
        <f>AX177/AS177</f>
        <v>#REF!</v>
      </c>
      <c r="AZ177" s="1095" t="e">
        <f t="shared" si="67"/>
        <v>#REF!</v>
      </c>
      <c r="BA177" s="2"/>
    </row>
    <row r="178" spans="1:53" ht="15.75" hidden="1" customHeight="1" outlineLevel="1">
      <c r="A178" s="1027"/>
      <c r="B178" s="1096"/>
      <c r="C178" s="1121" t="s">
        <v>333</v>
      </c>
      <c r="D178" s="1122">
        <f>Parametres!$D$29</f>
        <v>0.3</v>
      </c>
      <c r="E178" s="1068" t="e">
        <f>COUNTIFS(#REF!,"&gt;0",#REF!,"&gt;="&amp;B155,#REF!,"&lt;="&amp;EOMONTH(B155,0))</f>
        <v>#REF!</v>
      </c>
      <c r="F178" s="1069" t="e">
        <f>SUMIFS(#REF!,#REF!,"&lt;&gt;0",#REF!,"&gt;="&amp;B155,#REF!,"&lt;="&amp;EOMONTH(B155,0))</f>
        <v>#REF!</v>
      </c>
      <c r="G178" s="1069" t="e">
        <f t="shared" si="65"/>
        <v>#REF!</v>
      </c>
      <c r="H178" s="1070" t="e">
        <f ca="1">MINIFS(#REF!,#REF!,"&lt;&gt;0",#REF!,"&gt;="&amp;B155,#REF!,"&lt;="&amp;EOMONTH(B155,0))</f>
        <v>#NAME?</v>
      </c>
      <c r="I178" s="1069" t="e">
        <f ca="1">MAXIFS(#REF!,#REF!,"&lt;&gt;0",#REF!,"&gt;="&amp;B155,#REF!,"&lt;="&amp;EOMONTH(B155,0))</f>
        <v>#NAME?</v>
      </c>
      <c r="J178" s="1072" t="e">
        <f>COUNTIFS(#REF!,"&gt;="&amp;D178,#REF!,"&gt;="&amp;B155,#REF!,"&lt;="&amp;EOMONTH(B155,0))</f>
        <v>#REF!</v>
      </c>
      <c r="K178" s="1341" t="e">
        <f t="shared" si="72"/>
        <v>#REF!</v>
      </c>
      <c r="L178" s="1099"/>
      <c r="M178" s="1132"/>
      <c r="N178" s="1102"/>
      <c r="O178" s="1102"/>
      <c r="P178" s="1069"/>
      <c r="Q178" s="1069"/>
      <c r="R178" s="1069"/>
      <c r="S178" s="1069"/>
      <c r="T178" s="1270"/>
      <c r="U178" s="1270"/>
      <c r="V178" s="1132"/>
      <c r="W178" s="1106"/>
      <c r="X178" s="1106"/>
      <c r="Y178" s="1069"/>
      <c r="Z178" s="1069"/>
      <c r="AA178" s="1069"/>
      <c r="AB178" s="1069"/>
      <c r="AC178" s="1248"/>
      <c r="AD178" s="1249"/>
      <c r="AE178" s="1132"/>
      <c r="AF178" s="1106"/>
      <c r="AG178" s="1106"/>
      <c r="AH178" s="1106"/>
      <c r="AI178" s="1106"/>
      <c r="AJ178" s="1106"/>
      <c r="AK178" s="1082"/>
      <c r="AL178" s="1117"/>
      <c r="AM178" s="1117"/>
      <c r="AN178" s="1117"/>
      <c r="AO178" s="1117"/>
      <c r="AP178" s="1117"/>
      <c r="AQ178" s="1082"/>
      <c r="AR178" s="1106"/>
      <c r="AS178" s="1106"/>
      <c r="AT178" s="1106"/>
      <c r="AU178" s="1106"/>
      <c r="AV178" s="1106"/>
      <c r="AW178" s="1119"/>
      <c r="AX178" s="1120"/>
      <c r="AY178" s="1094"/>
      <c r="AZ178" s="1095" t="e">
        <f t="shared" si="67"/>
        <v>#REF!</v>
      </c>
      <c r="BA178" s="2"/>
    </row>
    <row r="179" spans="1:53" ht="15.75" hidden="1" customHeight="1" outlineLevel="1">
      <c r="A179" s="1027"/>
      <c r="B179" s="1096"/>
      <c r="C179" s="1139" t="s">
        <v>46</v>
      </c>
      <c r="D179" s="1122">
        <f>Parametres!$D$30</f>
        <v>1</v>
      </c>
      <c r="E179" s="1068" t="e">
        <f>COUNTIFS(#REF!,"&gt;0",#REF!,"&gt;="&amp;B155,#REF!,"&lt;="&amp;EOMONTH(B155,0))</f>
        <v>#REF!</v>
      </c>
      <c r="F179" s="1069" t="e">
        <f>SUMIFS(#REF!,#REF!,"&lt;&gt;0",#REF!,"&gt;="&amp;B155,#REF!,"&lt;="&amp;EOMONTH(B155,0))</f>
        <v>#REF!</v>
      </c>
      <c r="G179" s="1069" t="e">
        <f t="shared" si="65"/>
        <v>#REF!</v>
      </c>
      <c r="H179" s="1070" t="e">
        <f ca="1">MINIFS(#REF!,#REF!,"&lt;&gt;0",#REF!,"&gt;="&amp;B155,#REF!,"&lt;="&amp;EOMONTH(B155,0))</f>
        <v>#NAME?</v>
      </c>
      <c r="I179" s="1266" t="e">
        <f ca="1">MAXIFS(#REF!,#REF!,"&lt;&gt;0",#REF!,"&gt;="&amp;B155,#REF!,"&lt;="&amp;EOMONTH(B155,0))</f>
        <v>#NAME?</v>
      </c>
      <c r="J179" s="1072" t="e">
        <f>COUNTIFS(#REF!,"&gt;="&amp;D179,#REF!,"&gt;="&amp;B155,#REF!,"&lt;="&amp;EOMONTH(B155,0))</f>
        <v>#REF!</v>
      </c>
      <c r="K179" s="1341" t="e">
        <f t="shared" si="72"/>
        <v>#REF!</v>
      </c>
      <c r="L179" s="1273"/>
      <c r="M179" s="1274"/>
      <c r="N179" s="1144">
        <f>Parametres!$L$30</f>
        <v>40</v>
      </c>
      <c r="O179" s="1077">
        <f>COUNTIFS('Degrémont Entrée'!$AV$14:$AV$379,"&gt;0",'Degrémont Entrée'!$A$14:$A$379,"&gt;="&amp;B155,'Degrémont Entrée'!$A$14:$A$379,"&lt;="&amp;EOMONTH(B155,0))</f>
        <v>0</v>
      </c>
      <c r="P179" s="1078">
        <f>SUMIFS('Degrémont Entrée'!$AV$14:$AV$379,'Degrémont Entrée'!$AV$14:$AV$379,"&lt;&gt;0",'Degrémont Entrée'!$A$14:$A$379,"&gt;="&amp;B155,'Degrémont Entrée'!$A$14:$A$379,"&lt;="&amp;EOMONTH(B155,0))</f>
        <v>0</v>
      </c>
      <c r="Q179" s="1266">
        <f t="shared" ref="Q179:Q180" si="73">IF(O179=0,0,P179/O179)</f>
        <v>0</v>
      </c>
      <c r="R179" s="1266" t="e">
        <f ca="1">MINIFS('Degrémont Entrée'!$AV$14:$AV$379,'Degrémont Entrée'!$AV$14:$AV$379,"&lt;&gt;0",'Degrémont Entrée'!$A$14:$A$379,"&gt;="&amp;B155,'Degrémont Entrée'!$A$14:$A$379,"&lt;="&amp;EOMONTH(B155,0))</f>
        <v>#NAME?</v>
      </c>
      <c r="S179" s="1266" t="e">
        <f ca="1">MAXIFS('Degrémont Entrée'!$AV$14:$AV$379,'Degrémont Entrée'!$AV$14:$AV$379,"&lt;&gt;0",'Degrémont Entrée'!$A$14:$A$379,"&gt;="&amp;B155,'Degrémont Entrée'!$A$14:$A$379,"&lt;="&amp;EOMONTH(B155,0))</f>
        <v>#NAME?</v>
      </c>
      <c r="T179" s="1276">
        <f>COUNTIFS('Degrémont Entrée'!$AV$14:$AV$379,"&gt;="&amp;N179,'Degrémont Entrée'!$A$14:$A$379,"&gt;="&amp;B155,'Degrémont Entrée'!$A$14:$A$379,"&lt;="&amp;EOMONTH(B155,0))</f>
        <v>0</v>
      </c>
      <c r="U179" s="1081" t="e">
        <f t="shared" ref="U179:U180" si="74">T179/O179</f>
        <v>#DIV/0!</v>
      </c>
      <c r="V179" s="1075"/>
      <c r="W179" s="1083">
        <f>Parametres!$T$30</f>
        <v>0.8</v>
      </c>
      <c r="X179" s="1142">
        <f>COUNTIFS('Degrémont sortie'!$AP$14:$AP$379,"&gt;0",'Degrémont sortie'!$A$14:$A$379,"&gt;="&amp;B155,'Degrémont sortie'!$A$14:$A$379,"&lt;="&amp;EOMONTH(B155,0))</f>
        <v>0</v>
      </c>
      <c r="Y179" s="1085">
        <f>SUMIFS('Degrémont sortie'!$AP$14:$AP$379,'Degrémont sortie'!$AP$14:$AP$379,"&lt;&gt;0",'Degrémont sortie'!$A$14:$A$379,"&gt;="&amp;B155,'Degrémont sortie'!$A$14:$A$379,"&lt;="&amp;EOMONTH(B155,0))</f>
        <v>0</v>
      </c>
      <c r="Z179" s="1069">
        <f t="shared" ref="Z179:Z181" si="75">IF(X179=0,0,Y179/X179)</f>
        <v>0</v>
      </c>
      <c r="AA179" s="1277" t="e">
        <f ca="1">MINIFS('Degrémont sortie'!$AP$14:$AP$379,'Degrémont sortie'!$AP$14:$AP$379,"&lt;&gt;0",'Degrémont sortie'!$A$14:$A$379,"&gt;="&amp;B155,'Degrémont sortie'!$A$14:$A$379,"&lt;="&amp;EOMONTH(B155,0))</f>
        <v>#NAME?</v>
      </c>
      <c r="AB179" s="1069" t="e">
        <f ca="1">MAXIFS('Degrémont sortie'!$AP$14:$AP$379,'Degrémont sortie'!$AP$14:$AP$379,"&lt;&gt;0",'Degrémont sortie'!$A$14:$A$379,"&gt;="&amp;B155,'Degrémont sortie'!$A$14:$A$379,"&lt;="&amp;EOMONTH(B155,0))</f>
        <v>#NAME?</v>
      </c>
      <c r="AC179" s="1142">
        <f>COUNTIFS('Degrémont sortie'!$AP$14:$AP$379,"&gt;="&amp;W179,'Degrémont sortie'!$A$14:$A$379,"&gt;="&amp;B155,'Degrémont sortie'!$A$14:$A$379,"&lt;="&amp;EOMONTH(B155,0))</f>
        <v>0</v>
      </c>
      <c r="AD179" s="1087" t="e">
        <f t="shared" ref="AD179:AD180" si="76">AC179/X179</f>
        <v>#DIV/0!</v>
      </c>
      <c r="AE179" s="1075"/>
      <c r="AF179" s="1278"/>
      <c r="AG179" s="1278"/>
      <c r="AH179" s="1278"/>
      <c r="AI179" s="1278"/>
      <c r="AJ179" s="1278"/>
      <c r="AK179" s="1279"/>
      <c r="AL179" s="1278"/>
      <c r="AM179" s="1278"/>
      <c r="AN179" s="1278"/>
      <c r="AO179" s="1278"/>
      <c r="AP179" s="1278"/>
      <c r="AQ179" s="1279"/>
      <c r="AR179" s="1278"/>
      <c r="AS179" s="1278"/>
      <c r="AT179" s="1278"/>
      <c r="AU179" s="1278"/>
      <c r="AV179" s="1278"/>
      <c r="AW179" s="1278"/>
      <c r="AX179" s="1280"/>
      <c r="AY179" s="1094"/>
      <c r="AZ179" s="1095" t="e">
        <f t="shared" si="67"/>
        <v>#REF!</v>
      </c>
      <c r="BA179" s="2"/>
    </row>
    <row r="180" spans="1:53" ht="15.75" hidden="1" customHeight="1" outlineLevel="1">
      <c r="A180" s="1027"/>
      <c r="B180" s="1096"/>
      <c r="C180" s="1139" t="s">
        <v>34</v>
      </c>
      <c r="D180" s="1122">
        <f>Parametres!$D$32</f>
        <v>400</v>
      </c>
      <c r="E180" s="1068" t="e">
        <f>COUNTIFS(#REF!,"&gt;0",#REF!,"&gt;="&amp;B155,#REF!,"&lt;="&amp;EOMONTH(B155,0))</f>
        <v>#REF!</v>
      </c>
      <c r="F180" s="1069" t="e">
        <f>SUMIFS(#REF!,#REF!,"&lt;&gt;0",#REF!,"&gt;="&amp;B155,#REF!,"&lt;="&amp;EOMONTH(B155,0))</f>
        <v>#REF!</v>
      </c>
      <c r="G180" s="1069" t="e">
        <f t="shared" si="65"/>
        <v>#REF!</v>
      </c>
      <c r="H180" s="1070" t="e">
        <f ca="1">MINIFS(#REF!,#REF!,"&lt;&gt;0",#REF!,"&gt;="&amp;B155,#REF!,"&lt;="&amp;EOMONTH(B155,0))</f>
        <v>#NAME?</v>
      </c>
      <c r="I180" s="1069" t="e">
        <f ca="1">MAXIFS(#REF!,#REF!,"&lt;&gt;0",#REF!,"&gt;="&amp;B155,#REF!,"&lt;="&amp;EOMONTH(B155,0))</f>
        <v>#NAME?</v>
      </c>
      <c r="J180" s="1114" t="e">
        <f>COUNTIFS(#REF!,"&gt;="&amp;D180,#REF!,"&gt;="&amp;B155,#REF!,"&lt;="&amp;EOMONTH(B155,0))</f>
        <v>#REF!</v>
      </c>
      <c r="K180" s="1341" t="e">
        <f t="shared" si="72"/>
        <v>#REF!</v>
      </c>
      <c r="L180" s="1281"/>
      <c r="M180" s="1282"/>
      <c r="N180" s="1144">
        <f>Parametres!$L$32</f>
        <v>4000</v>
      </c>
      <c r="O180" s="1077">
        <f>COUNTIFS('Degrémont Entrée'!$G$14:$G$379,"&gt;0",'Degrémont Entrée'!$A$14:$A$379,"&gt;="&amp;B155,'Degrémont Entrée'!$A$14:$A$379,"&lt;="&amp;EOMONTH(B155,0))</f>
        <v>0</v>
      </c>
      <c r="P180" s="1078">
        <f>SUMIFS('Degrémont Entrée'!$G$14:$G$379,'Degrémont Entrée'!$G$14:$G$379,"&lt;&gt;0",'Degrémont Entrée'!$A$14:$A$379,"&gt;="&amp;B155,'Degrémont Entrée'!$A$14:$A$379,"&lt;="&amp;EOMONTH(B155,0))</f>
        <v>0</v>
      </c>
      <c r="Q180" s="1283">
        <f t="shared" si="73"/>
        <v>0</v>
      </c>
      <c r="R180" s="1069" t="e">
        <f ca="1">MINIFS('Degrémont Entrée'!$G$14:$G$379,'Degrémont Entrée'!$G$14:$G$379,"&lt;&gt;0",'Degrémont Entrée'!$A$14:$A$379,"&gt;="&amp;B155,'Degrémont Entrée'!$A$14:$A$379,"&lt;="&amp;EOMONTH(B155,0))</f>
        <v>#NAME?</v>
      </c>
      <c r="S180" s="1284" t="e">
        <f ca="1">MAXIFS('Degrémont Entrée'!$G$14:$G$379,'Degrémont Entrée'!$G$14:$G$379,"&lt;&gt;0",'Degrémont Entrée'!$A$14:$A$379,"&gt;="&amp;B155,'Degrémont Entrée'!$A$14:$A$379,"&lt;="&amp;EOMONTH(B155,0))</f>
        <v>#NAME?</v>
      </c>
      <c r="T180" s="1141">
        <f>COUNTIFS('Degrémont Entrée'!$G$14:$G$379,"&gt;="&amp;N180,'Degrémont Entrée'!$A$14:$A$379,"&gt;="&amp;B155,'Degrémont Entrée'!$A$14:$A$379,"&lt;="&amp;EOMONTH(B155,0))</f>
        <v>0</v>
      </c>
      <c r="U180" s="1081" t="e">
        <f t="shared" si="74"/>
        <v>#DIV/0!</v>
      </c>
      <c r="V180" s="1285"/>
      <c r="W180" s="1083">
        <f>Parametres!$T$32</f>
        <v>55</v>
      </c>
      <c r="X180" s="1142">
        <f>COUNTIFS('Degrémont sortie'!$G$14:$G$379,"&gt;0",'Degrémont sortie'!$A$14:$A$379,"&gt;="&amp;B155,'Degrémont sortie'!$A$14:$A$379,"&lt;="&amp;EOMONTH(B155,0))</f>
        <v>0</v>
      </c>
      <c r="Y180" s="1085">
        <f>SUMIFS('Degrémont sortie'!$G$14:$G$379,'Degrémont sortie'!$G$14:$G$379,"&lt;&gt;0",'Degrémont sortie'!$A$14:$A$379,"&gt;="&amp;B155,'Degrémont sortie'!$A$14:$A$379,"&lt;="&amp;EOMONTH(B155,0))</f>
        <v>0</v>
      </c>
      <c r="Z180" s="1069">
        <f t="shared" si="75"/>
        <v>0</v>
      </c>
      <c r="AA180" s="1286" t="e">
        <f ca="1">MINIFS('Degrémont sortie'!$G$14:$G$379,'Degrémont sortie'!$G$14:G$379,"&lt;&gt;0",'Degrémont sortie'!$A$14:$A$379,"&gt;="&amp;B155,'Degrémont sortie'!$A$14:$A$379,"&lt;="&amp;EOMONTH(B155,0))</f>
        <v>#NAME?</v>
      </c>
      <c r="AB180" s="1286" t="e">
        <f ca="1">MAXIFS('Degrémont sortie'!$G$14:$G$379,'Degrémont sortie'!$G$14:$G$379,"&lt;&gt;0",'Degrémont sortie'!$A$14:$A$379,"&gt;="&amp;B155,'Degrémont sortie'!$A$14:$A$379,"&lt;="&amp;EOMONTH(B155,0))</f>
        <v>#NAME?</v>
      </c>
      <c r="AC180" s="1141">
        <f>COUNTIFS('Degrémont sortie'!$G$14:$G$379,"&gt;="&amp;W180,'Degrémont sortie'!$A$14:$A$379,"&gt;="&amp;B155,'Degrémont sortie'!$A$14:$A$379,"&lt;="&amp;EOMONTH(B155,0))</f>
        <v>0</v>
      </c>
      <c r="AD180" s="1087" t="e">
        <f t="shared" si="76"/>
        <v>#DIV/0!</v>
      </c>
      <c r="AE180" s="1285"/>
      <c r="AF180" s="1205" t="e">
        <f>COUNTIFS(#REF!,"&gt;0",#REF!,"&gt;="&amp;B155,#REF!,"&lt;="&amp;EOMONTH(B155,0))</f>
        <v>#REF!</v>
      </c>
      <c r="AG180" s="1208" t="e">
        <f>SUMIFS(#REF!,#REF!,"&lt;&gt;0",#REF!,"&gt;="&amp;B155,#REF!,"&lt;="&amp;EOMONTH(B155,0))</f>
        <v>#REF!</v>
      </c>
      <c r="AH180" s="1208" t="e">
        <f>IF(AF180=0,0,AG180/AF180)</f>
        <v>#REF!</v>
      </c>
      <c r="AI180" s="1208" t="e">
        <f ca="1">MINIFS(#REF!,#REF!,"&lt;&gt;0",#REF!,"&gt;="&amp;B155,#REF!,"&lt;="&amp;EOMONTH(B155,0))</f>
        <v>#NAME?</v>
      </c>
      <c r="AJ180" s="1208" t="e">
        <f ca="1">MAXIFS(#REF!,#REF!,"&lt;&gt;0",#REF!,"&gt;="&amp;B155,#REF!,"&lt;="&amp;EOMONTH(B155,0))</f>
        <v>#NAME?</v>
      </c>
      <c r="AK180" s="1285"/>
      <c r="AL180" s="1205" t="e">
        <f>COUNTIFS(#REF!,"&gt;0",#REF!,"&gt;="&amp;B155,#REF!,"&lt;="&amp;EOMONTH(B155,0))</f>
        <v>#REF!</v>
      </c>
      <c r="AM180" s="1208" t="e">
        <f>SUMIFS(#REF!,#REF!,"&lt;&gt;0",#REF!,"&gt;="&amp;B155,#REF!,"&lt;="&amp;EOMONTH(B155,0))</f>
        <v>#REF!</v>
      </c>
      <c r="AN180" s="1208" t="e">
        <f>IF(AL180=0,0,AM180/AL180)</f>
        <v>#REF!</v>
      </c>
      <c r="AO180" s="1141" t="e">
        <f ca="1">MINIFS(#REF!,#REF!,"&lt;&gt;0",#REF!,"&gt;="&amp;B155,#REF!,"&lt;="&amp;EOMONTH(B155,0))</f>
        <v>#NAME?</v>
      </c>
      <c r="AP180" s="1141" t="e">
        <f ca="1">MAXIFS(#REF!,#REF!,"&lt;&gt;0",#REF!,"&gt;="&amp;B155,#REF!,"&lt;="&amp;EOMONTH(B155,0))</f>
        <v>#NAME?</v>
      </c>
      <c r="AQ180" s="1285"/>
      <c r="AR180" s="1220">
        <f>Parametres!$AM$32</f>
        <v>2600</v>
      </c>
      <c r="AS180" s="1205" t="e">
        <f>COUNTIFS(#REF!,"&gt;0",#REF!,"&gt;="&amp;B155,#REF!,"&lt;="&amp;EOMONTH(B155,0))</f>
        <v>#REF!</v>
      </c>
      <c r="AT180" s="1208" t="e">
        <f>SUMIFS(#REF!,#REF!,"&lt;&gt;0",#REF!,"&gt;="&amp;B155,#REF!,"&lt;="&amp;EOMONTH(B155,0))</f>
        <v>#REF!</v>
      </c>
      <c r="AU180" s="1208" t="e">
        <f>IF(AS180=0,0,AT180/AS180)</f>
        <v>#REF!</v>
      </c>
      <c r="AV180" s="1287" t="e">
        <f ca="1">MINIFS(#REF!,#REF!,"&lt;&gt;0",#REF!,"&gt;="&amp;B155,#REF!,"&lt;="&amp;EOMONTH(B155,0))</f>
        <v>#NAME?</v>
      </c>
      <c r="AW180" s="1141" t="e">
        <f ca="1">MAXIFS(#REF!,#REF!,"&lt;&gt;0",#REF!,"&gt;="&amp;B155,#REF!,"&lt;="&amp;EOMONTH(B155,0))</f>
        <v>#NAME?</v>
      </c>
      <c r="AX180" s="1288" t="e">
        <f>COUNTIFS(#REF!,"&gt;="&amp;AR180,#REF!,"&gt;="&amp;B155,#REF!,"&lt;="&amp;EOMONTH(B155,0))</f>
        <v>#REF!</v>
      </c>
      <c r="AY180" s="1224" t="e">
        <f>AX180/AS180</f>
        <v>#REF!</v>
      </c>
      <c r="AZ180" s="1095" t="e">
        <f t="shared" si="67"/>
        <v>#REF!</v>
      </c>
      <c r="BA180" s="2"/>
    </row>
    <row r="181" spans="1:53" ht="15.75" hidden="1" customHeight="1" outlineLevel="1">
      <c r="A181" s="1027"/>
      <c r="B181" s="1096"/>
      <c r="C181" s="1139" t="s">
        <v>118</v>
      </c>
      <c r="D181" s="1122">
        <f>Parametres!$D$33</f>
        <v>75</v>
      </c>
      <c r="E181" s="1068" t="e">
        <f>COUNTIFS(#REF!,"&gt;0",#REF!,"&gt;="&amp;B155,#REF!,"&lt;="&amp;EOMONTH(B155,0))</f>
        <v>#REF!</v>
      </c>
      <c r="F181" s="1069" t="e">
        <f>SUMIFS(#REF!,#REF!,"&lt;&gt;0",#REF!,"&gt;="&amp;B155,#REF!,"&lt;="&amp;EOMONTH(B155,0))</f>
        <v>#REF!</v>
      </c>
      <c r="G181" s="1069" t="e">
        <f t="shared" si="65"/>
        <v>#REF!</v>
      </c>
      <c r="H181" s="1070" t="e">
        <f ca="1">MINIFS(#REF!,#REF!,"&lt;&gt;0",#REF!,"&gt;="&amp;B155,#REF!,"&lt;="&amp;EOMONTH(B155,0))</f>
        <v>#NAME?</v>
      </c>
      <c r="I181" s="1069" t="e">
        <f ca="1">MAXIFS(#REF!,#REF!,"&lt;&gt;0",#REF!,"&gt;="&amp;B155,#REF!,"&lt;="&amp;EOMONTH(B155,0))</f>
        <v>#NAME?</v>
      </c>
      <c r="J181" s="1114" t="e">
        <f>COUNTIFS(#REF!,"&gt;="&amp;D181,#REF!,"&gt;="&amp;B155,#REF!,"&lt;="&amp;EOMONTH(B155,0))</f>
        <v>#REF!</v>
      </c>
      <c r="K181" s="1341" t="e">
        <f t="shared" si="72"/>
        <v>#REF!</v>
      </c>
      <c r="L181" s="1281"/>
      <c r="M181" s="1289"/>
      <c r="N181" s="1290"/>
      <c r="O181" s="1290"/>
      <c r="P181" s="1286"/>
      <c r="Q181" s="1283"/>
      <c r="R181" s="1286"/>
      <c r="S181" s="1286"/>
      <c r="T181" s="1290"/>
      <c r="U181" s="1290"/>
      <c r="V181" s="1285"/>
      <c r="W181" s="1083">
        <f>Parametres!$T$33</f>
        <v>150</v>
      </c>
      <c r="X181" s="1142">
        <f>COUNTIFS('Degrémont sortie'!$X$14:$X$379,"&gt;0",'Degrémont sortie'!$A$14:$A$379,"&gt;="&amp;B155,'Degrémont sortie'!$A$14:$A$379,"&lt;="&amp;EOMONTH(B155,0))</f>
        <v>0</v>
      </c>
      <c r="Y181" s="1085">
        <f>SUMIFS('Degrémont sortie'!$X$14:$X$379,'Degrémont sortie'!$X$14:$X$379,"&lt;&gt;0",'Degrémont sortie'!$A$14:$A$379,"&gt;="&amp;B155,'Degrémont sortie'!$A$14:$A$379,"&lt;="&amp;EOMONTH(B155,0))</f>
        <v>0</v>
      </c>
      <c r="Z181" s="1069">
        <f t="shared" si="75"/>
        <v>0</v>
      </c>
      <c r="AA181" s="1286" t="e">
        <f ca="1">MINIFS('Degrémont sortie'!$X$14:$X$379,'Degrémont sortie'!$X$14:$X$379,"&lt;&gt;0",'Degrémont sortie'!$A$14:$A$379,"&gt;="&amp;B155,'Degrémont sortie'!$A$14:$A$379,"&lt;="&amp;EOMONTH(B155,0))</f>
        <v>#NAME?</v>
      </c>
      <c r="AB181" s="1286" t="e">
        <f ca="1">MAXIFS('Degrémont sortie'!$X$14:$X$379,'Degrémont sortie'!$X$14:$X$379,"&lt;&gt;0",'Degrémont sortie'!$A$14:$A$379,"&gt;="&amp;B155,'Degrémont sortie'!$A$14:$A$379,"&lt;="&amp;EOMONTH(B155,0))</f>
        <v>#NAME?</v>
      </c>
      <c r="AC181" s="1291" t="s">
        <v>153</v>
      </c>
      <c r="AD181" s="1292" t="s">
        <v>153</v>
      </c>
      <c r="AE181" s="1285"/>
      <c r="AF181" s="1293"/>
      <c r="AG181" s="1293"/>
      <c r="AH181" s="1293"/>
      <c r="AI181" s="1293"/>
      <c r="AJ181" s="1293"/>
      <c r="AK181" s="1285"/>
      <c r="AL181" s="1293"/>
      <c r="AM181" s="1293"/>
      <c r="AN181" s="1293"/>
      <c r="AO181" s="1293"/>
      <c r="AP181" s="1293"/>
      <c r="AQ181" s="1285"/>
      <c r="AR181" s="1293"/>
      <c r="AS181" s="1293"/>
      <c r="AT181" s="1293"/>
      <c r="AU181" s="1293"/>
      <c r="AV181" s="1293"/>
      <c r="AW181" s="1293"/>
      <c r="AX181" s="1294"/>
      <c r="AY181" s="1295"/>
      <c r="AZ181" s="1095" t="e">
        <f t="shared" si="67"/>
        <v>#REF!</v>
      </c>
      <c r="BA181" s="2"/>
    </row>
    <row r="182" spans="1:53" ht="15.75" hidden="1" customHeight="1" outlineLevel="1">
      <c r="A182" s="1027"/>
      <c r="B182" s="1096"/>
      <c r="C182" s="1139" t="s">
        <v>285</v>
      </c>
      <c r="D182" s="1122">
        <f>Parametres!$D$34</f>
        <v>10000000</v>
      </c>
      <c r="E182" s="1068" t="e">
        <f>COUNTIFS(#REF!,"&gt;0",#REF!,"&gt;="&amp;B155,#REF!,"&lt;="&amp;EOMONTH(B155,0))</f>
        <v>#REF!</v>
      </c>
      <c r="F182" s="1069" t="e">
        <f>SUMIFS(#REF!,#REF!,"&lt;&gt;0",#REF!,"&gt;="&amp;B155,#REF!,"&lt;="&amp;EOMONTH(B155,0))</f>
        <v>#REF!</v>
      </c>
      <c r="G182" s="1069" t="e">
        <f t="shared" si="65"/>
        <v>#REF!</v>
      </c>
      <c r="H182" s="1070" t="e">
        <f ca="1">MINIFS(#REF!,#REF!,"&lt;&gt;0",#REF!,"&gt;="&amp;B155,#REF!,"&lt;="&amp;EOMONTH(B155,0))</f>
        <v>#NAME?</v>
      </c>
      <c r="I182" s="1069" t="e">
        <f ca="1">MAXIFS(#REF!,#REF!,"&lt;&gt;0",#REF!,"&gt;="&amp;B155,#REF!,"&lt;="&amp;EOMONTH(B155,0))</f>
        <v>#NAME?</v>
      </c>
      <c r="J182" s="1072" t="s">
        <v>153</v>
      </c>
      <c r="K182" s="1072" t="s">
        <v>153</v>
      </c>
      <c r="L182" s="1281"/>
      <c r="M182" s="1289"/>
      <c r="N182" s="1290"/>
      <c r="O182" s="1290"/>
      <c r="P182" s="1286"/>
      <c r="Q182" s="1283"/>
      <c r="R182" s="1286"/>
      <c r="S182" s="1286"/>
      <c r="T182" s="1290"/>
      <c r="U182" s="1290"/>
      <c r="V182" s="1285"/>
      <c r="W182" s="1293"/>
      <c r="X182" s="1293"/>
      <c r="Y182" s="1286"/>
      <c r="Z182" s="1286"/>
      <c r="AA182" s="1286"/>
      <c r="AB182" s="1286"/>
      <c r="AC182" s="1293"/>
      <c r="AD182" s="1249"/>
      <c r="AE182" s="1285"/>
      <c r="AF182" s="1293"/>
      <c r="AG182" s="1293"/>
      <c r="AH182" s="1293"/>
      <c r="AI182" s="1293"/>
      <c r="AJ182" s="1293"/>
      <c r="AK182" s="1285"/>
      <c r="AL182" s="1293"/>
      <c r="AM182" s="1293"/>
      <c r="AN182" s="1293"/>
      <c r="AO182" s="1293"/>
      <c r="AP182" s="1293"/>
      <c r="AQ182" s="1285"/>
      <c r="AR182" s="1293"/>
      <c r="AS182" s="1293"/>
      <c r="AT182" s="1293"/>
      <c r="AU182" s="1293"/>
      <c r="AV182" s="1293"/>
      <c r="AW182" s="1293"/>
      <c r="AX182" s="1294"/>
      <c r="AY182" s="1295"/>
      <c r="AZ182" s="1095" t="e">
        <f t="shared" si="67"/>
        <v>#REF!</v>
      </c>
      <c r="BA182" s="2"/>
    </row>
    <row r="183" spans="1:53" ht="15.75" hidden="1" customHeight="1" outlineLevel="1">
      <c r="A183" s="1027"/>
      <c r="B183" s="1096"/>
      <c r="C183" s="1139" t="s">
        <v>48</v>
      </c>
      <c r="D183" s="1122">
        <f>Parametres!$D$35</f>
        <v>0.5</v>
      </c>
      <c r="E183" s="1068" t="e">
        <f>COUNTIFS(#REF!,"&gt;0",#REF!,"&gt;="&amp;B155,#REF!,"&lt;="&amp;EOMONTH(B155,0))</f>
        <v>#REF!</v>
      </c>
      <c r="F183" s="1069" t="e">
        <f>SUMIFS(#REF!,#REF!,"&lt;&gt;0",#REF!,"&gt;="&amp;B155,#REF!,"&lt;="&amp;EOMONTH(B155,0))</f>
        <v>#REF!</v>
      </c>
      <c r="G183" s="1069" t="e">
        <f t="shared" si="65"/>
        <v>#REF!</v>
      </c>
      <c r="H183" s="1070" t="e">
        <f ca="1">MINIFS(#REF!,#REF!,"&lt;&gt;0",#REF!,"&gt;="&amp;B155,#REF!,"&lt;="&amp;EOMONTH(B155,0))</f>
        <v>#NAME?</v>
      </c>
      <c r="I183" s="1069" t="e">
        <f ca="1">MAXIFS(#REF!,#REF!,"&lt;&gt;0",#REF!,"&gt;="&amp;B155,#REF!,"&lt;="&amp;EOMONTH(B155,0))</f>
        <v>#NAME?</v>
      </c>
      <c r="J183" s="1114" t="e">
        <f>COUNTIFS(#REF!,"&gt;="&amp;D183,#REF!,"&gt;="&amp;B155,#REF!,"&lt;="&amp;EOMONTH(B155,0))</f>
        <v>#REF!</v>
      </c>
      <c r="K183" s="1341" t="e">
        <f>J183/E183</f>
        <v>#REF!</v>
      </c>
      <c r="L183" s="1281"/>
      <c r="M183" s="1289"/>
      <c r="N183" s="1144">
        <f>Parametres!$L$35</f>
        <v>30</v>
      </c>
      <c r="O183" s="1077">
        <f>COUNTIFS('Degrémont Entrée'!$BB$14:$BB$379,"&gt;0",'Degrémont Entrée'!$A$14:$A$379,"&gt;="&amp;B155,'Degrémont Entrée'!$A$14:$A$379,"&lt;="&amp;EOMONTH(B155,0))</f>
        <v>0</v>
      </c>
      <c r="P183" s="1078">
        <f>SUMIFS('Degrémont Entrée'!$BB$14:$BB$379,'Degrémont Entrée'!$BB$14:$BB$379,"&lt;&gt;0",'Degrémont Entrée'!$A$14:$A$379,"&gt;="&amp;B155,'Degrémont Entrée'!$A$14:$A$379,"&lt;="&amp;EOMONTH(B155,0))</f>
        <v>0</v>
      </c>
      <c r="Q183" s="1283">
        <f>IF(O183=0,0,P183/O183)</f>
        <v>0</v>
      </c>
      <c r="R183" s="1286" t="e">
        <f ca="1">MINIFS('Degrémont Entrée'!$BB$14:$BB$379,'Degrémont Entrée'!$BB$14:$BB$379,"&lt;&gt;0",'Degrémont Entrée'!$A$14:$A$379,"&gt;="&amp;B155,'Degrémont Entrée'!$A$14:$A$379,"&lt;="&amp;EOMONTH(B155,0))</f>
        <v>#NAME?</v>
      </c>
      <c r="S183" s="1286" t="e">
        <f ca="1">MAXIFS('Degrémont Entrée'!$BB$14:$BB$379,'Degrémont Entrée'!$BB$14:$BB$379,"&lt;&gt;0",'Degrémont Entrée'!$A$14:$A$379,"&gt;="&amp;B155,'Degrémont Entrée'!$A$14:$A$379,"&lt;="&amp;EOMONTH(B155,0))</f>
        <v>#NAME?</v>
      </c>
      <c r="T183" s="1141">
        <f>COUNTIFS('Degrémont Entrée'!$BB$14:$BB$379,"&gt;="&amp;N183,'Degrémont Entrée'!$A$14:$A$379,"&gt;="&amp;B155,'Degrémont Entrée'!$A$14:$A$379,"&lt;="&amp;EOMONTH(B155,0))</f>
        <v>0</v>
      </c>
      <c r="U183" s="1081" t="e">
        <f>T183/O183</f>
        <v>#DIV/0!</v>
      </c>
      <c r="V183" s="1285"/>
      <c r="W183" s="1083">
        <f>Parametres!$T$35</f>
        <v>0.16</v>
      </c>
      <c r="X183" s="1142">
        <f>COUNTIFS('Degrémont sortie'!$AV$14:$AV$379,"&gt;0",'Degrémont sortie'!$A$14:$A$379,"&gt;="&amp;B155,'Degrémont sortie'!$A$14:$A$379,"&lt;="&amp;EOMONTH(B155,0))</f>
        <v>0</v>
      </c>
      <c r="Y183" s="1085">
        <f>SUMIFS('Degrémont sortie'!$AV$14:$AV$379,'Degrémont sortie'!$AV$14:$AV$379,"&lt;&gt;0",'Degrémont sortie'!$A$14:$A$379,"&gt;="&amp;B155,'Degrémont sortie'!$A$14:$A$379,"&lt;="&amp;EOMONTH(B155,0))</f>
        <v>0</v>
      </c>
      <c r="Z183" s="1069">
        <f t="shared" ref="Z183:Z185" si="77">IF(X183=0,0,Y183/X183)</f>
        <v>0</v>
      </c>
      <c r="AA183" s="1286" t="e">
        <f ca="1">MINIFS('Degrémont sortie'!$AV$14:$AV$379,'Degrémont sortie'!$AV$14:$AV$379,"&lt;&gt;0",'Degrémont sortie'!$A$14:$A$379,"&gt;="&amp;B155,'Degrémont sortie'!$A$14:$A$379,"&lt;="&amp;EOMONTH(B155,0))</f>
        <v>#NAME?</v>
      </c>
      <c r="AB183" s="1286" t="e">
        <f ca="1">MAXIFS('Degrémont sortie'!$AV$14:$AV$379,'Degrémont sortie'!$AV$14:$AV$379,"&lt;&gt;0",'Degrémont sortie'!$A$14:$A$379,"&gt;="&amp;B155,'Degrémont sortie'!$A$14:$A$379,"&lt;="&amp;EOMONTH(B155,0))</f>
        <v>#NAME?</v>
      </c>
      <c r="AC183" s="1141">
        <f>COUNTIFS('Degrémont sortie'!$AV$14:$AV$379,"&gt;="&amp;W183,'Degrémont sortie'!$A$14:$A$379,"&gt;="&amp;B155,'Degrémont sortie'!$A$14:$A$379,"&lt;="&amp;EOMONTH(B155,0))</f>
        <v>0</v>
      </c>
      <c r="AD183" s="1087" t="e">
        <f>AC183/X183</f>
        <v>#DIV/0!</v>
      </c>
      <c r="AE183" s="1285"/>
      <c r="AF183" s="1293"/>
      <c r="AG183" s="1293"/>
      <c r="AH183" s="1293"/>
      <c r="AI183" s="1293"/>
      <c r="AJ183" s="1293"/>
      <c r="AK183" s="1285"/>
      <c r="AL183" s="1293"/>
      <c r="AM183" s="1293"/>
      <c r="AN183" s="1293"/>
      <c r="AO183" s="1293"/>
      <c r="AP183" s="1293"/>
      <c r="AQ183" s="1285"/>
      <c r="AR183" s="1293"/>
      <c r="AS183" s="1293"/>
      <c r="AT183" s="1293"/>
      <c r="AU183" s="1293"/>
      <c r="AV183" s="1293"/>
      <c r="AW183" s="1293"/>
      <c r="AX183" s="1294"/>
      <c r="AY183" s="1295"/>
      <c r="AZ183" s="1095" t="e">
        <f t="shared" si="67"/>
        <v>#REF!</v>
      </c>
      <c r="BA183" s="2"/>
    </row>
    <row r="184" spans="1:53" ht="15.75" hidden="1" customHeight="1" outlineLevel="1">
      <c r="A184" s="1027"/>
      <c r="B184" s="1096"/>
      <c r="C184" s="1139" t="s">
        <v>39</v>
      </c>
      <c r="D184" s="1122">
        <f>Parametres!$D$36</f>
        <v>10000000</v>
      </c>
      <c r="E184" s="1068" t="e">
        <f>COUNTIFS(#REF!,"&gt;0",#REF!,"&gt;="&amp;B155,#REF!,"&lt;="&amp;EOMONTH(B155,0))</f>
        <v>#REF!</v>
      </c>
      <c r="F184" s="1069" t="e">
        <f>SUMIFS(#REF!,#REF!,"&lt;&gt;0",#REF!,"&gt;="&amp;B155,#REF!,"&lt;="&amp;EOMONTH(B155,0))</f>
        <v>#REF!</v>
      </c>
      <c r="G184" s="1069" t="e">
        <f t="shared" si="65"/>
        <v>#REF!</v>
      </c>
      <c r="H184" s="1070" t="e">
        <f ca="1">MINIFS(#REF!,#REF!,"&lt;&gt;0",#REF!,"&gt;="&amp;B155,#REF!,"&lt;="&amp;EOMONTH(B155,0))</f>
        <v>#NAME?</v>
      </c>
      <c r="I184" s="1277" t="e">
        <f ca="1">MAXIFS(#REF!,#REF!,"&lt;&gt;0",#REF!,"&gt;="&amp;B155,#REF!,"&lt;="&amp;EOMONTH(B155,0))</f>
        <v>#NAME?</v>
      </c>
      <c r="J184" s="1072" t="s">
        <v>153</v>
      </c>
      <c r="K184" s="1072" t="s">
        <v>153</v>
      </c>
      <c r="L184" s="1281"/>
      <c r="M184" s="1289"/>
      <c r="N184" s="1290"/>
      <c r="O184" s="1290"/>
      <c r="P184" s="1286"/>
      <c r="Q184" s="1286"/>
      <c r="R184" s="1286"/>
      <c r="S184" s="1286"/>
      <c r="T184" s="1290"/>
      <c r="U184" s="1290"/>
      <c r="V184" s="1285"/>
      <c r="W184" s="1083">
        <f>Parametres!$T$36</f>
        <v>100000000</v>
      </c>
      <c r="X184" s="1142">
        <f>COUNTIFS('Degrémont sortie'!$R$14:$R$379,"&gt;0",'Degrémont sortie'!$A$14:$A$379,"&gt;="&amp;B155,'Degrémont sortie'!$A$14:$A$379,"&lt;="&amp;EOMONTH(B155,0))</f>
        <v>0</v>
      </c>
      <c r="Y184" s="1085">
        <f>SUMIFS('Degrémont sortie'!$R$14:$R$379,'Degrémont sortie'!$R$14:$R$379,"&lt;&gt;0",'Degrémont sortie'!$A$14:$A$379,"&gt;="&amp;B155,'Degrémont sortie'!$A$14:$A$379,"&lt;="&amp;EOMONTH(B155,0))</f>
        <v>0</v>
      </c>
      <c r="Z184" s="1069">
        <f t="shared" si="77"/>
        <v>0</v>
      </c>
      <c r="AA184" s="1286" t="e">
        <f ca="1">MINIFS('Degrémont sortie'!$R$14:$R$379,'Degrémont sortie'!$R$14:$R$379,"&lt;&gt;0",'Degrémont sortie'!$A$14:$A$379,"&gt;="&amp;B155,'Degrémont sortie'!$A$14:$A$379,"&lt;="&amp;EOMONTH(B155,0))</f>
        <v>#NAME?</v>
      </c>
      <c r="AB184" s="1286" t="e">
        <f ca="1">MAXIFS('Degrémont sortie'!$R$14:$R$379,'Degrémont sortie'!$R$14:$R$379,"&lt;&gt;0",'Degrémont sortie'!$A$14:$A$379,"&gt;="&amp;B155,'Degrémont sortie'!$A$14:$A$379,"&lt;="&amp;EOMONTH(B155,0))</f>
        <v>#NAME?</v>
      </c>
      <c r="AC184" s="1291" t="s">
        <v>153</v>
      </c>
      <c r="AD184" s="1292" t="s">
        <v>153</v>
      </c>
      <c r="AE184" s="1285"/>
      <c r="AF184" s="1293"/>
      <c r="AG184" s="1293"/>
      <c r="AH184" s="1293"/>
      <c r="AI184" s="1293"/>
      <c r="AJ184" s="1293"/>
      <c r="AK184" s="1285"/>
      <c r="AL184" s="1293"/>
      <c r="AM184" s="1293"/>
      <c r="AN184" s="1293"/>
      <c r="AO184" s="1293"/>
      <c r="AP184" s="1293"/>
      <c r="AQ184" s="1285"/>
      <c r="AR184" s="1293"/>
      <c r="AS184" s="1293"/>
      <c r="AT184" s="1293"/>
      <c r="AU184" s="1293"/>
      <c r="AV184" s="1293"/>
      <c r="AW184" s="1293"/>
      <c r="AX184" s="1294"/>
      <c r="AY184" s="1295"/>
      <c r="AZ184" s="1095" t="e">
        <f t="shared" si="67"/>
        <v>#REF!</v>
      </c>
      <c r="BA184" s="2"/>
    </row>
    <row r="185" spans="1:53" ht="15.75" hidden="1" customHeight="1" outlineLevel="1">
      <c r="A185" s="1027"/>
      <c r="B185" s="1096"/>
      <c r="C185" s="1139" t="s">
        <v>40</v>
      </c>
      <c r="D185" s="1122">
        <f>Parametres!$D$37</f>
        <v>10000000</v>
      </c>
      <c r="E185" s="1068" t="e">
        <f>COUNTIFS(#REF!,"&gt;0",#REF!,"&gt;="&amp;B155,#REF!,"&lt;="&amp;EOMONTH(B155,0))</f>
        <v>#REF!</v>
      </c>
      <c r="F185" s="1069" t="e">
        <f>SUMIFS(#REF!,#REF!,"&lt;&gt;0",#REF!,"&gt;="&amp;B155,#REF!,"&lt;="&amp;EOMONTH(B155,0))</f>
        <v>#REF!</v>
      </c>
      <c r="G185" s="1069" t="e">
        <f t="shared" si="65"/>
        <v>#REF!</v>
      </c>
      <c r="H185" s="1070" t="e">
        <f ca="1">MINIFS(#REF!,#REF!,"&lt;&gt;0",#REF!,"&gt;="&amp;B155,#REF!,"&lt;="&amp;EOMONTH(B155,0))</f>
        <v>#NAME?</v>
      </c>
      <c r="I185" s="1069" t="e">
        <f ca="1">MAXIFS(#REF!,#REF!,"&lt;&gt;0",#REF!,"&gt;="&amp;B155,#REF!,"&lt;="&amp;EOMONTH(B155,0))</f>
        <v>#NAME?</v>
      </c>
      <c r="J185" s="1072" t="s">
        <v>153</v>
      </c>
      <c r="K185" s="1072" t="s">
        <v>153</v>
      </c>
      <c r="L185" s="1281"/>
      <c r="M185" s="1289"/>
      <c r="N185" s="1290"/>
      <c r="O185" s="1290"/>
      <c r="P185" s="1286"/>
      <c r="Q185" s="1286"/>
      <c r="R185" s="1286"/>
      <c r="S185" s="1286"/>
      <c r="T185" s="1290"/>
      <c r="U185" s="1290"/>
      <c r="V185" s="1285"/>
      <c r="W185" s="1083">
        <f>Parametres!$T$37</f>
        <v>100000000</v>
      </c>
      <c r="X185" s="1142">
        <f>COUNTIFS('Degrémont sortie'!$U$14:$U$379,"&gt;0",'Degrémont sortie'!$A$14:$A$379,"&gt;="&amp;B155,'Degrémont sortie'!$A$14:$A$379,"&lt;="&amp;EOMONTH(B155,0))</f>
        <v>0</v>
      </c>
      <c r="Y185" s="1085">
        <f>SUMIFS('Degrémont sortie'!$U$14:$U$379,'Degrémont sortie'!$U$14:$U$379,"&lt;&gt;0",'Degrémont sortie'!$A$14:$A$379,"&gt;="&amp;B155,'Degrémont sortie'!$A$14:$A$379,"&lt;="&amp;EOMONTH(B155,0))</f>
        <v>0</v>
      </c>
      <c r="Z185" s="1069">
        <f t="shared" si="77"/>
        <v>0</v>
      </c>
      <c r="AA185" s="1286" t="e">
        <f ca="1">MINIFS('Degrémont sortie'!$U$14:$U$379,'Degrémont sortie'!$U$14:$U$379,"&lt;&gt;0",'Degrémont sortie'!$A$14:$A$379,"&gt;="&amp;B155,'Degrémont sortie'!$A$14:$A$379,"&lt;="&amp;EOMONTH(B155,0))</f>
        <v>#NAME?</v>
      </c>
      <c r="AB185" s="1286" t="e">
        <f ca="1">MAXIFS('Degrémont sortie'!$U$14:$U$379,'Degrémont sortie'!$U$14:$U$379,"&lt;&gt;0",'Degrémont sortie'!$A$14:$A$379,"&gt;="&amp;B155,'Degrémont sortie'!$A$14:$A$379,"&lt;="&amp;EOMONTH(B155,0))</f>
        <v>#NAME?</v>
      </c>
      <c r="AC185" s="1291" t="s">
        <v>153</v>
      </c>
      <c r="AD185" s="1292" t="s">
        <v>153</v>
      </c>
      <c r="AE185" s="1285"/>
      <c r="AF185" s="1293"/>
      <c r="AG185" s="1293"/>
      <c r="AH185" s="1293"/>
      <c r="AI185" s="1293"/>
      <c r="AJ185" s="1293"/>
      <c r="AK185" s="1285"/>
      <c r="AL185" s="1293"/>
      <c r="AM185" s="1293"/>
      <c r="AN185" s="1293"/>
      <c r="AO185" s="1293"/>
      <c r="AP185" s="1293"/>
      <c r="AQ185" s="1285"/>
      <c r="AR185" s="1293"/>
      <c r="AS185" s="1293"/>
      <c r="AT185" s="1293"/>
      <c r="AU185" s="1293"/>
      <c r="AV185" s="1293"/>
      <c r="AW185" s="1293"/>
      <c r="AX185" s="1294"/>
      <c r="AY185" s="1295"/>
      <c r="AZ185" s="1095" t="e">
        <f t="shared" si="67"/>
        <v>#REF!</v>
      </c>
      <c r="BA185" s="2"/>
    </row>
    <row r="186" spans="1:53" ht="15.75" hidden="1" customHeight="1" outlineLevel="1">
      <c r="A186" s="1027"/>
      <c r="B186" s="1096"/>
      <c r="C186" s="1121" t="s">
        <v>15</v>
      </c>
      <c r="D186" s="1122">
        <f>Parametres!$D$38</f>
        <v>1000000</v>
      </c>
      <c r="E186" s="1068" t="e">
        <f>COUNTIFS(#REF!,"&gt;0",#REF!,"&gt;="&amp;B155,#REF!,"&lt;="&amp;EOMONTH(B155,0))</f>
        <v>#REF!</v>
      </c>
      <c r="F186" s="1069" t="e">
        <f>SUMIFS(#REF!,#REF!,"&lt;&gt;0",#REF!,"&gt;="&amp;B155,#REF!,"&lt;="&amp;EOMONTH(B155,0))</f>
        <v>#REF!</v>
      </c>
      <c r="G186" s="1069" t="e">
        <f t="shared" si="65"/>
        <v>#REF!</v>
      </c>
      <c r="H186" s="1070" t="e">
        <f ca="1">MINIFS(#REF!,#REF!,"&lt;&gt;0",#REF!,"&gt;="&amp;B155,#REF!,"&lt;="&amp;EOMONTH(B155,0))</f>
        <v>#NAME?</v>
      </c>
      <c r="I186" s="1069" t="e">
        <f ca="1">MAXIFS(#REF!,#REF!,"&lt;&gt;0",#REF!,"&gt;="&amp;B155,#REF!,"&lt;="&amp;EOMONTH(B155,0))</f>
        <v>#NAME?</v>
      </c>
      <c r="J186" s="1072" t="e">
        <f>COUNTIFS(#REF!,"&gt;="&amp;D186,#REF!,"&gt;="&amp;B155,#REF!,"&lt;="&amp;EOMONTH(B155,0))</f>
        <v>#REF!</v>
      </c>
      <c r="K186" s="1341" t="e">
        <f t="shared" ref="K186:K187" si="78">J186/E186</f>
        <v>#REF!</v>
      </c>
      <c r="L186" s="1281"/>
      <c r="M186" s="1289"/>
      <c r="N186" s="1290"/>
      <c r="O186" s="1290"/>
      <c r="P186" s="1286"/>
      <c r="Q186" s="1286"/>
      <c r="R186" s="1286"/>
      <c r="S186" s="1286"/>
      <c r="T186" s="1290"/>
      <c r="U186" s="1290"/>
      <c r="V186" s="1285"/>
      <c r="W186" s="1293"/>
      <c r="X186" s="1293"/>
      <c r="Y186" s="1286"/>
      <c r="Z186" s="1286"/>
      <c r="AA186" s="1286"/>
      <c r="AB186" s="1286"/>
      <c r="AC186" s="1293"/>
      <c r="AD186" s="1249"/>
      <c r="AE186" s="1285"/>
      <c r="AF186" s="1293"/>
      <c r="AG186" s="1293"/>
      <c r="AH186" s="1293"/>
      <c r="AI186" s="1293"/>
      <c r="AJ186" s="1293"/>
      <c r="AK186" s="1285"/>
      <c r="AL186" s="1293"/>
      <c r="AM186" s="1293"/>
      <c r="AN186" s="1293"/>
      <c r="AO186" s="1293"/>
      <c r="AP186" s="1293"/>
      <c r="AQ186" s="1285"/>
      <c r="AR186" s="1293"/>
      <c r="AS186" s="1293"/>
      <c r="AT186" s="1293"/>
      <c r="AU186" s="1293"/>
      <c r="AV186" s="1293"/>
      <c r="AW186" s="1293"/>
      <c r="AX186" s="1294"/>
      <c r="AY186" s="1295"/>
      <c r="AZ186" s="1095" t="e">
        <f t="shared" si="67"/>
        <v>#REF!</v>
      </c>
      <c r="BA186" s="2"/>
    </row>
    <row r="187" spans="1:53" ht="15.75" hidden="1" customHeight="1" outlineLevel="1">
      <c r="A187" s="1027"/>
      <c r="B187" s="1096"/>
      <c r="C187" s="1139" t="s">
        <v>38</v>
      </c>
      <c r="D187" s="1122">
        <f>Parametres!$D$40</f>
        <v>10000000</v>
      </c>
      <c r="E187" s="1068" t="e">
        <f>COUNTIFS(#REF!,"&gt;0",#REF!,"&gt;="&amp;B155,#REF!,"&lt;="&amp;EOMONTH(B155,0))</f>
        <v>#REF!</v>
      </c>
      <c r="F187" s="1069" t="e">
        <f>SUMIFS(#REF!,#REF!,"&lt;&gt;0",#REF!,"&gt;="&amp;B155,#REF!,"&lt;="&amp;EOMONTH(B155,0))</f>
        <v>#REF!</v>
      </c>
      <c r="G187" s="1069" t="e">
        <f t="shared" si="65"/>
        <v>#REF!</v>
      </c>
      <c r="H187" s="1070" t="e">
        <f ca="1">MINIFS(#REF!,#REF!,"&lt;&gt;0",#REF!,"&gt;="&amp;B155,#REF!,"&lt;="&amp;EOMONTH(B155,0))</f>
        <v>#NAME?</v>
      </c>
      <c r="I187" s="1069" t="e">
        <f ca="1">MAXIFS(#REF!,#REF!,"&lt;&gt;0",#REF!,"&gt;="&amp;B155,#REF!,"&lt;="&amp;EOMONTH(B155,0))</f>
        <v>#NAME?</v>
      </c>
      <c r="J187" s="1114" t="e">
        <f>COUNTIFS(#REF!,"&gt;="&amp;D187,#REF!,"&gt;="&amp;B156,#REF!,"&lt;="&amp;EOMONTH(B156,0))</f>
        <v>#REF!</v>
      </c>
      <c r="K187" s="1341" t="e">
        <f t="shared" si="78"/>
        <v>#REF!</v>
      </c>
      <c r="L187" s="1281"/>
      <c r="M187" s="1289"/>
      <c r="N187" s="1313"/>
      <c r="O187" s="1313"/>
      <c r="P187" s="1315"/>
      <c r="Q187" s="1317"/>
      <c r="R187" s="1286"/>
      <c r="S187" s="1286"/>
      <c r="T187" s="1290"/>
      <c r="U187" s="1290"/>
      <c r="V187" s="1285"/>
      <c r="W187" s="1293"/>
      <c r="X187" s="1293"/>
      <c r="Y187" s="1315"/>
      <c r="Z187" s="1286"/>
      <c r="AA187" s="1286"/>
      <c r="AB187" s="1286"/>
      <c r="AC187" s="1293"/>
      <c r="AD187" s="1249"/>
      <c r="AE187" s="1285"/>
      <c r="AF187" s="1293"/>
      <c r="AG187" s="1293"/>
      <c r="AH187" s="1293"/>
      <c r="AI187" s="1293"/>
      <c r="AJ187" s="1293"/>
      <c r="AK187" s="1285"/>
      <c r="AL187" s="1321"/>
      <c r="AM187" s="1293"/>
      <c r="AN187" s="1293"/>
      <c r="AO187" s="1293"/>
      <c r="AP187" s="1293"/>
      <c r="AQ187" s="1285"/>
      <c r="AR187" s="1293"/>
      <c r="AS187" s="1293"/>
      <c r="AT187" s="1293"/>
      <c r="AU187" s="1293"/>
      <c r="AV187" s="1293"/>
      <c r="AW187" s="1293"/>
      <c r="AX187" s="1294"/>
      <c r="AY187" s="1295"/>
      <c r="AZ187" s="1095" t="e">
        <f t="shared" si="67"/>
        <v>#REF!</v>
      </c>
      <c r="BA187" s="2"/>
    </row>
    <row r="188" spans="1:53" ht="15.75" hidden="1" customHeight="1" outlineLevel="1">
      <c r="A188" s="1027"/>
      <c r="B188" s="1096"/>
      <c r="C188" s="1139" t="s">
        <v>33</v>
      </c>
      <c r="D188" s="1122">
        <f>Parametres!$D$39</f>
        <v>1000000</v>
      </c>
      <c r="E188" s="1068" t="e">
        <f>COUNTIFS(#REF!,"&gt;0",#REF!,"&gt;="&amp;B155,#REF!,"&lt;="&amp;EOMONTH(B155,0))</f>
        <v>#REF!</v>
      </c>
      <c r="F188" s="1069" t="e">
        <f>SUMIFS(#REF!,#REF!,"&lt;&gt;0",#REF!,"&gt;="&amp;B155,#REF!,"&lt;="&amp;EOMONTH(B155,0))</f>
        <v>#REF!</v>
      </c>
      <c r="G188" s="1069" t="e">
        <f t="shared" si="65"/>
        <v>#REF!</v>
      </c>
      <c r="H188" s="1070" t="e">
        <f ca="1">MINIFS(#REF!,#REF!,"&lt;&gt;0",#REF!,"&gt;="&amp;B155,#REF!,"&lt;="&amp;EOMONTH(B155,0))</f>
        <v>#NAME?</v>
      </c>
      <c r="I188" s="1069" t="e">
        <f ca="1">MAXIFS(#REF!,#REF!,"&lt;&gt;0",#REF!,"&gt;="&amp;B155,#REF!,"&lt;="&amp;EOMONTH(B155,0))</f>
        <v>#NAME?</v>
      </c>
      <c r="J188" s="1072" t="s">
        <v>153</v>
      </c>
      <c r="K188" s="1072" t="s">
        <v>153</v>
      </c>
      <c r="L188" s="1281"/>
      <c r="M188" s="1289"/>
      <c r="N188" s="1328">
        <f>Parametres!$L$39</f>
        <v>100000</v>
      </c>
      <c r="O188" s="1077">
        <f>COUNTIF('Degrémont Entrée'!$U$14:$U$44,"&gt;0")</f>
        <v>4</v>
      </c>
      <c r="P188" s="1078">
        <f>SUMIFS('Degrémont Entrée'!$U$14:$U$379,'Degrémont Entrée'!$U$14:$U$379,"&lt;&gt;0",'Degrémont Entrée'!$A$14:$A$379,"&gt;="&amp;B155,'Degrémont Entrée'!$A$14:$A$379,"&lt;="&amp;EOMONTH(B155,0))</f>
        <v>0</v>
      </c>
      <c r="Q188" s="1283">
        <f t="shared" ref="Q188:Q191" si="79">IF(O188=0,0,P188/O188)</f>
        <v>0</v>
      </c>
      <c r="R188" s="1286" t="e">
        <f ca="1">MINIFS('Degrémont Entrée'!$U$14:$U$379,'Degrémont Entrée'!$U$14:$U$379,"&lt;&gt;0",'Degrémont Entrée'!$A$14:$A$379,"&gt;="&amp;B155,'Degrémont Entrée'!$A$14:$A$379,"&lt;="&amp;EOMONTH(B155,0))</f>
        <v>#NAME?</v>
      </c>
      <c r="S188" s="1286" t="e">
        <f ca="1">MAXIFS('Degrémont Entrée'!$U$14:$U$379,'Degrémont Entrée'!$U$14:$U$379,"&lt;&gt;0",'Degrémont Entrée'!$A$14:$A$379,"&gt;="&amp;B155,'Degrémont Entrée'!$A$14:$A$379,"&lt;="&amp;EOMONTH(B155,0))</f>
        <v>#NAME?</v>
      </c>
      <c r="T188" s="1291" t="s">
        <v>153</v>
      </c>
      <c r="U188" s="1291" t="s">
        <v>153</v>
      </c>
      <c r="V188" s="1285"/>
      <c r="W188" s="1083">
        <f>Parametres!T186</f>
        <v>0</v>
      </c>
      <c r="X188" s="1142">
        <f>COUNTIFS('Degrémont sortie'!$O$14:$O$379,"&gt;0",'Degrémont sortie'!$A$14:$A$379,"&gt;="&amp;B155,'Degrémont sortie'!$A$14:$A$379,"&lt;="&amp;EOMONTH(B155,0))</f>
        <v>0</v>
      </c>
      <c r="Y188" s="1085">
        <f>SUMIFS('Degrémont sortie'!$O$14:$O$379,'Degrémont sortie'!$O$14:$O$379,"&lt;&gt;0",'Degrémont sortie'!$A$14:$A$379,"&gt;="&amp;B155,'Degrémont sortie'!$A$14:$A$379,"&lt;="&amp;EOMONTH(B155,0))</f>
        <v>0</v>
      </c>
      <c r="Z188" s="1069">
        <f t="shared" ref="Z188:Z194" si="80">IF(X188=0,0,Y188/X188)</f>
        <v>0</v>
      </c>
      <c r="AA188" s="1286" t="e">
        <f ca="1">MINIFS('Degrémont sortie'!$O$14:$O$379,'Degrémont sortie'!$O$14:$O$379,"&lt;&gt;0",'Degrémont sortie'!$A$14:$A$379,"&gt;="&amp;B155,'Degrémont sortie'!$A$14:$A$379,"&lt;="&amp;EOMONTH(B155,0))</f>
        <v>#NAME?</v>
      </c>
      <c r="AB188" s="1286" t="e">
        <f ca="1">MAXIFS('Degrémont sortie'!$O$14:$O$379,'Degrémont sortie'!$O$14:$O$379,"&lt;&gt;0",'Degrémont sortie'!$A$14:$A$379,"&gt;="&amp;B155,'Degrémont sortie'!$A$14:$A$379,"&lt;="&amp;EOMONTH(B155,0))</f>
        <v>#NAME?</v>
      </c>
      <c r="AC188" s="1291" t="s">
        <v>153</v>
      </c>
      <c r="AD188" s="1292" t="s">
        <v>153</v>
      </c>
      <c r="AE188" s="1285"/>
      <c r="AF188" s="1293"/>
      <c r="AG188" s="1293"/>
      <c r="AH188" s="1293"/>
      <c r="AI188" s="1293"/>
      <c r="AJ188" s="1293"/>
      <c r="AK188" s="1285"/>
      <c r="AL188" s="1205" t="e">
        <f>COUNTIFS(#REF!,"&gt;0",#REF!,"&gt;="&amp;B155,#REF!,"&lt;="&amp;EOMONTH(B155,0))</f>
        <v>#REF!</v>
      </c>
      <c r="AM188" s="1208" t="e">
        <f>SUMIFS(#REF!,#REF!,"&lt;&gt;0",#REF!,"&gt;="&amp;B155,#REF!,"&lt;="&amp;EOMONTH(B155,0))</f>
        <v>#REF!</v>
      </c>
      <c r="AN188" s="1208" t="e">
        <f>IF(AL188=0,0,AM188/AL188)</f>
        <v>#REF!</v>
      </c>
      <c r="AO188" s="1141" t="e">
        <f ca="1">MINIFS(#REF!,#REF!,"&lt;&gt;0",#REF!,"&gt;="&amp;B155,#REF!,"&lt;="&amp;EOMONTH(B155,0))</f>
        <v>#NAME?</v>
      </c>
      <c r="AP188" s="1141" t="e">
        <f ca="1">MAXIFS(#REF!,#REF!,"&lt;&gt;0",#REF!,"&gt;="&amp;B155,#REF!,"&lt;="&amp;EOMONTH(B155,0))</f>
        <v>#NAME?</v>
      </c>
      <c r="AQ188" s="1285"/>
      <c r="AR188" s="1293"/>
      <c r="AS188" s="1293"/>
      <c r="AT188" s="1293"/>
      <c r="AU188" s="1293"/>
      <c r="AV188" s="1293"/>
      <c r="AW188" s="1293"/>
      <c r="AX188" s="1294"/>
      <c r="AY188" s="1295"/>
      <c r="AZ188" s="1095" t="e">
        <f t="shared" si="67"/>
        <v>#REF!</v>
      </c>
      <c r="BA188" s="2"/>
    </row>
    <row r="189" spans="1:53" ht="15.75" hidden="1" customHeight="1" outlineLevel="1">
      <c r="A189" s="1027"/>
      <c r="B189" s="1096"/>
      <c r="C189" s="1139" t="s">
        <v>49</v>
      </c>
      <c r="D189" s="1122" t="str">
        <f>Parametres!$D$41</f>
        <v>5,5-8,5</v>
      </c>
      <c r="E189" s="1068" t="e">
        <f>COUNTIFS(#REF!,"&gt;0",#REF!,"&gt;="&amp;B155,#REF!,"&lt;="&amp;EOMONTH(B155,0))</f>
        <v>#REF!</v>
      </c>
      <c r="F189" s="1069" t="e">
        <f>SUMIFS(#REF!,#REF!,"&lt;&gt;0",#REF!,"&gt;="&amp;B155,#REF!,"&lt;="&amp;EOMONTH(B155,0))</f>
        <v>#REF!</v>
      </c>
      <c r="G189" s="1069" t="e">
        <f t="shared" si="65"/>
        <v>#REF!</v>
      </c>
      <c r="H189" s="1070" t="e">
        <f ca="1">MINIFS(#REF!,#REF!,"&lt;&gt;0",#REF!,"&gt;="&amp;B155,#REF!,"&lt;="&amp;EOMONTH(B155,0))</f>
        <v>#NAME?</v>
      </c>
      <c r="I189" s="1069" t="e">
        <f ca="1">MAXIFS(#REF!,#REF!,"&lt;&gt;0",#REF!,"&gt;="&amp;B155,#REF!,"&lt;="&amp;EOMONTH(B155,0))</f>
        <v>#NAME?</v>
      </c>
      <c r="J189" s="1114" t="e">
        <f>COUNTIFS(#REF!,"&lt;="&amp;D189,#REF!,"&gt;="&amp;B155,#REF!,"&lt;="&amp;EOMONTH(B155,0))</f>
        <v>#REF!</v>
      </c>
      <c r="K189" s="1341" t="e">
        <f t="shared" ref="K189:K191" si="81">J189/E189</f>
        <v>#REF!</v>
      </c>
      <c r="L189" s="1281"/>
      <c r="M189" s="1289"/>
      <c r="N189" s="1144">
        <f>Parametres!$L$41</f>
        <v>100000000</v>
      </c>
      <c r="O189" s="1077">
        <f>COUNTIFS('Degrémont Entrée'!$C$14:$C$379,"&gt;0",'Degrémont Entrée'!$A$14:$A$379,"&gt;="&amp;B155,'Degrémont Entrée'!$A$14:$A$379,"&lt;="&amp;EOMONTH(B155,0))</f>
        <v>0</v>
      </c>
      <c r="P189" s="1078">
        <f>SUMIFS('Degrémont Entrée'!$C$14:$C$379,'Degrémont Entrée'!$C$14:$C$379,"&lt;&gt;0",'Degrémont Entrée'!$A$14:$A$379,"&gt;="&amp;B155,'Degrémont Entrée'!$A$14:$A$379,"&lt;="&amp;EOMONTH(B155,0))</f>
        <v>0</v>
      </c>
      <c r="Q189" s="1283">
        <f t="shared" si="79"/>
        <v>0</v>
      </c>
      <c r="R189" s="1286" t="e">
        <f ca="1">MINIFS('Degrémont Entrée'!$C$14:$C$379,'Degrémont Entrée'!$C$14:$C$379,"&lt;&gt;0",'Degrémont Entrée'!$A$14:$A$379,"&gt;="&amp;B155,'Degrémont Entrée'!$A$14:$A$379,"&lt;="&amp;EOMONTH(B155,0))</f>
        <v>#NAME?</v>
      </c>
      <c r="S189" s="1286" t="e">
        <f ca="1">MAXIFS('Degrémont Entrée'!$C$14:$C$379,'Degrémont Entrée'!$C$14:$C$379,"&lt;&gt;0",'Degrémont Entrée'!$A$14:$A$379,"&gt;="&amp;B155,'Degrémont Entrée'!$A$14:$A$379,"&lt;="&amp;EOMONTH(B155,0))</f>
        <v>#NAME?</v>
      </c>
      <c r="T189" s="1291" t="s">
        <v>153</v>
      </c>
      <c r="U189" s="1291" t="s">
        <v>153</v>
      </c>
      <c r="V189" s="1285"/>
      <c r="W189" s="1083">
        <f>Parametres!$T$41</f>
        <v>100000000</v>
      </c>
      <c r="X189" s="1142">
        <f>COUNTIFS('Degrémont sortie'!$C$14:$C$379,"&gt;0",'Degrémont sortie'!$A$14:$A$379,"&gt;="&amp;B155,'Degrémont sortie'!$A$14:$A$379,"&lt;="&amp;EOMONTH(B155,0))</f>
        <v>0</v>
      </c>
      <c r="Y189" s="1085">
        <f>SUMIFS('Degrémont sortie'!$C$14:$C$379,'Degrémont sortie'!$C$14:$C$379,"&lt;&gt;0",'Degrémont sortie'!$A$14:$A$379,"&gt;="&amp;B155,'Degrémont sortie'!$A$14:$A$379,"&lt;="&amp;EOMONTH(B155,0))</f>
        <v>0</v>
      </c>
      <c r="Z189" s="1069">
        <f t="shared" si="80"/>
        <v>0</v>
      </c>
      <c r="AA189" s="1286" t="e">
        <f ca="1">MINIFS('Degrémont sortie'!$C$14:$C$379,'Degrémont sortie'!$C$14:$C$379,"&lt;&gt;0",'Degrémont sortie'!$A$14:$A$379,"&gt;="&amp;B155,'Degrémont sortie'!$A$14:$A$379,"&lt;="&amp;EOMONTH(B155,0))</f>
        <v>#NAME?</v>
      </c>
      <c r="AB189" s="1286" t="e">
        <f ca="1">MAXIFS('Degrémont sortie'!$C$14:$C$379,'Degrémont sortie'!$C$14:$C$379,"&lt;&gt;0",'Degrémont sortie'!$A$14:$A$379,"&gt;="&amp;B155,'Degrémont sortie'!$A$14:$A$379,"&lt;="&amp;EOMONTH(B155,0))</f>
        <v>#NAME?</v>
      </c>
      <c r="AC189" s="1291" t="s">
        <v>153</v>
      </c>
      <c r="AD189" s="1292" t="s">
        <v>153</v>
      </c>
      <c r="AE189" s="1285"/>
      <c r="AF189" s="1293"/>
      <c r="AG189" s="1293"/>
      <c r="AH189" s="1293"/>
      <c r="AI189" s="1293"/>
      <c r="AJ189" s="1293"/>
      <c r="AK189" s="1285"/>
      <c r="AL189" s="1293"/>
      <c r="AM189" s="1293"/>
      <c r="AN189" s="1293"/>
      <c r="AO189" s="1293"/>
      <c r="AP189" s="1293"/>
      <c r="AQ189" s="1285"/>
      <c r="AR189" s="1293"/>
      <c r="AS189" s="1293"/>
      <c r="AT189" s="1293"/>
      <c r="AU189" s="1293"/>
      <c r="AV189" s="1293"/>
      <c r="AW189" s="1293"/>
      <c r="AX189" s="1294"/>
      <c r="AY189" s="1295"/>
      <c r="AZ189" s="1095" t="e">
        <f t="shared" si="67"/>
        <v>#REF!</v>
      </c>
      <c r="BA189" s="2"/>
    </row>
    <row r="190" spans="1:53" ht="15.75" hidden="1" customHeight="1" outlineLevel="1">
      <c r="A190" s="1027"/>
      <c r="B190" s="1096"/>
      <c r="C190" s="1139" t="s">
        <v>37</v>
      </c>
      <c r="D190" s="1122">
        <f>Parametres!$D$42</f>
        <v>0.5</v>
      </c>
      <c r="E190" s="1068" t="e">
        <f>COUNTIFS(#REF!,"&gt;0",#REF!,"&gt;="&amp;B155,#REF!,"&lt;="&amp;EOMONTH(B155,0))</f>
        <v>#REF!</v>
      </c>
      <c r="F190" s="1069" t="e">
        <f>SUMIFS(#REF!,#REF!,"&lt;&gt;0",#REF!,"&gt;="&amp;B155,#REF!,"&lt;="&amp;EOMONTH(B155,0))</f>
        <v>#REF!</v>
      </c>
      <c r="G190" s="1069" t="e">
        <f t="shared" si="65"/>
        <v>#REF!</v>
      </c>
      <c r="H190" s="1070" t="e">
        <f ca="1">MINIFS(#REF!,#REF!,"&lt;&gt;0",#REF!,"&gt;="&amp;B155,#REF!,"&lt;="&amp;EOMONTH(B155,0))</f>
        <v>#NAME?</v>
      </c>
      <c r="I190" s="1069" t="e">
        <f ca="1">MAXIFS(#REF!,#REF!,"&lt;&gt;0",#REF!,"&gt;="&amp;B155,#REF!,"&lt;="&amp;EOMONTH(B155,0))</f>
        <v>#NAME?</v>
      </c>
      <c r="J190" s="1114" t="e">
        <f>COUNTIFS(#REF!,"&gt;="&amp;D190,#REF!,"&gt;="&amp;B155,#REF!,"&lt;="&amp;EOMONTH(B155,0))</f>
        <v>#REF!</v>
      </c>
      <c r="K190" s="1341" t="e">
        <f t="shared" si="81"/>
        <v>#REF!</v>
      </c>
      <c r="L190" s="1281"/>
      <c r="M190" s="1289"/>
      <c r="N190" s="1144">
        <f>Parametres!$L$42</f>
        <v>0.3</v>
      </c>
      <c r="O190" s="1077">
        <f>COUNTIFS('Degrémont Entrée'!$BE$14:$BE$379,"&gt;0",'Degrémont Entrée'!$A$14:$A$379,"&gt;="&amp;B155,'Degrémont Entrée'!$A$14:$A$379,"&lt;="&amp;EOMONTH(B155,0))</f>
        <v>0</v>
      </c>
      <c r="P190" s="1078">
        <f>SUMIFS('Degrémont Entrée'!$BE$14:$BE$379,'Degrémont Entrée'!$BE$14:$BE$379,"&lt;&gt;0",'Degrémont Entrée'!$A$14:$A$379,"&gt;="&amp;B155,'Degrémont Entrée'!$A$14:$A$379,"&lt;="&amp;EOMONTH(B155,0))</f>
        <v>0</v>
      </c>
      <c r="Q190" s="1283">
        <f t="shared" si="79"/>
        <v>0</v>
      </c>
      <c r="R190" s="1286" t="e">
        <f ca="1">MINIFS('Degrémont Entrée'!$BE$14:$BE$379,'Degrémont Entrée'!$BE$14:$BE$379,"&lt;&gt;0",'Degrémont Entrée'!$A$14:$A$379,"&gt;="&amp;B155,'Degrémont Entrée'!$A$14:$A$379,"&lt;="&amp;EOMONTH(B155,0))</f>
        <v>#NAME?</v>
      </c>
      <c r="S190" s="1286" t="e">
        <f ca="1">MAXIFS('Degrémont Entrée'!$BE$14:$BE$379,'Degrémont Entrée'!$BE$14:$BE$379,"&lt;&gt;0",'Degrémont Entrée'!$A$14:$A$379,"&gt;="&amp;B155,'Degrémont Entrée'!$A$14:$A$379,"&lt;="&amp;EOMONTH(B155,0))</f>
        <v>#NAME?</v>
      </c>
      <c r="T190" s="1141">
        <f>COUNTIFS('Degrémont Entrée'!$BE$14:$BE$379,"&gt;="&amp;N190,'Degrémont Entrée'!$A$14:$A$379,"&gt;="&amp;B155,'Degrémont Entrée'!$A$14:$A$379,"&lt;="&amp;EOMONTH(B155,0))</f>
        <v>0</v>
      </c>
      <c r="U190" s="1081" t="e">
        <f t="shared" ref="U190:U191" si="82">T190/O190</f>
        <v>#DIV/0!</v>
      </c>
      <c r="V190" s="1285"/>
      <c r="W190" s="1083">
        <f>Parametres!$T$42</f>
        <v>0.08</v>
      </c>
      <c r="X190" s="1142">
        <f>COUNTIFS('Degrémont sortie'!$AY$14:$AY$379,"&gt;0",'Degrémont sortie'!$A$14:$A$379,"&gt;="&amp;B155,'Degrémont sortie'!$A$14:$A$379,"&lt;="&amp;EOMONTH(B155,0))</f>
        <v>0</v>
      </c>
      <c r="Y190" s="1085">
        <f>SUMIFS('Degrémont sortie'!$AY$14:$AY$379,'Degrémont sortie'!$AY$14:$AY$379,"&lt;&gt;0",'Degrémont sortie'!$A$14:$A$379,"&gt;="&amp;B155,'Degrémont sortie'!$A$14:$A$379,"&lt;="&amp;EOMONTH(B155,0))</f>
        <v>0</v>
      </c>
      <c r="Z190" s="1069">
        <f t="shared" si="80"/>
        <v>0</v>
      </c>
      <c r="AA190" s="1286" t="e">
        <f ca="1">MINIFS('Degrémont sortie'!$AY$14:$AY$379,'Degrémont sortie'!$AY$14:$AY$379,"&lt;&gt;0",'Degrémont sortie'!$A$14:$A$379,"&gt;="&amp;B155,'Degrémont sortie'!$A$14:$A$379,"&lt;="&amp;EOMONTH(B155,0))</f>
        <v>#NAME?</v>
      </c>
      <c r="AB190" s="1286" t="e">
        <f ca="1">MAXIFS('Degrémont sortie'!$AY$14:$AY$379,'Degrémont sortie'!$AY$14:$AY$379,"&lt;&gt;0",'Degrémont sortie'!$A$14:$A$379,"&gt;="&amp;B155,'Degrémont sortie'!$A$14:$A$379,"&lt;="&amp;EOMONTH(B155,0))</f>
        <v>#NAME?</v>
      </c>
      <c r="AC190" s="1141">
        <f>COUNTIFS('Degrémont sortie'!$AY$14:$AY$379,"&gt;="&amp;W190,'Degrémont sortie'!$A$14:$A$379,"&gt;="&amp;B155,'Degrémont sortie'!$A$14:$A$379,"&lt;="&amp;EOMONTH(B155,0))</f>
        <v>0</v>
      </c>
      <c r="AD190" s="1087" t="e">
        <f t="shared" ref="AD190:AD191" si="83">AC190/X190</f>
        <v>#DIV/0!</v>
      </c>
      <c r="AE190" s="1285"/>
      <c r="AF190" s="1293"/>
      <c r="AG190" s="1293"/>
      <c r="AH190" s="1293"/>
      <c r="AI190" s="1293"/>
      <c r="AJ190" s="1293"/>
      <c r="AK190" s="1285"/>
      <c r="AL190" s="1293"/>
      <c r="AM190" s="1293"/>
      <c r="AN190" s="1293"/>
      <c r="AO190" s="1293"/>
      <c r="AP190" s="1293"/>
      <c r="AQ190" s="1285"/>
      <c r="AR190" s="1293"/>
      <c r="AS190" s="1293"/>
      <c r="AT190" s="1293"/>
      <c r="AU190" s="1293"/>
      <c r="AV190" s="1293"/>
      <c r="AW190" s="1293"/>
      <c r="AX190" s="1294"/>
      <c r="AY190" s="1295"/>
      <c r="AZ190" s="1095" t="e">
        <f t="shared" si="67"/>
        <v>#REF!</v>
      </c>
      <c r="BA190" s="2"/>
    </row>
    <row r="191" spans="1:53" ht="15.75" hidden="1" customHeight="1" outlineLevel="1">
      <c r="A191" s="1027"/>
      <c r="B191" s="1096"/>
      <c r="C191" s="1139" t="s">
        <v>301</v>
      </c>
      <c r="D191" s="1122">
        <f>Parametres!$D$43</f>
        <v>15</v>
      </c>
      <c r="E191" s="1069"/>
      <c r="F191" s="1069"/>
      <c r="G191" s="1069">
        <f t="shared" si="65"/>
        <v>0</v>
      </c>
      <c r="H191" s="1070" t="e">
        <f ca="1">MINIFS(#REF!,#REF!,"&lt;&gt;0",#REF!,"&gt;="&amp;B155,#REF!,"&lt;="&amp;EOMONTH(B155,0))</f>
        <v>#NAME?</v>
      </c>
      <c r="I191" s="1069" t="e">
        <f ca="1">MAXIFS(#REF!,#REF!,"&lt;&gt;0",#REF!,"&gt;="&amp;B155,#REF!,"&lt;="&amp;EOMONTH(B155,0))</f>
        <v>#NAME?</v>
      </c>
      <c r="J191" s="1114" t="e">
        <f>COUNTIFS(#REF!,"&gt;="&amp;D191,#REF!,"&gt;="&amp;B156,#REF!,"&lt;="&amp;EOMONTH(B156,0))</f>
        <v>#REF!</v>
      </c>
      <c r="K191" s="1341" t="e">
        <f t="shared" si="81"/>
        <v>#REF!</v>
      </c>
      <c r="L191" s="1281"/>
      <c r="M191" s="1289"/>
      <c r="N191" s="1144">
        <f>Parametres!$L$43</f>
        <v>500</v>
      </c>
      <c r="O191" s="1077">
        <f>COUNTIFS('Degrémont Entrée'!$S$14:$S$379,"&gt;0",'Degrémont Entrée'!$A$14:$A$379,"&gt;="&amp;B155,'Degrémont Entrée'!$A$14:$A$379,"&lt;="&amp;EOMONTH(B155,0))</f>
        <v>0</v>
      </c>
      <c r="P191" s="1078">
        <f>SUMIFS('Degrémont Entrée'!$S$14:$S$379,'Degrémont Entrée'!$S$14:$S$379,"&lt;&gt;0",'Degrémont Entrée'!$A$14:$A$379,"&gt;="&amp;B155,'Degrémont Entrée'!$A$14:$A$379,"&lt;="&amp;EOMONTH(B155,0))</f>
        <v>0</v>
      </c>
      <c r="Q191" s="1283">
        <f t="shared" si="79"/>
        <v>0</v>
      </c>
      <c r="R191" s="1286" t="e">
        <f ca="1">MINIFS('Degrémont Entrée'!$S$14:$S$379,'Degrémont Entrée'!$S$14:$S$379,"&lt;&gt;0",'Degrémont Entrée'!$A$14:$A$379,"&gt;="&amp;B155,'Degrémont Entrée'!$A$14:$A$379,"&lt;="&amp;EOMONTH(B155,0))</f>
        <v>#NAME?</v>
      </c>
      <c r="S191" s="1286" t="e">
        <f ca="1">MAXIFS('Degrémont Entrée'!$S$14:$S$379,'Degrémont Entrée'!$S$14:$S$379,"&lt;&gt;0",'Degrémont Entrée'!$A$14:$A$379,"&gt;="&amp;B155,'Degrémont Entrée'!$A$14:$A$379,"&lt;="&amp;EOMONTH(B155,0))</f>
        <v>#NAME?</v>
      </c>
      <c r="T191" s="1141">
        <f>COUNTIFS('Degrémont Entrée'!$S$14:$S$379,"&gt;="&amp;N191,'Degrémont Entrée'!$A$14:$A$379,"&gt;="&amp;B155,'Degrémont Entrée'!$A$14:$A$379,"&lt;="&amp;EOMONTH(B155,0))</f>
        <v>0</v>
      </c>
      <c r="U191" s="1081" t="e">
        <f t="shared" si="82"/>
        <v>#DIV/0!</v>
      </c>
      <c r="V191" s="1285"/>
      <c r="W191" s="1083">
        <f>Parametres!$T$43</f>
        <v>20</v>
      </c>
      <c r="X191" s="1142">
        <f>COUNTIFS('Degrémont sortie'!$M$14:$M$379,"&gt;0",'Degrémont sortie'!$A$14:$A$379,"&gt;="&amp;B155,'Degrémont sortie'!$A$14:$A$379,"&lt;="&amp;EOMONTH(B155,0))</f>
        <v>0</v>
      </c>
      <c r="Y191" s="1085">
        <f>SUMIFS('Degrémont sortie'!$M$14:$M$379,'Degrémont sortie'!$M$14:$M$379,"&lt;&gt;0",'Degrémont sortie'!$A$14:$A$379,"&gt;="&amp;B155,'Degrémont sortie'!$A$14:$A$379,"&lt;="&amp;EOMONTH(B155,0))</f>
        <v>0</v>
      </c>
      <c r="Z191" s="1069">
        <f t="shared" si="80"/>
        <v>0</v>
      </c>
      <c r="AA191" s="1286" t="e">
        <f ca="1">MINIFS('Degrémont sortie'!$M$14:$M$379,'Degrémont sortie'!$M$14:$M$379,"&lt;&gt;0",'Degrémont sortie'!$A$14:$A$379,"&gt;="&amp;B155,'Degrémont sortie'!$A$14:$A$379,"&lt;="&amp;EOMONTH(B155,0))</f>
        <v>#NAME?</v>
      </c>
      <c r="AB191" s="1286" t="e">
        <f ca="1">MAXIFS('Degrémont sortie'!$M$14:$M$379,'Degrémont sortie'!$M$14:$M$379,"&lt;&gt;0",'Degrémont sortie'!$A$14:$A$379,"&gt;="&amp;B155,'Degrémont sortie'!$A$14:$A$379,"&lt;="&amp;EOMONTH(B155,0))</f>
        <v>#NAME?</v>
      </c>
      <c r="AC191" s="1141">
        <f>COUNTIFS('Degrémont sortie'!$M$14:$M$379,"&gt;="&amp;W191,'Degrémont sortie'!$A$14:$A$379,"&gt;="&amp;B155,'Degrémont sortie'!$A$14:$A$379,"&lt;="&amp;EOMONTH(B155,0))</f>
        <v>0</v>
      </c>
      <c r="AD191" s="1087" t="e">
        <f t="shared" si="83"/>
        <v>#DIV/0!</v>
      </c>
      <c r="AE191" s="1285"/>
      <c r="AF191" s="1293"/>
      <c r="AG191" s="1293"/>
      <c r="AH191" s="1293"/>
      <c r="AI191" s="1293"/>
      <c r="AJ191" s="1293"/>
      <c r="AK191" s="1285"/>
      <c r="AL191" s="1205" t="e">
        <f>COUNTIFS(#REF!,"&gt;0",#REF!,"&gt;="&amp;B155,#REF!,"&lt;="&amp;EOMONTH(B155,0))</f>
        <v>#REF!</v>
      </c>
      <c r="AM191" s="1208" t="e">
        <f>SUMIFS(#REF!,#REF!,"&lt;&gt;0",#REF!,"&gt;="&amp;B155,#REF!,"&lt;="&amp;EOMONTH(B155,0))</f>
        <v>#REF!</v>
      </c>
      <c r="AN191" s="1208" t="e">
        <f t="shared" ref="AN191:AN193" si="84">IF(AL191=0,0,AM191/AL191)</f>
        <v>#REF!</v>
      </c>
      <c r="AO191" s="1141" t="e">
        <f ca="1">MINIFS(#REF!,#REF!,"&lt;&gt;0",#REF!,"&gt;="&amp;B155,#REF!,"&lt;="&amp;EOMONTH(B155,0))</f>
        <v>#NAME?</v>
      </c>
      <c r="AP191" s="1141" t="e">
        <f ca="1">MAXIFS(#REF!,#REF!,"&lt;&gt;0",#REF!,"&gt;="&amp;B155,#REF!,"&lt;="&amp;EOMONTH(B155,0))</f>
        <v>#NAME?</v>
      </c>
      <c r="AQ191" s="1285"/>
      <c r="AR191" s="1293"/>
      <c r="AS191" s="1293"/>
      <c r="AT191" s="1293"/>
      <c r="AU191" s="1293"/>
      <c r="AV191" s="1293"/>
      <c r="AW191" s="1293"/>
      <c r="AX191" s="1294"/>
      <c r="AY191" s="1295"/>
      <c r="AZ191" s="1095" t="e">
        <f t="shared" si="67"/>
        <v>#REF!</v>
      </c>
      <c r="BA191" s="2"/>
    </row>
    <row r="192" spans="1:53" ht="15.75" hidden="1" customHeight="1" outlineLevel="1">
      <c r="A192" s="1027"/>
      <c r="B192" s="1096"/>
      <c r="C192" s="1139" t="s">
        <v>302</v>
      </c>
      <c r="D192" s="1102"/>
      <c r="E192" s="1069"/>
      <c r="F192" s="1069"/>
      <c r="G192" s="1069"/>
      <c r="H192" s="1069"/>
      <c r="I192" s="1069"/>
      <c r="J192" s="1102"/>
      <c r="K192" s="1102"/>
      <c r="L192" s="1281"/>
      <c r="M192" s="1289"/>
      <c r="N192" s="1290"/>
      <c r="O192" s="1290"/>
      <c r="P192" s="1286"/>
      <c r="Q192" s="1283"/>
      <c r="R192" s="1286"/>
      <c r="S192" s="1286"/>
      <c r="T192" s="1290"/>
      <c r="U192" s="1290"/>
      <c r="V192" s="1285"/>
      <c r="W192" s="1083">
        <f>Parametres!$T$44</f>
        <v>100000</v>
      </c>
      <c r="X192" s="1329">
        <f>COUNTIFS('Degrémont sortie'!$BA$14:$BA$379,"&gt;0",'Degrémont sortie'!$A$14:$A$379,"&gt;="&amp;B155,'Degrémont sortie'!$A$14:$A$379,"&lt;="&amp;EOMONTH(B155,0))</f>
        <v>0</v>
      </c>
      <c r="Y192" s="1286">
        <f>SUMIFS('Degrémont sortie'!$BA$14:$BA$379,'Degrémont sortie'!$BA$14:$BA$379,"&lt;&gt;0",'Degrémont sortie'!$A$14:$A$379,"&gt;="&amp;B155,'Degrémont sortie'!$A$14:$A$379,"&lt;="&amp;EOMONTH(B155,0))</f>
        <v>0</v>
      </c>
      <c r="Z192" s="1069">
        <f t="shared" si="80"/>
        <v>0</v>
      </c>
      <c r="AA192" s="1286" t="e">
        <f ca="1">MINIFS('Degrémont sortie'!$BA$14:$BA$379,'Degrémont sortie'!$BA$14:$BA$379,"&lt;&gt;0",'Degrémont sortie'!$A$14:$A$379,"&gt;="&amp;B155,'Degrémont sortie'!$A$14:$A$379,"&lt;="&amp;EOMONTH(B155,0))</f>
        <v>#NAME?</v>
      </c>
      <c r="AB192" s="1286" t="e">
        <f ca="1">MAXIFS('Degrémont sortie'!$BA$14:$BA$379,'Degrémont sortie'!$BA$14:$BA$379,"&lt;&gt;0",'Degrémont sortie'!$A$14:$A$379,"&gt;="&amp;B155,'Degrémont sortie'!$A$14:$A$379,"&lt;="&amp;EOMONTH(B155,0))</f>
        <v>#NAME?</v>
      </c>
      <c r="AC192" s="1213" t="s">
        <v>153</v>
      </c>
      <c r="AD192" s="1330" t="s">
        <v>153</v>
      </c>
      <c r="AE192" s="1285"/>
      <c r="AF192" s="1293"/>
      <c r="AG192" s="1293"/>
      <c r="AH192" s="1293"/>
      <c r="AI192" s="1293"/>
      <c r="AJ192" s="1293"/>
      <c r="AK192" s="1285"/>
      <c r="AL192" s="1205" t="e">
        <f>COUNTIFS(#REF!,"&gt;0",#REF!,"&gt;="&amp;B155,#REF!,"&lt;="&amp;EOMONTH(B155,0))</f>
        <v>#REF!</v>
      </c>
      <c r="AM192" s="1208" t="e">
        <f>SUMIFS(#REF!,#REF!,"&lt;&gt;0",#REF!,"&gt;="&amp;B155,#REF!,"&lt;="&amp;EOMONTH(B155,0))</f>
        <v>#REF!</v>
      </c>
      <c r="AN192" s="1208" t="e">
        <f t="shared" si="84"/>
        <v>#REF!</v>
      </c>
      <c r="AO192" s="1208" t="e">
        <f ca="1">MINIFS(#REF!,#REF!,"&lt;&gt;0",#REF!,"&gt;="&amp;B155,#REF!,"&lt;="&amp;EOMONTH(B155,0))</f>
        <v>#NAME?</v>
      </c>
      <c r="AP192" s="1208" t="e">
        <f ca="1">MAXIFS(#REF!,#REF!,"&lt;&gt;0",#REF!,"&gt;="&amp;B155,#REF!,"&lt;="&amp;EOMONTH(B155,0))</f>
        <v>#NAME?</v>
      </c>
      <c r="AQ192" s="1285"/>
      <c r="AR192" s="1293"/>
      <c r="AS192" s="1293"/>
      <c r="AT192" s="1293"/>
      <c r="AU192" s="1293"/>
      <c r="AV192" s="1293"/>
      <c r="AW192" s="1293"/>
      <c r="AX192" s="1294"/>
      <c r="AY192" s="1295"/>
      <c r="AZ192" s="1095" t="e">
        <f t="shared" si="67"/>
        <v>#REF!</v>
      </c>
      <c r="BA192" s="2"/>
    </row>
    <row r="193" spans="1:53" ht="15.75" hidden="1" customHeight="1" outlineLevel="1">
      <c r="A193" s="1027"/>
      <c r="B193" s="1096"/>
      <c r="C193" s="1139" t="s">
        <v>303</v>
      </c>
      <c r="D193" s="1102"/>
      <c r="E193" s="1069"/>
      <c r="F193" s="1069"/>
      <c r="G193" s="1069"/>
      <c r="H193" s="1069"/>
      <c r="I193" s="1069"/>
      <c r="J193" s="1102"/>
      <c r="K193" s="1102"/>
      <c r="L193" s="1281"/>
      <c r="M193" s="1289"/>
      <c r="N193" s="1290"/>
      <c r="O193" s="1290"/>
      <c r="P193" s="1286"/>
      <c r="Q193" s="1283"/>
      <c r="R193" s="1286"/>
      <c r="S193" s="1286"/>
      <c r="T193" s="1290"/>
      <c r="U193" s="1290"/>
      <c r="V193" s="1285"/>
      <c r="W193" s="1083">
        <f>Parametres!$T$45</f>
        <v>10000</v>
      </c>
      <c r="X193" s="1331">
        <f>COUNTIFS('Degrémont sortie'!BB$14:BB$379,"&gt;0",'Degrémont sortie'!$A$14:$A$379,"&gt;="&amp;B155,'Degrémont sortie'!$A$14:$A$379,"&lt;="&amp;EOMONTH(B155,0))</f>
        <v>0</v>
      </c>
      <c r="Y193" s="1286">
        <f>SUMIFS('Degrémont sortie'!$BB$14:$BB$379,'Degrémont sortie'!$BB$14:$BB$379,"&lt;&gt;0",'Degrémont sortie'!$A$14:$A$379,"&gt;="&amp;B155,'Degrémont sortie'!$A$14:$A$379,"&lt;="&amp;EOMONTH(B155,0))</f>
        <v>0</v>
      </c>
      <c r="Z193" s="1069">
        <f t="shared" si="80"/>
        <v>0</v>
      </c>
      <c r="AA193" s="1286" t="e">
        <f ca="1">MINIFS('Degrémont sortie'!$BB$14:$BB$379,'Degrémont sortie'!$BB$14:$BB$379,"&lt;&gt;0",'Degrémont sortie'!$A$14:$A$379,"&gt;="&amp;B155,'Degrémont sortie'!$A$14:$A$379,"&lt;="&amp;EOMONTH(B155,0))</f>
        <v>#NAME?</v>
      </c>
      <c r="AB193" s="1286" t="e">
        <f ca="1">MAXIFS('Degrémont sortie'!$BB$14:$BB$379,'Degrémont sortie'!$BB$14:$BB$379,"&lt;&gt;0",'Degrémont sortie'!$A$14:$A$379,"&gt;="&amp;B155,'Degrémont sortie'!$A$14:$A$379,"&lt;="&amp;EOMONTH(B155,0))</f>
        <v>#NAME?</v>
      </c>
      <c r="AC193" s="1213" t="s">
        <v>153</v>
      </c>
      <c r="AD193" s="1330" t="s">
        <v>153</v>
      </c>
      <c r="AE193" s="1285"/>
      <c r="AF193" s="1293"/>
      <c r="AG193" s="1293"/>
      <c r="AH193" s="1293"/>
      <c r="AI193" s="1293"/>
      <c r="AJ193" s="1293"/>
      <c r="AK193" s="1285"/>
      <c r="AL193" s="1205" t="e">
        <f>COUNTIFS(#REF!,"&gt;0",#REF!,"&gt;="&amp;B155,#REF!,"&lt;="&amp;EOMONTH(B155,0))</f>
        <v>#REF!</v>
      </c>
      <c r="AM193" s="1208" t="e">
        <f>SUMIFS(#REF!,#REF!,"&lt;&gt;0",#REF!,"&gt;="&amp;B155,#REF!,"&lt;="&amp;EOMONTH(B155,0))</f>
        <v>#REF!</v>
      </c>
      <c r="AN193" s="1208" t="e">
        <f t="shared" si="84"/>
        <v>#REF!</v>
      </c>
      <c r="AO193" s="1208" t="e">
        <f ca="1">MINIFS(#REF!,#REF!,"&lt;&gt;0",#REF!,"&gt;="&amp;B155,#REF!,"&lt;="&amp;EOMONTH(B155,0))</f>
        <v>#NAME?</v>
      </c>
      <c r="AP193" s="1208" t="e">
        <f ca="1">MAXIFS(#REF!,#REF!,"&lt;&gt;0",#REF!,"&gt;="&amp;B155,#REF!,"&lt;="&amp;EOMONTH(B155,0))</f>
        <v>#NAME?</v>
      </c>
      <c r="AQ193" s="1285"/>
      <c r="AR193" s="1293"/>
      <c r="AS193" s="1293"/>
      <c r="AT193" s="1293"/>
      <c r="AU193" s="1293"/>
      <c r="AV193" s="1293"/>
      <c r="AW193" s="1293"/>
      <c r="AX193" s="1294"/>
      <c r="AY193" s="1295"/>
      <c r="AZ193" s="1095" t="e">
        <f t="shared" si="67"/>
        <v>#REF!</v>
      </c>
      <c r="BA193" s="2"/>
    </row>
    <row r="194" spans="1:53" ht="15.75" hidden="1" customHeight="1" outlineLevel="1">
      <c r="A194" s="1027"/>
      <c r="B194" s="1096"/>
      <c r="C194" s="1139" t="s">
        <v>338</v>
      </c>
      <c r="D194" s="1102"/>
      <c r="E194" s="1069"/>
      <c r="F194" s="1069"/>
      <c r="G194" s="1069"/>
      <c r="H194" s="1069"/>
      <c r="I194" s="1069"/>
      <c r="J194" s="1102"/>
      <c r="K194" s="1102"/>
      <c r="L194" s="1281"/>
      <c r="M194" s="1289"/>
      <c r="N194" s="1290"/>
      <c r="O194" s="1290"/>
      <c r="P194" s="1286"/>
      <c r="Q194" s="1283"/>
      <c r="R194" s="1286"/>
      <c r="S194" s="1286"/>
      <c r="T194" s="1290"/>
      <c r="U194" s="1290"/>
      <c r="V194" s="1285"/>
      <c r="W194" s="1083">
        <f>Parametres!$T$46</f>
        <v>10000</v>
      </c>
      <c r="X194" s="1142">
        <f>COUNTIFS('Degrémont sortie'!$BC$14:$BC$379,"&gt;0",'Degrémont sortie'!$A$14:$A$379,"&gt;="&amp;B155,'Degrémont sortie'!$A$14:$A$379,"&lt;="&amp;EOMONTH(B155,0))</f>
        <v>0</v>
      </c>
      <c r="Y194" s="1085">
        <f>SUMIFS('Degrémont sortie'!$BC$14:$BC$379,'Degrémont sortie'!$BC$14:$BC$379,"&lt;&gt;0",'Degrémont sortie'!$A$14:$A$379,"&gt;="&amp;B155,'Degrémont sortie'!$A$14:$A$379,"&lt;="&amp;EOMONTH(B155,0))</f>
        <v>0</v>
      </c>
      <c r="Z194" s="1069">
        <f t="shared" si="80"/>
        <v>0</v>
      </c>
      <c r="AA194" s="1286" t="e">
        <f ca="1">MINIFS('Degrémont sortie'!$BC$14:$BC$379,'Degrémont sortie'!$BC$14:$BC$379,"&lt;&gt;0",'Degrémont sortie'!$A$14:$A$379,"&gt;="&amp;B155,'Degrémont sortie'!$A$14:$A$379,"&lt;="&amp;EOMONTH(B155,0))</f>
        <v>#NAME?</v>
      </c>
      <c r="AB194" s="1286" t="e">
        <f ca="1">MAXIFS('Degrémont sortie'!$BC$14:$BC$379,'Degrémont sortie'!$BC$14:$BC$379,"&lt;&gt;0",'Degrémont sortie'!$A$14:$A$379,"&gt;="&amp;B155,'Degrémont sortie'!$A$14:$A$379,"&lt;="&amp;EOMONTH(B155,0))</f>
        <v>#NAME?</v>
      </c>
      <c r="AC194" s="1291" t="s">
        <v>153</v>
      </c>
      <c r="AD194" s="1292" t="s">
        <v>153</v>
      </c>
      <c r="AE194" s="1285"/>
      <c r="AF194" s="1293"/>
      <c r="AG194" s="1293"/>
      <c r="AH194" s="1293"/>
      <c r="AI194" s="1293"/>
      <c r="AJ194" s="1293"/>
      <c r="AK194" s="1285"/>
      <c r="AL194" s="1293"/>
      <c r="AM194" s="1293"/>
      <c r="AN194" s="1293"/>
      <c r="AO194" s="1293"/>
      <c r="AP194" s="1293"/>
      <c r="AQ194" s="1285"/>
      <c r="AR194" s="1293"/>
      <c r="AS194" s="1293"/>
      <c r="AT194" s="1293"/>
      <c r="AU194" s="1293"/>
      <c r="AV194" s="1293"/>
      <c r="AW194" s="1293"/>
      <c r="AX194" s="1294"/>
      <c r="AY194" s="1295"/>
      <c r="AZ194" s="1095">
        <f t="shared" si="67"/>
        <v>0</v>
      </c>
      <c r="BA194" s="2"/>
    </row>
    <row r="195" spans="1:53" ht="15.75" hidden="1" customHeight="1" outlineLevel="1">
      <c r="A195" s="1027"/>
      <c r="B195" s="1096"/>
      <c r="C195" s="1139" t="s">
        <v>339</v>
      </c>
      <c r="D195" s="1102"/>
      <c r="E195" s="1069"/>
      <c r="F195" s="1069"/>
      <c r="G195" s="1069"/>
      <c r="H195" s="1069"/>
      <c r="I195" s="1069"/>
      <c r="J195" s="1102"/>
      <c r="K195" s="1102"/>
      <c r="L195" s="1281"/>
      <c r="M195" s="1289"/>
      <c r="N195" s="1290"/>
      <c r="O195" s="1290"/>
      <c r="P195" s="1286"/>
      <c r="Q195" s="1283"/>
      <c r="R195" s="1286"/>
      <c r="S195" s="1286"/>
      <c r="T195" s="1290"/>
      <c r="U195" s="1290"/>
      <c r="V195" s="1285"/>
      <c r="W195" s="1293"/>
      <c r="X195" s="1293"/>
      <c r="Y195" s="1286"/>
      <c r="Z195" s="1286"/>
      <c r="AA195" s="1286"/>
      <c r="AB195" s="1286"/>
      <c r="AC195" s="1293"/>
      <c r="AD195" s="1249"/>
      <c r="AE195" s="1285"/>
      <c r="AF195" s="1293"/>
      <c r="AG195" s="1293"/>
      <c r="AH195" s="1293"/>
      <c r="AI195" s="1293"/>
      <c r="AJ195" s="1293"/>
      <c r="AK195" s="1285"/>
      <c r="AL195" s="1293"/>
      <c r="AM195" s="1293"/>
      <c r="AN195" s="1293"/>
      <c r="AO195" s="1293"/>
      <c r="AP195" s="1293"/>
      <c r="AQ195" s="1285"/>
      <c r="AR195" s="1293"/>
      <c r="AS195" s="1293"/>
      <c r="AT195" s="1293"/>
      <c r="AU195" s="1293"/>
      <c r="AV195" s="1293"/>
      <c r="AW195" s="1293"/>
      <c r="AX195" s="1294"/>
      <c r="AY195" s="1295"/>
      <c r="AZ195" s="1095">
        <f t="shared" si="67"/>
        <v>0</v>
      </c>
      <c r="BA195" s="2"/>
    </row>
    <row r="196" spans="1:53" ht="15.75" hidden="1" customHeight="1" outlineLevel="1">
      <c r="A196" s="1027"/>
      <c r="B196" s="1096"/>
      <c r="C196" s="1302" t="s">
        <v>24</v>
      </c>
      <c r="D196" s="1122">
        <f>Parametres!$D$48</f>
        <v>30</v>
      </c>
      <c r="E196" s="1068" t="e">
        <f>COUNTIFS(#REF!,"&gt;0",#REF!,"&gt;="&amp;B155,#REF!,"&lt;="&amp;EOMONTH(B155,0))</f>
        <v>#REF!</v>
      </c>
      <c r="F196" s="1069" t="e">
        <f>SUMIFS(#REF!,#REF!,"&lt;&gt;0",#REF!,"&gt;="&amp;B155,#REF!,"&lt;="&amp;EOMONTH(B155,0))</f>
        <v>#REF!</v>
      </c>
      <c r="G196" s="1069" t="e">
        <f t="shared" ref="G196:G199" si="85">IF(E196=0,0,F196/E196)</f>
        <v>#REF!</v>
      </c>
      <c r="H196" s="1069" t="e">
        <f ca="1">MINIFS(#REF!,#REF!,"&lt;&gt;0",#REF!,"&gt;="&amp;B155,#REF!,"&lt;="&amp;EOMONTH(B155,0))</f>
        <v>#NAME?</v>
      </c>
      <c r="I196" s="1069" t="e">
        <f ca="1">MAXIFS(#REF!,#REF!,"&lt;&gt;0",#REF!,"&gt;="&amp;B155,#REF!,"&lt;="&amp;EOMONTH(B155,0))</f>
        <v>#NAME?</v>
      </c>
      <c r="J196" s="1114" t="e">
        <f>COUNTIFS(#REF!,"&gt;="&amp;D196,#REF!,"&gt;="&amp;B155,#REF!,"&lt;="&amp;EOMONTH(B155,0))</f>
        <v>#REF!</v>
      </c>
      <c r="K196" s="1341" t="e">
        <f t="shared" ref="K196:K199" si="86">J196/E196</f>
        <v>#REF!</v>
      </c>
      <c r="L196" s="1281"/>
      <c r="M196" s="1289"/>
      <c r="N196" s="1290"/>
      <c r="O196" s="1290"/>
      <c r="P196" s="1286"/>
      <c r="Q196" s="1283"/>
      <c r="R196" s="1286"/>
      <c r="S196" s="1286"/>
      <c r="T196" s="1290"/>
      <c r="U196" s="1290"/>
      <c r="V196" s="1285"/>
      <c r="W196" s="1293"/>
      <c r="X196" s="1293"/>
      <c r="Y196" s="1286"/>
      <c r="Z196" s="1286"/>
      <c r="AA196" s="1286"/>
      <c r="AB196" s="1286"/>
      <c r="AC196" s="1293"/>
      <c r="AD196" s="1249"/>
      <c r="AE196" s="1285"/>
      <c r="AF196" s="1293"/>
      <c r="AG196" s="1293"/>
      <c r="AH196" s="1293"/>
      <c r="AI196" s="1293"/>
      <c r="AJ196" s="1293"/>
      <c r="AK196" s="1285"/>
      <c r="AL196" s="1293"/>
      <c r="AM196" s="1293"/>
      <c r="AN196" s="1293"/>
      <c r="AO196" s="1293"/>
      <c r="AP196" s="1293"/>
      <c r="AQ196" s="1285"/>
      <c r="AR196" s="1293"/>
      <c r="AS196" s="1293"/>
      <c r="AT196" s="1293"/>
      <c r="AU196" s="1293"/>
      <c r="AV196" s="1293"/>
      <c r="AW196" s="1293"/>
      <c r="AX196" s="1294"/>
      <c r="AY196" s="1295"/>
      <c r="AZ196" s="1095" t="e">
        <f t="shared" si="67"/>
        <v>#REF!</v>
      </c>
      <c r="BA196" s="2"/>
    </row>
    <row r="197" spans="1:53" ht="15.75" hidden="1" customHeight="1" outlineLevel="1">
      <c r="A197" s="1027"/>
      <c r="B197" s="1096"/>
      <c r="C197" s="1302" t="s">
        <v>168</v>
      </c>
      <c r="D197" s="1122">
        <f>Parametres!$D$50</f>
        <v>4</v>
      </c>
      <c r="E197" s="1068" t="e">
        <f>COUNTIFS(#REF!,"&gt;0",#REF!,"&gt;="&amp;B155,#REF!,"&lt;="&amp;EOMONTH(B155,0))</f>
        <v>#REF!</v>
      </c>
      <c r="F197" s="1069" t="e">
        <f>SUMIFS(#REF!,#REF!,"&lt;&gt;0",#REF!,"&gt;="&amp;B155,#REF!,"&lt;="&amp;EOMONTH(B155,0))</f>
        <v>#REF!</v>
      </c>
      <c r="G197" s="1069" t="e">
        <f t="shared" si="85"/>
        <v>#REF!</v>
      </c>
      <c r="H197" s="1069" t="e">
        <f ca="1">MINIFS(#REF!,#REF!,"&lt;&gt;0",#REF!,"&gt;="&amp;B155,#REF!,"&lt;="&amp;EOMONTH(B155,0))</f>
        <v>#NAME?</v>
      </c>
      <c r="I197" s="1069" t="e">
        <f ca="1">MAXIFS(#REF!,#REF!,"&lt;&gt;0",#REF!,"&gt;="&amp;B155,#REF!,"&lt;="&amp;EOMONTH(B155,0))</f>
        <v>#NAME?</v>
      </c>
      <c r="J197" s="1114" t="e">
        <f>COUNTIFS(#REF!,"&gt;="&amp;D197,#REF!,"&gt;="&amp;B155,#REF!,"&lt;="&amp;EOMONTH(B155,0))</f>
        <v>#REF!</v>
      </c>
      <c r="K197" s="1341" t="e">
        <f t="shared" si="86"/>
        <v>#REF!</v>
      </c>
      <c r="L197" s="1281"/>
      <c r="M197" s="1289"/>
      <c r="N197" s="1290"/>
      <c r="O197" s="1290"/>
      <c r="P197" s="1286"/>
      <c r="Q197" s="1283"/>
      <c r="R197" s="1286"/>
      <c r="S197" s="1286"/>
      <c r="T197" s="1290"/>
      <c r="U197" s="1290"/>
      <c r="V197" s="1285"/>
      <c r="W197" s="1293"/>
      <c r="X197" s="1293"/>
      <c r="Y197" s="1286"/>
      <c r="Z197" s="1286"/>
      <c r="AA197" s="1286"/>
      <c r="AB197" s="1286"/>
      <c r="AC197" s="1293"/>
      <c r="AD197" s="1249"/>
      <c r="AE197" s="1285"/>
      <c r="AF197" s="1293"/>
      <c r="AG197" s="1293"/>
      <c r="AH197" s="1293"/>
      <c r="AI197" s="1293"/>
      <c r="AJ197" s="1293"/>
      <c r="AK197" s="1285"/>
      <c r="AL197" s="1293"/>
      <c r="AM197" s="1293"/>
      <c r="AN197" s="1293"/>
      <c r="AO197" s="1293"/>
      <c r="AP197" s="1293"/>
      <c r="AQ197" s="1285"/>
      <c r="AR197" s="1293"/>
      <c r="AS197" s="1293"/>
      <c r="AT197" s="1293"/>
      <c r="AU197" s="1293"/>
      <c r="AV197" s="1293"/>
      <c r="AW197" s="1293"/>
      <c r="AX197" s="1294"/>
      <c r="AY197" s="1295"/>
      <c r="AZ197" s="1095" t="e">
        <f t="shared" si="67"/>
        <v>#REF!</v>
      </c>
      <c r="BA197" s="2"/>
    </row>
    <row r="198" spans="1:53" ht="15.75" hidden="1" customHeight="1" outlineLevel="1">
      <c r="A198" s="1027"/>
      <c r="B198" s="1096"/>
      <c r="C198" s="1302" t="s">
        <v>25</v>
      </c>
      <c r="D198" s="1122" t="e">
        <f>#REF!</f>
        <v>#REF!</v>
      </c>
      <c r="E198" s="1068" t="e">
        <f>COUNTIFS(#REF!,"&gt;0",#REF!,"&gt;="&amp;B155,#REF!,"&lt;="&amp;EOMONTH(B155,0))</f>
        <v>#REF!</v>
      </c>
      <c r="F198" s="1069" t="e">
        <f>SUMIFS(#REF!,#REF!,"&lt;&gt;0",#REF!,"&gt;="&amp;B155,#REF!,"&lt;="&amp;EOMONTH(B155,0))</f>
        <v>#REF!</v>
      </c>
      <c r="G198" s="1069" t="e">
        <f t="shared" si="85"/>
        <v>#REF!</v>
      </c>
      <c r="H198" s="1069" t="e">
        <f ca="1">MINIFS(#REF!,#REF!,"&lt;&gt;0",#REF!,"&gt;="&amp;B155,#REF!,"&lt;="&amp;EOMONTH(B155,0))</f>
        <v>#NAME?</v>
      </c>
      <c r="I198" s="1069" t="e">
        <f ca="1">MAXIFS(#REF!,#REF!,"&lt;&gt;0",#REF!,"&gt;="&amp;B155,#REF!,"&lt;="&amp;EOMONTH(B155,0))</f>
        <v>#NAME?</v>
      </c>
      <c r="J198" s="1072" t="e">
        <f>COUNTIFS(#REF!,"&gt;="&amp;D198,#REF!,"&gt;="&amp;B155,#REF!,"&lt;="&amp;EOMONTH(B155,0))</f>
        <v>#REF!</v>
      </c>
      <c r="K198" s="1341" t="e">
        <f t="shared" si="86"/>
        <v>#REF!</v>
      </c>
      <c r="L198" s="1281"/>
      <c r="M198" s="1289"/>
      <c r="N198" s="1290"/>
      <c r="O198" s="1290"/>
      <c r="P198" s="1286"/>
      <c r="Q198" s="1283"/>
      <c r="R198" s="1286"/>
      <c r="S198" s="1286"/>
      <c r="T198" s="1290"/>
      <c r="U198" s="1290"/>
      <c r="V198" s="1285"/>
      <c r="W198" s="1293"/>
      <c r="X198" s="1293"/>
      <c r="Y198" s="1286"/>
      <c r="Z198" s="1286"/>
      <c r="AA198" s="1286"/>
      <c r="AB198" s="1286"/>
      <c r="AC198" s="1293"/>
      <c r="AD198" s="1249"/>
      <c r="AE198" s="1285"/>
      <c r="AF198" s="1293"/>
      <c r="AG198" s="1293"/>
      <c r="AH198" s="1293"/>
      <c r="AI198" s="1293"/>
      <c r="AJ198" s="1293"/>
      <c r="AK198" s="1285"/>
      <c r="AL198" s="1293"/>
      <c r="AM198" s="1293"/>
      <c r="AN198" s="1293"/>
      <c r="AO198" s="1293"/>
      <c r="AP198" s="1293"/>
      <c r="AQ198" s="1285"/>
      <c r="AR198" s="1293"/>
      <c r="AS198" s="1293"/>
      <c r="AT198" s="1293"/>
      <c r="AU198" s="1293"/>
      <c r="AV198" s="1293"/>
      <c r="AW198" s="1293"/>
      <c r="AX198" s="1294"/>
      <c r="AY198" s="1295"/>
      <c r="AZ198" s="1095" t="e">
        <f t="shared" si="67"/>
        <v>#REF!</v>
      </c>
      <c r="BA198" s="2"/>
    </row>
    <row r="199" spans="1:53" ht="15.75" hidden="1" customHeight="1" outlineLevel="1">
      <c r="A199" s="1027"/>
      <c r="B199" s="1332"/>
      <c r="C199" s="1139" t="s">
        <v>47</v>
      </c>
      <c r="D199" s="1345">
        <f>Parametres!$D$51</f>
        <v>1.5</v>
      </c>
      <c r="E199" s="1346" t="e">
        <f>COUNTIFS(#REF!,"&gt;0",#REF!,"&gt;="&amp;B155,#REF!,"&lt;="&amp;EOMONTH(B155,0))</f>
        <v>#REF!</v>
      </c>
      <c r="F199" s="1283" t="e">
        <f>SUMIFS(#REF!,#REF!,"&lt;&gt;0",#REF!,"&gt;="&amp;B155,#REF!,"&lt;="&amp;EOMONTH(B155,0))</f>
        <v>#REF!</v>
      </c>
      <c r="G199" s="1283" t="e">
        <f t="shared" si="85"/>
        <v>#REF!</v>
      </c>
      <c r="H199" s="1283" t="e">
        <f ca="1">MINIFS(#REF!,#REF!,"&lt;&gt;0",#REF!,"&gt;="&amp;B155,#REF!,"&lt;="&amp;EOMONTH(B155,0))</f>
        <v>#NAME?</v>
      </c>
      <c r="I199" s="1283" t="e">
        <f ca="1">MAXIFS(#REF!,#REF!,"&lt;&gt;0",#REF!,"&gt;="&amp;B155,#REF!,"&lt;="&amp;EOMONTH(B155,0))</f>
        <v>#NAME?</v>
      </c>
      <c r="J199" s="1347" t="e">
        <f>COUNTIFS(#REF!,"&gt;="&amp;D199,#REF!,"&gt;="&amp;B155,#REF!,"&lt;="&amp;EOMONTH(B155,0))</f>
        <v>#REF!</v>
      </c>
      <c r="K199" s="1348" t="e">
        <f t="shared" si="86"/>
        <v>#REF!</v>
      </c>
      <c r="L199" s="1349"/>
      <c r="M199" s="1289"/>
      <c r="N199" s="1350"/>
      <c r="O199" s="1350"/>
      <c r="P199" s="1317"/>
      <c r="Q199" s="1283"/>
      <c r="R199" s="1317"/>
      <c r="S199" s="1317"/>
      <c r="T199" s="1350"/>
      <c r="U199" s="1350"/>
      <c r="V199" s="1351"/>
      <c r="W199" s="1352"/>
      <c r="X199" s="1352"/>
      <c r="Y199" s="1317"/>
      <c r="Z199" s="1317"/>
      <c r="AA199" s="1317"/>
      <c r="AB199" s="1317"/>
      <c r="AC199" s="1352"/>
      <c r="AD199" s="1353"/>
      <c r="AE199" s="1351"/>
      <c r="AF199" s="1352"/>
      <c r="AG199" s="1352"/>
      <c r="AH199" s="1352"/>
      <c r="AI199" s="1352"/>
      <c r="AJ199" s="1352"/>
      <c r="AK199" s="1351"/>
      <c r="AL199" s="1352"/>
      <c r="AM199" s="1352"/>
      <c r="AN199" s="1352"/>
      <c r="AO199" s="1352"/>
      <c r="AP199" s="1352"/>
      <c r="AQ199" s="1351"/>
      <c r="AR199" s="1352"/>
      <c r="AS199" s="1352"/>
      <c r="AT199" s="1352"/>
      <c r="AU199" s="1352"/>
      <c r="AV199" s="1352"/>
      <c r="AW199" s="1352"/>
      <c r="AX199" s="1354"/>
      <c r="AY199" s="1355"/>
      <c r="AZ199" s="1095" t="e">
        <f t="shared" si="67"/>
        <v>#REF!</v>
      </c>
      <c r="BA199" s="2"/>
    </row>
    <row r="200" spans="1:53" ht="15.75" customHeight="1" collapsed="1">
      <c r="A200" s="1027"/>
      <c r="B200" s="1033"/>
      <c r="C200" s="2"/>
      <c r="D200" s="1356"/>
      <c r="E200" s="1357"/>
      <c r="F200" s="1358"/>
      <c r="G200" s="1358"/>
      <c r="H200" s="1358"/>
      <c r="I200" s="1358"/>
      <c r="J200" s="1359"/>
      <c r="K200" s="1360"/>
      <c r="L200" s="1361"/>
      <c r="M200" s="1362"/>
      <c r="N200" s="1363"/>
      <c r="O200" s="1361"/>
      <c r="P200" s="1358"/>
      <c r="Q200" s="1358"/>
      <c r="R200" s="1364"/>
      <c r="S200" s="1364"/>
      <c r="T200" s="1362"/>
      <c r="U200" s="1360"/>
      <c r="V200" s="1362"/>
      <c r="W200" s="1361"/>
      <c r="X200" s="1361"/>
      <c r="Y200" s="1358"/>
      <c r="Z200" s="1358"/>
      <c r="AA200" s="1364"/>
      <c r="AB200" s="1364"/>
      <c r="AC200" s="1362"/>
      <c r="AD200" s="1360"/>
      <c r="AE200" s="1362"/>
      <c r="AF200" s="1362"/>
      <c r="AG200" s="1362"/>
      <c r="AH200" s="1362"/>
      <c r="AI200" s="1362"/>
      <c r="AJ200" s="1362"/>
      <c r="AK200" s="1362"/>
      <c r="AL200" s="1362"/>
      <c r="AM200" s="1362"/>
      <c r="AN200" s="1362"/>
      <c r="AO200" s="1362"/>
      <c r="AP200" s="1362"/>
      <c r="AQ200" s="1362"/>
      <c r="AR200" s="1362"/>
      <c r="AS200" s="1362"/>
      <c r="AT200" s="1362"/>
      <c r="AU200" s="1362"/>
      <c r="AV200" s="1362"/>
      <c r="AW200" s="1362"/>
      <c r="AX200" s="1362"/>
      <c r="AY200" s="1362"/>
      <c r="AZ200" s="2"/>
      <c r="BA200" s="2"/>
    </row>
    <row r="201" spans="1:53" ht="15.75" hidden="1" customHeight="1" outlineLevel="1">
      <c r="A201" s="1027"/>
      <c r="B201" s="1033"/>
      <c r="C201" s="2"/>
      <c r="D201" s="1039"/>
      <c r="E201" s="1556" t="s">
        <v>283</v>
      </c>
      <c r="F201" s="1519"/>
      <c r="G201" s="1519"/>
      <c r="H201" s="1519"/>
      <c r="I201" s="1519"/>
      <c r="J201" s="1519"/>
      <c r="K201" s="1519"/>
      <c r="L201" s="1518"/>
      <c r="M201" s="1365"/>
      <c r="N201" s="1366"/>
      <c r="O201" s="1557" t="s">
        <v>288</v>
      </c>
      <c r="P201" s="1519"/>
      <c r="Q201" s="1519"/>
      <c r="R201" s="1519"/>
      <c r="S201" s="1519"/>
      <c r="T201" s="1518"/>
      <c r="U201" s="1367"/>
      <c r="V201" s="1368"/>
      <c r="W201" s="1369"/>
      <c r="X201" s="1558" t="s">
        <v>289</v>
      </c>
      <c r="Y201" s="1410"/>
      <c r="Z201" s="1410"/>
      <c r="AA201" s="1410"/>
      <c r="AB201" s="1410"/>
      <c r="AC201" s="1515"/>
      <c r="AD201" s="1369"/>
      <c r="AE201" s="1368"/>
      <c r="AF201" s="1558" t="s">
        <v>199</v>
      </c>
      <c r="AG201" s="1410"/>
      <c r="AH201" s="1410"/>
      <c r="AI201" s="1410"/>
      <c r="AJ201" s="1515"/>
      <c r="AK201" s="1368"/>
      <c r="AL201" s="1558" t="s">
        <v>200</v>
      </c>
      <c r="AM201" s="1410"/>
      <c r="AN201" s="1410"/>
      <c r="AO201" s="1410"/>
      <c r="AP201" s="1515"/>
      <c r="AQ201" s="1368"/>
      <c r="AR201" s="1369"/>
      <c r="AS201" s="1558" t="s">
        <v>290</v>
      </c>
      <c r="AT201" s="1410"/>
      <c r="AU201" s="1410"/>
      <c r="AV201" s="1410"/>
      <c r="AW201" s="1410"/>
      <c r="AX201" s="1515"/>
      <c r="AY201" s="1027"/>
      <c r="AZ201" s="2"/>
      <c r="BA201" s="2"/>
    </row>
    <row r="202" spans="1:53" ht="15.75" hidden="1" customHeight="1" outlineLevel="1">
      <c r="A202" s="1027"/>
      <c r="B202" s="1033"/>
      <c r="C202" s="2"/>
      <c r="D202" s="1343" t="s">
        <v>291</v>
      </c>
      <c r="E202" s="1048" t="s">
        <v>292</v>
      </c>
      <c r="F202" s="1049" t="s">
        <v>293</v>
      </c>
      <c r="G202" s="1050" t="s">
        <v>294</v>
      </c>
      <c r="H202" s="1049" t="s">
        <v>295</v>
      </c>
      <c r="I202" s="1051" t="s">
        <v>296</v>
      </c>
      <c r="J202" s="1063" t="s">
        <v>297</v>
      </c>
      <c r="K202" s="1337" t="s">
        <v>216</v>
      </c>
      <c r="L202" s="1338" t="s">
        <v>298</v>
      </c>
      <c r="M202" s="1055"/>
      <c r="N202" s="1056" t="s">
        <v>291</v>
      </c>
      <c r="O202" s="1057" t="s">
        <v>292</v>
      </c>
      <c r="P202" s="1051" t="s">
        <v>293</v>
      </c>
      <c r="Q202" s="1058" t="s">
        <v>294</v>
      </c>
      <c r="R202" s="1051" t="s">
        <v>295</v>
      </c>
      <c r="S202" s="1051" t="s">
        <v>296</v>
      </c>
      <c r="T202" s="1059" t="s">
        <v>299</v>
      </c>
      <c r="U202" s="1060" t="s">
        <v>216</v>
      </c>
      <c r="V202" s="1055"/>
      <c r="W202" s="1056" t="s">
        <v>291</v>
      </c>
      <c r="X202" s="1057" t="s">
        <v>292</v>
      </c>
      <c r="Y202" s="1051" t="s">
        <v>293</v>
      </c>
      <c r="Z202" s="1058" t="s">
        <v>294</v>
      </c>
      <c r="AA202" s="1051" t="s">
        <v>295</v>
      </c>
      <c r="AB202" s="1051" t="s">
        <v>296</v>
      </c>
      <c r="AC202" s="1059" t="s">
        <v>299</v>
      </c>
      <c r="AD202" s="1060" t="s">
        <v>216</v>
      </c>
      <c r="AE202" s="1055"/>
      <c r="AF202" s="1057" t="s">
        <v>292</v>
      </c>
      <c r="AG202" s="1061" t="s">
        <v>293</v>
      </c>
      <c r="AH202" s="1062" t="s">
        <v>294</v>
      </c>
      <c r="AI202" s="1061" t="s">
        <v>295</v>
      </c>
      <c r="AJ202" s="1061" t="s">
        <v>296</v>
      </c>
      <c r="AK202" s="1055"/>
      <c r="AL202" s="1057" t="s">
        <v>292</v>
      </c>
      <c r="AM202" s="1061" t="s">
        <v>293</v>
      </c>
      <c r="AN202" s="1062" t="s">
        <v>294</v>
      </c>
      <c r="AO202" s="1061" t="s">
        <v>295</v>
      </c>
      <c r="AP202" s="1061" t="s">
        <v>296</v>
      </c>
      <c r="AQ202" s="1055"/>
      <c r="AR202" s="1056" t="s">
        <v>291</v>
      </c>
      <c r="AS202" s="1057" t="s">
        <v>292</v>
      </c>
      <c r="AT202" s="1061" t="s">
        <v>293</v>
      </c>
      <c r="AU202" s="1062" t="s">
        <v>294</v>
      </c>
      <c r="AV202" s="1061" t="s">
        <v>295</v>
      </c>
      <c r="AW202" s="1061" t="s">
        <v>296</v>
      </c>
      <c r="AX202" s="1059" t="s">
        <v>299</v>
      </c>
      <c r="AY202" s="1340" t="s">
        <v>216</v>
      </c>
      <c r="AZ202" s="1065" t="s">
        <v>300</v>
      </c>
      <c r="BA202" s="2"/>
    </row>
    <row r="203" spans="1:53" ht="15.75" hidden="1" customHeight="1" outlineLevel="1">
      <c r="A203" s="1027"/>
      <c r="B203" s="54">
        <v>43586</v>
      </c>
      <c r="C203" s="1066" t="s">
        <v>43</v>
      </c>
      <c r="D203" s="1067">
        <f>Parametres!$D$5</f>
        <v>5</v>
      </c>
      <c r="E203" s="1068" t="e">
        <f>COUNTIFS(#REF!,"&gt;0",#REF!,"&gt;="&amp;B203,#REF!,"&lt;="&amp;EOMONTH(B203,0))</f>
        <v>#REF!</v>
      </c>
      <c r="F203" s="1069" t="e">
        <f>SUMIFS(#REF!,#REF!,"&lt;&gt;0",#REF!,"&gt;="&amp;B203,#REF!,"&lt;="&amp;EOMONTH(B203,0))</f>
        <v>#REF!</v>
      </c>
      <c r="G203" s="1069" t="e">
        <f t="shared" ref="G203:G239" si="87">IF(E203=0,0,F203/E203)</f>
        <v>#REF!</v>
      </c>
      <c r="H203" s="1070" t="e">
        <f ca="1">MINIFS(#REF!,#REF!,"&lt;&gt;0",#REF!,"&gt;="&amp;B203,#REF!,"&lt;="&amp;EOMONTH(B203,0))</f>
        <v>#NAME?</v>
      </c>
      <c r="I203" s="1071" t="e">
        <f ca="1">MAXIFS(#REF!,#REF!,"&lt;&gt;0",#REF!,"&gt;="&amp;B203,#REF!,"&lt;="&amp;EOMONTH(B203,0))</f>
        <v>#NAME?</v>
      </c>
      <c r="J203" s="1072" t="e">
        <f>COUNTIFS(#REF!,"&gt;="&amp;D203,#REF!,"&gt;="&amp;B203,#REF!,"&lt;="&amp;EOMONTH(B203,0))</f>
        <v>#REF!</v>
      </c>
      <c r="K203" s="1341" t="e">
        <f t="shared" ref="K203:K216" si="88">J203/E203</f>
        <v>#REF!</v>
      </c>
      <c r="L203" s="1074"/>
      <c r="M203" s="1075"/>
      <c r="N203" s="1076">
        <f>Parametres!$L$5</f>
        <v>50</v>
      </c>
      <c r="O203" s="1077">
        <f>COUNTIFS('Degrémont Entrée'!$AM$14:$AM$379,"&gt;0",'Degrémont Entrée'!$A$14:$A$379,"&gt;="&amp;B203,'Degrémont Entrée'!$A$14:$A$379,"&lt;="&amp;EOMONTH(B203,0))</f>
        <v>4</v>
      </c>
      <c r="P203" s="1078">
        <f>SUMIFS('Degrémont Entrée'!$AM$14:$AM$379,'Degrémont Entrée'!$AM$14:$AM$379,"&lt;&gt;0",'Degrémont Entrée'!$A$14:$A$379,"&gt;="&amp;B203,'Degrémont Entrée'!$A$14:$A$379,"&lt;="&amp;EOMONTH(B203,0))</f>
        <v>212.8</v>
      </c>
      <c r="Q203" s="1078">
        <f>IF(O203=0,0,P203/O203)</f>
        <v>53.2</v>
      </c>
      <c r="R203" s="1079" t="e">
        <f ca="1">MINIFS('Degrémont Entrée'!$AM$14:$AM$379,'Degrémont Entrée'!$AM$14:$AM$379,"&lt;&gt;0",'Degrémont Entrée'!$A$14:$A$379,"&gt;="&amp;B203,'Degrémont Entrée'!$A$14:$A$379,"&lt;="&amp;EOMONTH(B203,0))</f>
        <v>#NAME?</v>
      </c>
      <c r="S203" s="1078" t="e">
        <f ca="1">MAXIFS('Degrémont Entrée'!$AM$14:$AM$379,'Degrémont Entrée'!$AM$14:$AM$379,"&lt;&gt;0",'Degrémont Entrée'!$A$14:$A$379,"&gt;="&amp;B203,'Degrémont Entrée'!$A$14:$A$379,"&lt;="&amp;EOMONTH(B203,0))</f>
        <v>#NAME?</v>
      </c>
      <c r="T203" s="1080">
        <f>COUNTIFS('Degrémont Entrée'!$AM$14:$AM$379,"&gt;="&amp;N203,'Degrémont Entrée'!$A$14:$A$379,"&gt;="&amp;B203,'Degrémont Entrée'!$A$14:$A$379,"&lt;="&amp;EOMONTH(B203,0))</f>
        <v>3</v>
      </c>
      <c r="U203" s="1081">
        <f>T203/O203</f>
        <v>0.75</v>
      </c>
      <c r="V203" s="1082"/>
      <c r="W203" s="1083">
        <f>Parametres!$T$5</f>
        <v>3</v>
      </c>
      <c r="X203" s="1084">
        <f>COUNTIFS('Degrémont sortie'!$AG$14:$AG$379,"&gt;0",'Degrémont sortie'!$A$14:$A$379,"&gt;="&amp;B203,'Degrémont sortie'!$A$14:$A$379,"&lt;="&amp;EOMONTH(B203,0))</f>
        <v>4</v>
      </c>
      <c r="Y203" s="1085">
        <f>SUMIFS('Degrémont sortie'!$AG$14:$AG$379,'Degrémont sortie'!$AG$14:$AG$379,"&lt;&gt;0",'Degrémont sortie'!$A$14:$A$379,"&gt;="&amp;B203,'Degrémont sortie'!$A$14:$A$379,"&lt;="&amp;EOMONTH(B203,0))</f>
        <v>3.21</v>
      </c>
      <c r="Z203" s="1085">
        <f>IF(X203=0,0,Y203/X203)</f>
        <v>0.80249999999999999</v>
      </c>
      <c r="AA203" s="1085" t="e">
        <f ca="1">MINIFS('Degrémont sortie'!$AG$14:$AG$379,'Degrémont sortie'!$AG$14:$AG$379,"&lt;&gt;0",'Degrémont sortie'!$A$14:$A$379,"&gt;="&amp;B203,'Degrémont sortie'!$A$14:$A$379,"&lt;="&amp;EOMONTH(B203,0))</f>
        <v>#NAME?</v>
      </c>
      <c r="AB203" s="1085" t="e">
        <f ca="1">MAXIFS('Degrémont sortie'!$AG$14:$AG$379,'Degrémont sortie'!$AG$14:$AG$379,"&lt;&gt;0",'Degrémont sortie'!$A$14:$A$379,"&gt;="&amp;B203,'Degrémont sortie'!$A$14:$A$379,"&lt;="&amp;EOMONTH(B203,0))</f>
        <v>#NAME?</v>
      </c>
      <c r="AC203" s="1086">
        <f>COUNTIFS('Degrémont sortie'!$AG$14:$AG$379,"&gt;="&amp;W203,'Degrémont sortie'!$A$14:$A$379,"&gt;="&amp;B203,'Degrémont sortie'!$A$14:$A$379,"&lt;="&amp;EOMONTH(B203,0))</f>
        <v>0</v>
      </c>
      <c r="AD203" s="1087">
        <f>AC203/X203</f>
        <v>0</v>
      </c>
      <c r="AE203" s="1088"/>
      <c r="AF203" s="1089"/>
      <c r="AG203" s="1090"/>
      <c r="AH203" s="1090"/>
      <c r="AI203" s="1090"/>
      <c r="AJ203" s="1090"/>
      <c r="AK203" s="1088"/>
      <c r="AL203" s="1089"/>
      <c r="AM203" s="1090"/>
      <c r="AN203" s="1090"/>
      <c r="AO203" s="1090"/>
      <c r="AP203" s="1090"/>
      <c r="AQ203" s="1088"/>
      <c r="AR203" s="1091"/>
      <c r="AS203" s="1089"/>
      <c r="AT203" s="1090"/>
      <c r="AU203" s="1090"/>
      <c r="AV203" s="1090"/>
      <c r="AW203" s="1092"/>
      <c r="AX203" s="1093"/>
      <c r="AY203" s="1094"/>
      <c r="AZ203" s="1095" t="e">
        <f t="shared" ref="AZ203:AZ234" si="89">SUM(E203+O203+X203+AF203+AL203+AS203)</f>
        <v>#REF!</v>
      </c>
      <c r="BA203" s="2"/>
    </row>
    <row r="204" spans="1:53" ht="15.75" hidden="1" customHeight="1" outlineLevel="1">
      <c r="A204" s="1027"/>
      <c r="B204" s="1096"/>
      <c r="C204" s="1097" t="s">
        <v>16</v>
      </c>
      <c r="D204" s="1067">
        <f>Parametres!$D$6</f>
        <v>10000000</v>
      </c>
      <c r="E204" s="1068" t="e">
        <f>COUNTIFS(#REF!,"&gt;0",#REF!,"&gt;="&amp;B203,#REF!,"&lt;="&amp;EOMONTH(B203,0))</f>
        <v>#REF!</v>
      </c>
      <c r="F204" s="1069" t="e">
        <f>SUMIFS(#REF!,#REF!,"&lt;&gt;0",#REF!,"&gt;="&amp;B203,#REF!,"&lt;="&amp;EOMONTH(B203,0))</f>
        <v>#REF!</v>
      </c>
      <c r="G204" s="1098" t="e">
        <f t="shared" si="87"/>
        <v>#REF!</v>
      </c>
      <c r="H204" s="1070" t="e">
        <f ca="1">MINIFS(#REF!,#REF!,"&lt;&gt;0",#REF!,"&gt;="&amp;B203,#REF!,"&lt;="&amp;EOMONTH(B203,0))</f>
        <v>#NAME?</v>
      </c>
      <c r="I204" s="1069" t="e">
        <f ca="1">MAXIFS(#REF!,#REF!,"&lt;&gt;0",#REF!,"&gt;="&amp;B203,#REF!,"&lt;="&amp;EOMONTH(B203,0))</f>
        <v>#NAME?</v>
      </c>
      <c r="J204" s="1072" t="e">
        <f>COUNTIFS(#REF!,"&gt;="&amp;D204,#REF!,"&gt;="&amp;B203,#REF!,"&lt;="&amp;EOMONTH(B203,0))</f>
        <v>#REF!</v>
      </c>
      <c r="K204" s="1341" t="e">
        <f t="shared" si="88"/>
        <v>#REF!</v>
      </c>
      <c r="L204" s="1099"/>
      <c r="M204" s="1082"/>
      <c r="N204" s="1100"/>
      <c r="O204" s="1100"/>
      <c r="P204" s="1078"/>
      <c r="Q204" s="1078"/>
      <c r="R204" s="1078"/>
      <c r="S204" s="1078"/>
      <c r="T204" s="1101"/>
      <c r="U204" s="1101"/>
      <c r="V204" s="1082"/>
      <c r="W204" s="1102"/>
      <c r="X204" s="1102"/>
      <c r="Y204" s="1069"/>
      <c r="Z204" s="1069"/>
      <c r="AA204" s="1069"/>
      <c r="AB204" s="1069"/>
      <c r="AC204" s="1103"/>
      <c r="AD204" s="1104"/>
      <c r="AE204" s="1082"/>
      <c r="AF204" s="1105"/>
      <c r="AG204" s="1106"/>
      <c r="AH204" s="1106"/>
      <c r="AI204" s="1106"/>
      <c r="AJ204" s="1106"/>
      <c r="AK204" s="1107"/>
      <c r="AL204" s="1108"/>
      <c r="AM204" s="1109"/>
      <c r="AN204" s="1109"/>
      <c r="AO204" s="1109"/>
      <c r="AP204" s="1109"/>
      <c r="AQ204" s="1107"/>
      <c r="AR204" s="1110"/>
      <c r="AS204" s="1105"/>
      <c r="AT204" s="1109"/>
      <c r="AU204" s="1109"/>
      <c r="AV204" s="1109"/>
      <c r="AW204" s="1111"/>
      <c r="AX204" s="1112"/>
      <c r="AY204" s="1094"/>
      <c r="AZ204" s="1095" t="e">
        <f t="shared" si="89"/>
        <v>#REF!</v>
      </c>
      <c r="BA204" s="2"/>
    </row>
    <row r="205" spans="1:53" ht="15.75" hidden="1" customHeight="1" outlineLevel="1">
      <c r="A205" s="1027"/>
      <c r="B205" s="1096"/>
      <c r="C205" s="1097" t="s">
        <v>17</v>
      </c>
      <c r="D205" s="1067">
        <f>Parametres!$D$7</f>
        <v>0.8</v>
      </c>
      <c r="E205" s="1068" t="e">
        <f>COUNTIFS(#REF!,"&gt;0",#REF!,"&gt;="&amp;B203,#REF!,"&lt;="&amp;EOMONTH(B203,0))</f>
        <v>#REF!</v>
      </c>
      <c r="F205" s="1069" t="e">
        <f>SUMIFS(#REF!,#REF!,"&lt;&gt;0",#REF!,"&gt;="&amp;B203,#REF!,"&lt;="&amp;EOMONTH(B203,0))</f>
        <v>#REF!</v>
      </c>
      <c r="G205" s="1098" t="e">
        <f t="shared" si="87"/>
        <v>#REF!</v>
      </c>
      <c r="H205" s="1113" t="e">
        <f ca="1">MINIFS(#REF!,#REF!,"&lt;&gt;0",#REF!,"&gt;="&amp;B203,#REF!,"&lt;="&amp;EOMONTH(B203,0))</f>
        <v>#NAME?</v>
      </c>
      <c r="I205" s="1078" t="e">
        <f ca="1">MAXIFS(#REF!,#REF!,"&lt;&gt;0",#REF!,"&gt;="&amp;B203,#REF!,"&lt;="&amp;EOMONTH(B203,0))</f>
        <v>#NAME?</v>
      </c>
      <c r="J205" s="1114" t="e">
        <f>COUNTIFS(#REF!,"&gt;="&amp;D205,#REF!,"&gt;="&amp;B203,#REF!,"&lt;="&amp;EOMONTH(B203,0))</f>
        <v>#REF!</v>
      </c>
      <c r="K205" s="1341" t="e">
        <f t="shared" si="88"/>
        <v>#REF!</v>
      </c>
      <c r="L205" s="1115"/>
      <c r="M205" s="1082"/>
      <c r="N205" s="1100"/>
      <c r="O205" s="1100"/>
      <c r="P205" s="1078"/>
      <c r="Q205" s="1078"/>
      <c r="R205" s="1078"/>
      <c r="S205" s="1078"/>
      <c r="T205" s="1101"/>
      <c r="U205" s="1101"/>
      <c r="V205" s="1082"/>
      <c r="W205" s="1102"/>
      <c r="X205" s="1102"/>
      <c r="Y205" s="1069"/>
      <c r="Z205" s="1069"/>
      <c r="AA205" s="1069"/>
      <c r="AB205" s="1069"/>
      <c r="AC205" s="1103"/>
      <c r="AD205" s="1104"/>
      <c r="AE205" s="1082"/>
      <c r="AF205" s="1116"/>
      <c r="AG205" s="1117"/>
      <c r="AH205" s="1117"/>
      <c r="AI205" s="1117"/>
      <c r="AJ205" s="1117"/>
      <c r="AK205" s="1082"/>
      <c r="AL205" s="1105"/>
      <c r="AM205" s="1106"/>
      <c r="AN205" s="1106"/>
      <c r="AO205" s="1106"/>
      <c r="AP205" s="1106"/>
      <c r="AQ205" s="1082"/>
      <c r="AR205" s="1118"/>
      <c r="AS205" s="1116"/>
      <c r="AT205" s="1106"/>
      <c r="AU205" s="1106"/>
      <c r="AV205" s="1106"/>
      <c r="AW205" s="1119"/>
      <c r="AX205" s="1120"/>
      <c r="AY205" s="1094"/>
      <c r="AZ205" s="1095" t="e">
        <f t="shared" si="89"/>
        <v>#REF!</v>
      </c>
      <c r="BA205" s="2"/>
    </row>
    <row r="206" spans="1:53" ht="15.75" hidden="1" customHeight="1" outlineLevel="1">
      <c r="A206" s="1027"/>
      <c r="B206" s="1096"/>
      <c r="C206" s="1121" t="s">
        <v>18</v>
      </c>
      <c r="D206" s="1122">
        <f>Parametres!$D$8</f>
        <v>0.05</v>
      </c>
      <c r="E206" s="1068" t="e">
        <f>COUNTIFS(#REF!,"&gt;0",#REF!,"&gt;="&amp;B203,#REF!,"&lt;="&amp;EOMONTH(B203,0))</f>
        <v>#REF!</v>
      </c>
      <c r="F206" s="1069" t="e">
        <f>SUMIFS(#REF!,#REF!,"&lt;&gt;0",#REF!,"&gt;="&amp;B203,#REF!,"&lt;="&amp;EOMONTH(B203,0))</f>
        <v>#REF!</v>
      </c>
      <c r="G206" s="1098" t="e">
        <f t="shared" si="87"/>
        <v>#REF!</v>
      </c>
      <c r="H206" s="1113" t="e">
        <f ca="1">MINIFS(#REF!,#REF!,"&lt;&gt;0",#REF!,"&gt;="&amp;B203,#REF!,"&lt;="&amp;EOMONTH(B203,0))</f>
        <v>#NAME?</v>
      </c>
      <c r="I206" s="1078" t="e">
        <f ca="1">MAXIFS(#REF!,#REF!,"&lt;&gt;0",#REF!,"&gt;="&amp;B203,#REF!,"&lt;="&amp;EOMONTH(B203,0))</f>
        <v>#NAME?</v>
      </c>
      <c r="J206" s="1072" t="e">
        <f>COUNTIFS(#REF!,"&gt;="&amp;D206,#REF!,"&gt;="&amp;B203,#REF!,"&lt;="&amp;EOMONTH(B203,0))</f>
        <v>#REF!</v>
      </c>
      <c r="K206" s="1341" t="e">
        <f t="shared" si="88"/>
        <v>#REF!</v>
      </c>
      <c r="L206" s="1115"/>
      <c r="M206" s="1082"/>
      <c r="N206" s="1100"/>
      <c r="O206" s="1100"/>
      <c r="P206" s="1078"/>
      <c r="Q206" s="1078"/>
      <c r="R206" s="1078"/>
      <c r="S206" s="1078"/>
      <c r="T206" s="1101"/>
      <c r="U206" s="1101"/>
      <c r="V206" s="1082"/>
      <c r="W206" s="1102"/>
      <c r="X206" s="1102"/>
      <c r="Y206" s="1069"/>
      <c r="Z206" s="1069"/>
      <c r="AA206" s="1069"/>
      <c r="AB206" s="1069"/>
      <c r="AC206" s="1103"/>
      <c r="AD206" s="1104"/>
      <c r="AE206" s="1107"/>
      <c r="AF206" s="1108"/>
      <c r="AG206" s="1109"/>
      <c r="AH206" s="1109"/>
      <c r="AI206" s="1109"/>
      <c r="AJ206" s="1109"/>
      <c r="AK206" s="1123"/>
      <c r="AL206" s="1108"/>
      <c r="AM206" s="1109"/>
      <c r="AN206" s="1109"/>
      <c r="AO206" s="1109"/>
      <c r="AP206" s="1109"/>
      <c r="AQ206" s="1123"/>
      <c r="AR206" s="1124"/>
      <c r="AS206" s="1108"/>
      <c r="AT206" s="1109"/>
      <c r="AU206" s="1109"/>
      <c r="AV206" s="1109"/>
      <c r="AW206" s="1111"/>
      <c r="AX206" s="1112"/>
      <c r="AY206" s="1094"/>
      <c r="AZ206" s="1095" t="e">
        <f t="shared" si="89"/>
        <v>#REF!</v>
      </c>
      <c r="BA206" s="2"/>
    </row>
    <row r="207" spans="1:53" ht="15.75" hidden="1" customHeight="1" outlineLevel="1">
      <c r="A207" s="1027"/>
      <c r="B207" s="1096"/>
      <c r="C207" s="1097" t="s">
        <v>11</v>
      </c>
      <c r="D207" s="1067">
        <f>Parametres!$D$9</f>
        <v>0.2</v>
      </c>
      <c r="E207" s="1068" t="e">
        <f>COUNTIFS(#REF!,"&gt;0",#REF!,"&gt;="&amp;B203,#REF!,"&lt;="&amp;EOMONTH(B203,0))</f>
        <v>#REF!</v>
      </c>
      <c r="F207" s="1069" t="e">
        <f>SUMIFS(#REF!,#REF!,"&lt;&gt;0",#REF!,"&gt;="&amp;B203,#REF!,"&lt;="&amp;EOMONTH(B203,0))</f>
        <v>#REF!</v>
      </c>
      <c r="G207" s="1098" t="e">
        <f t="shared" si="87"/>
        <v>#REF!</v>
      </c>
      <c r="H207" s="1113" t="e">
        <f ca="1">MINIFS(#REF!,#REF!,"&lt;&gt;0",#REF!,"&gt;="&amp;B203,#REF!,"&lt;="&amp;EOMONTH(B203,0))</f>
        <v>#NAME?</v>
      </c>
      <c r="I207" s="1078" t="e">
        <f ca="1">MAXIFS(#REF!,#REF!,"&lt;&gt;0",#REF!,"&gt;="&amp;B203,#REF!,"&lt;="&amp;EOMONTH(B203,0))</f>
        <v>#NAME?</v>
      </c>
      <c r="J207" s="1072" t="e">
        <f>COUNTIFS(#REF!,"&gt;="&amp;D207,#REF!,"&gt;="&amp;B203,#REF!,"&lt;="&amp;EOMONTH(B203,0))</f>
        <v>#REF!</v>
      </c>
      <c r="K207" s="1341" t="e">
        <f t="shared" si="88"/>
        <v>#REF!</v>
      </c>
      <c r="L207" s="1115"/>
      <c r="M207" s="1082"/>
      <c r="N207" s="1100"/>
      <c r="O207" s="1100"/>
      <c r="P207" s="1078"/>
      <c r="Q207" s="1078"/>
      <c r="R207" s="1078"/>
      <c r="S207" s="1078"/>
      <c r="T207" s="1101"/>
      <c r="U207" s="1101"/>
      <c r="V207" s="1082"/>
      <c r="W207" s="1102"/>
      <c r="X207" s="1102"/>
      <c r="Y207" s="1069"/>
      <c r="Z207" s="1069"/>
      <c r="AA207" s="1069"/>
      <c r="AB207" s="1069"/>
      <c r="AC207" s="1103"/>
      <c r="AD207" s="1104"/>
      <c r="AE207" s="1075"/>
      <c r="AF207" s="1125"/>
      <c r="AG207" s="1126"/>
      <c r="AH207" s="1126"/>
      <c r="AI207" s="1126"/>
      <c r="AJ207" s="1126"/>
      <c r="AK207" s="1107"/>
      <c r="AL207" s="1125"/>
      <c r="AM207" s="1126"/>
      <c r="AN207" s="1126"/>
      <c r="AO207" s="1126"/>
      <c r="AP207" s="1126"/>
      <c r="AQ207" s="1107"/>
      <c r="AR207" s="1110"/>
      <c r="AS207" s="1125"/>
      <c r="AT207" s="1126"/>
      <c r="AU207" s="1126"/>
      <c r="AV207" s="1126"/>
      <c r="AW207" s="1127"/>
      <c r="AX207" s="1128"/>
      <c r="AY207" s="1094"/>
      <c r="AZ207" s="1095" t="e">
        <f t="shared" si="89"/>
        <v>#REF!</v>
      </c>
      <c r="BA207" s="2"/>
    </row>
    <row r="208" spans="1:53" ht="15.75" hidden="1" customHeight="1" outlineLevel="1">
      <c r="A208" s="1027"/>
      <c r="B208" s="1096"/>
      <c r="C208" s="1097" t="s">
        <v>12</v>
      </c>
      <c r="D208" s="1067">
        <f>Parametres!$D$10</f>
        <v>10000000</v>
      </c>
      <c r="E208" s="1068" t="e">
        <f>COUNTIFS(#REF!,"&gt;0",#REF!,"&gt;="&amp;B203,#REF!,"&lt;="&amp;EOMONTH(B203,0))</f>
        <v>#REF!</v>
      </c>
      <c r="F208" s="1069" t="e">
        <f>SUMIFS(#REF!,#REF!,"&lt;&gt;0",#REF!,"&gt;="&amp;B203,#REF!,"&lt;="&amp;EOMONTH(B203,0))</f>
        <v>#REF!</v>
      </c>
      <c r="G208" s="1098" t="e">
        <f t="shared" si="87"/>
        <v>#REF!</v>
      </c>
      <c r="H208" s="1113" t="e">
        <f ca="1">MINIFS(#REF!,#REF!,"&lt;&gt;0",#REF!,"&gt;="&amp;B203,#REF!,"&lt;="&amp;EOMONTH(B203,0))</f>
        <v>#NAME?</v>
      </c>
      <c r="I208" s="1078" t="e">
        <f ca="1">MAXIFS(#REF!,#REF!,"&lt;&gt;0",#REF!,"&gt;="&amp;B203,#REF!,"&lt;="&amp;EOMONTH(B203,0))</f>
        <v>#NAME?</v>
      </c>
      <c r="J208" s="1072" t="e">
        <f>COUNTIFS(#REF!,"&gt;="&amp;D208,#REF!,"&gt;="&amp;B203,#REF!,"&lt;="&amp;EOMONTH(B203,0))</f>
        <v>#REF!</v>
      </c>
      <c r="K208" s="1341" t="e">
        <f t="shared" si="88"/>
        <v>#REF!</v>
      </c>
      <c r="L208" s="1115"/>
      <c r="M208" s="1082"/>
      <c r="N208" s="1100"/>
      <c r="O208" s="1100"/>
      <c r="P208" s="1078"/>
      <c r="Q208" s="1078"/>
      <c r="R208" s="1078"/>
      <c r="S208" s="1078"/>
      <c r="T208" s="1101"/>
      <c r="U208" s="1101"/>
      <c r="V208" s="1082"/>
      <c r="W208" s="1129"/>
      <c r="X208" s="1129"/>
      <c r="Y208" s="1069"/>
      <c r="Z208" s="1069"/>
      <c r="AA208" s="1069"/>
      <c r="AB208" s="1069"/>
      <c r="AC208" s="1130"/>
      <c r="AD208" s="1131"/>
      <c r="AE208" s="1082"/>
      <c r="AF208" s="1105"/>
      <c r="AG208" s="1106"/>
      <c r="AH208" s="1106"/>
      <c r="AI208" s="1106"/>
      <c r="AJ208" s="1106"/>
      <c r="AK208" s="1132"/>
      <c r="AL208" s="1105"/>
      <c r="AM208" s="1106"/>
      <c r="AN208" s="1106"/>
      <c r="AO208" s="1106"/>
      <c r="AP208" s="1106"/>
      <c r="AQ208" s="1133"/>
      <c r="AR208" s="1134"/>
      <c r="AS208" s="1135"/>
      <c r="AT208" s="1106"/>
      <c r="AU208" s="1106"/>
      <c r="AV208" s="1106"/>
      <c r="AW208" s="1119"/>
      <c r="AX208" s="1120"/>
      <c r="AY208" s="1094"/>
      <c r="AZ208" s="1095" t="e">
        <f t="shared" si="89"/>
        <v>#REF!</v>
      </c>
      <c r="BA208" s="2"/>
    </row>
    <row r="209" spans="1:53" ht="15.75" hidden="1" customHeight="1" outlineLevel="1">
      <c r="A209" s="1027"/>
      <c r="B209" s="1096"/>
      <c r="C209" s="1097" t="s">
        <v>19</v>
      </c>
      <c r="D209" s="1067">
        <f>Parametres!$D$11</f>
        <v>1.5</v>
      </c>
      <c r="E209" s="1068" t="e">
        <f>COUNTIFS(#REF!,"&gt;0",#REF!,"&gt;="&amp;B203,#REF!,"&lt;="&amp;EOMONTH(B203,0))</f>
        <v>#REF!</v>
      </c>
      <c r="F209" s="1069" t="e">
        <f>SUMIFS(#REF!,#REF!,"&lt;&gt;0",#REF!,"&gt;="&amp;B203,#REF!,"&lt;="&amp;EOMONTH(B203,0))</f>
        <v>#REF!</v>
      </c>
      <c r="G209" s="1098" t="e">
        <f t="shared" si="87"/>
        <v>#REF!</v>
      </c>
      <c r="H209" s="1113" t="e">
        <f ca="1">MINIFS(#REF!,#REF!,"&lt;&gt;0",#REF!,"&gt;="&amp;B203,#REF!,"&lt;="&amp;EOMONTH(B203,0))</f>
        <v>#NAME?</v>
      </c>
      <c r="I209" s="1078" t="e">
        <f ca="1">MAXIFS(#REF!,#REF!,"&lt;&gt;0",#REF!,"&gt;="&amp;B203,#REF!,"&lt;="&amp;EOMONTH(B203,0))</f>
        <v>#NAME?</v>
      </c>
      <c r="J209" s="1072" t="e">
        <f>COUNTIFS(#REF!,"&gt;="&amp;D209,#REF!,"&gt;="&amp;B203,#REF!,"&lt;="&amp;EOMONTH(B203,0))</f>
        <v>#REF!</v>
      </c>
      <c r="K209" s="1341" t="e">
        <f t="shared" si="88"/>
        <v>#REF!</v>
      </c>
      <c r="L209" s="1115"/>
      <c r="M209" s="1082"/>
      <c r="N209" s="1100"/>
      <c r="O209" s="1100"/>
      <c r="P209" s="1078"/>
      <c r="Q209" s="1078"/>
      <c r="R209" s="1078"/>
      <c r="S209" s="1078"/>
      <c r="T209" s="1101"/>
      <c r="U209" s="1101"/>
      <c r="V209" s="1082"/>
      <c r="W209" s="1129"/>
      <c r="X209" s="1129"/>
      <c r="Y209" s="1069"/>
      <c r="Z209" s="1069"/>
      <c r="AA209" s="1069"/>
      <c r="AB209" s="1069"/>
      <c r="AC209" s="1130"/>
      <c r="AD209" s="1131"/>
      <c r="AE209" s="1082"/>
      <c r="AF209" s="1105"/>
      <c r="AG209" s="1106"/>
      <c r="AH209" s="1106"/>
      <c r="AI209" s="1106"/>
      <c r="AJ209" s="1106"/>
      <c r="AK209" s="1082"/>
      <c r="AL209" s="1136"/>
      <c r="AM209" s="1137"/>
      <c r="AN209" s="1137"/>
      <c r="AO209" s="1137"/>
      <c r="AP209" s="1137"/>
      <c r="AQ209" s="1082"/>
      <c r="AR209" s="1118"/>
      <c r="AS209" s="1105"/>
      <c r="AT209" s="1106"/>
      <c r="AU209" s="1106"/>
      <c r="AV209" s="1106"/>
      <c r="AW209" s="1138"/>
      <c r="AX209" s="1120"/>
      <c r="AY209" s="1094"/>
      <c r="AZ209" s="1095" t="e">
        <f t="shared" si="89"/>
        <v>#REF!</v>
      </c>
      <c r="BA209" s="2"/>
    </row>
    <row r="210" spans="1:53" ht="15.75" hidden="1" customHeight="1" outlineLevel="1">
      <c r="A210" s="1027"/>
      <c r="B210" s="1096"/>
      <c r="C210" s="1139" t="s">
        <v>42</v>
      </c>
      <c r="D210" s="1122">
        <f>Parametres!$D$12</f>
        <v>0.1</v>
      </c>
      <c r="E210" s="1068" t="e">
        <f>COUNTIFS(#REF!,"&gt;0",#REF!,"&gt;="&amp;B203,#REF!,"&lt;="&amp;EOMONTH(B203,0))</f>
        <v>#REF!</v>
      </c>
      <c r="F210" s="1069" t="e">
        <f>SUMIFS(#REF!,#REF!,"&lt;&gt;0",#REF!,"&gt;="&amp;B203,#REF!,"&lt;="&amp;EOMONTH(B203,0))</f>
        <v>#REF!</v>
      </c>
      <c r="G210" s="1098" t="e">
        <f t="shared" si="87"/>
        <v>#REF!</v>
      </c>
      <c r="H210" s="1113" t="e">
        <f ca="1">MINIFS(#REF!,#REF!,"&lt;&gt;0",#REF!,"&gt;="&amp;B203,#REF!,"&lt;="&amp;EOMONTH(B203,0))</f>
        <v>#NAME?</v>
      </c>
      <c r="I210" s="1078" t="e">
        <f ca="1">MAXIFS(#REF!,#REF!,"&lt;&gt;0",#REF!,"&gt;="&amp;B203,#REF!,"&lt;="&amp;EOMONTH(B203,0))</f>
        <v>#NAME?</v>
      </c>
      <c r="J210" s="1114" t="e">
        <f>COUNTIFS(#REF!,"&gt;="&amp;D210,#REF!,"&gt;="&amp;B203,#REF!,"&lt;="&amp;EOMONTH(B203,0))</f>
        <v>#REF!</v>
      </c>
      <c r="K210" s="1341" t="e">
        <f t="shared" si="88"/>
        <v>#REF!</v>
      </c>
      <c r="L210" s="1115"/>
      <c r="M210" s="1082"/>
      <c r="N210" s="1076">
        <f>Parametres!$L$12</f>
        <v>100000</v>
      </c>
      <c r="O210" s="1077">
        <f>COUNTIFS('Degrémont Entrée'!$AG$14:$AG$379,"&gt;0",'Degrémont Entrée'!$A$14:$A$379,"&gt;="&amp;B203,'Degrémont Entrée'!$A$14:$A$379,"&lt;="&amp;EOMONTH(B203,0))</f>
        <v>24</v>
      </c>
      <c r="P210" s="1078">
        <f>SUMIFS('Degrémont Entrée'!$AG$14:$AG$379,'Degrémont Entrée'!$AG$14:$AG$379,"&lt;&gt;0",'Degrémont Entrée'!$A$14:$A$379,"&gt;="&amp;B203,'Degrémont Entrée'!$A$14:$A$379,"&lt;="&amp;EOMONTH(B203,0))</f>
        <v>0.24000000000000007</v>
      </c>
      <c r="Q210" s="1078">
        <f>IF(O210=0,0,P210/O210)</f>
        <v>1.0000000000000004E-2</v>
      </c>
      <c r="R210" s="1078" t="e">
        <f ca="1">MINIFS('Degrémont Entrée'!$AG$14:$AG$379,'Degrémont Entrée'!$AG$14:$AG$379,"&lt;&gt;0",'Degrémont Entrée'!$A$14:$A$379,"&gt;="&amp;B203,'Degrémont Entrée'!$A$14:$A$379,"&lt;="&amp;EOMONTH(B203,0))</f>
        <v>#NAME?</v>
      </c>
      <c r="S210" s="1078" t="e">
        <f ca="1">MAXIFS('Degrémont Entrée'!$AG$14:$AG$379,'Degrémont Entrée'!$AG$14:$AG$379,"&lt;&gt;0",'Degrémont Entrée'!$A$14:$A$379,"&gt;="&amp;B203,'Degrémont Entrée'!$A$14:$A$379,"&lt;="&amp;EOMONTH(B203,0))</f>
        <v>#NAME?</v>
      </c>
      <c r="T210" s="1140" t="s">
        <v>153</v>
      </c>
      <c r="U210" s="1140" t="s">
        <v>153</v>
      </c>
      <c r="V210" s="1082"/>
      <c r="W210" s="1083">
        <f>Parametres!$T$12</f>
        <v>0.1</v>
      </c>
      <c r="X210" s="1142">
        <f>COUNTIFS('Degrémont sortie'!$AA$14:$AA$379,"&gt;0",'Degrémont sortie'!$A$14:$A$379,"&gt;="&amp;B203,'Degrémont sortie'!$A$14:$A$379,"&lt;="&amp;EOMONTH(B203,0))</f>
        <v>27</v>
      </c>
      <c r="Y210" s="1085">
        <f>SUMIFS('Degrémont sortie'!$AA$14:$AA$379,'Degrémont sortie'!$AA$14:$AA$379,"&lt;&gt;0",'Degrémont sortie'!$A$14:$A$379,"&gt;="&amp;B203,'Degrémont sortie'!$A$14:$A$379,"&lt;="&amp;EOMONTH(B203,0))</f>
        <v>0.27000000000000007</v>
      </c>
      <c r="Z210" s="1069">
        <f t="shared" ref="Z210:Z212" si="90">IF(X210=0,0,Y210/X210)</f>
        <v>1.0000000000000002E-2</v>
      </c>
      <c r="AA210" s="1069" t="e">
        <f ca="1">MINIFS('Degrémont sortie'!$AA$14:$AA$379,'Degrémont sortie'!$AA$14:$AA$379,"&lt;&gt;0",'Degrémont sortie'!$A$14:$A$379,"&gt;="&amp;B203,'Degrémont sortie'!$A$14:$A$379,"&lt;="&amp;EOMONTH(B203,0))</f>
        <v>#NAME?</v>
      </c>
      <c r="AB210" s="1069" t="e">
        <f ca="1">MAXIFS('Degrémont sortie'!$AA$14:$AA$379,'Degrémont sortie'!$AA$14:$AA$379,"&lt;&gt;0",'Degrémont sortie'!$A$14:$A$379,"&gt;="&amp;B203,'Degrémont sortie'!$A$14:$A$379,"&lt;="&amp;EOMONTH(B203,0))</f>
        <v>#NAME?</v>
      </c>
      <c r="AC210" s="1142">
        <f>COUNTIFS('Degrémont sortie'!$AA$14:$AA$379,"&gt;="&amp;W210,'Degrémont sortie'!$A$14:$A$379,"&gt;="&amp;B203,'Degrémont sortie'!$A$14:$A$379,"&lt;="&amp;EOMONTH(B203,0))</f>
        <v>0</v>
      </c>
      <c r="AD210" s="1087">
        <f t="shared" ref="AD210:AD212" si="91">AC210/X210</f>
        <v>0</v>
      </c>
      <c r="AE210" s="1082"/>
      <c r="AF210" s="1105"/>
      <c r="AG210" s="1106"/>
      <c r="AH210" s="1106"/>
      <c r="AI210" s="1106"/>
      <c r="AJ210" s="1106"/>
      <c r="AK210" s="1082"/>
      <c r="AL210" s="1116"/>
      <c r="AM210" s="1117"/>
      <c r="AN210" s="1117"/>
      <c r="AO210" s="1117"/>
      <c r="AP210" s="1117"/>
      <c r="AQ210" s="1082"/>
      <c r="AR210" s="1118"/>
      <c r="AS210" s="1105"/>
      <c r="AT210" s="1106"/>
      <c r="AU210" s="1106"/>
      <c r="AV210" s="1106"/>
      <c r="AW210" s="1119"/>
      <c r="AX210" s="1120"/>
      <c r="AY210" s="1094"/>
      <c r="AZ210" s="1095" t="e">
        <f t="shared" si="89"/>
        <v>#REF!</v>
      </c>
      <c r="BA210" s="2"/>
    </row>
    <row r="211" spans="1:53" ht="15.75" hidden="1" customHeight="1" outlineLevel="1">
      <c r="A211" s="1027"/>
      <c r="B211" s="1096"/>
      <c r="C211" s="1139" t="s">
        <v>286</v>
      </c>
      <c r="D211" s="1122">
        <f>Parametres!$D$13</f>
        <v>0.5</v>
      </c>
      <c r="E211" s="1068" t="e">
        <f>COUNTIFS(#REF!,"&gt;0",#REF!,"&gt;="&amp;B203,#REF!,"&lt;="&amp;EOMONTH(B203,0))</f>
        <v>#REF!</v>
      </c>
      <c r="F211" s="1069" t="e">
        <f>SUMIFS(#REF!,#REF!,"&lt;&gt;0",#REF!,"&gt;="&amp;B203,#REF!,"&lt;="&amp;EOMONTH(B203,0))</f>
        <v>#REF!</v>
      </c>
      <c r="G211" s="1098" t="e">
        <f t="shared" si="87"/>
        <v>#REF!</v>
      </c>
      <c r="H211" s="1113" t="e">
        <f ca="1">MINIFS(#REF!,#REF!,"&lt;&gt;0",#REF!,"&gt;="&amp;B203,#REF!,"&lt;="&amp;EOMONTH(B203,0))</f>
        <v>#NAME?</v>
      </c>
      <c r="I211" s="1078" t="e">
        <f ca="1">MAXIFS(#REF!,#REF!,"&lt;&gt;0",#REF!,"&gt;="&amp;B203,#REF!,"&lt;="&amp;EOMONTH(B203,0))</f>
        <v>#NAME?</v>
      </c>
      <c r="J211" s="1114" t="e">
        <f>COUNTIFS(#REF!,"&gt;="&amp;D211,#REF!,"&gt;="&amp;B203,#REF!,"&lt;="&amp;EOMONTH(B203,0))</f>
        <v>#REF!</v>
      </c>
      <c r="K211" s="1341" t="e">
        <f t="shared" si="88"/>
        <v>#REF!</v>
      </c>
      <c r="L211" s="1115"/>
      <c r="M211" s="1082"/>
      <c r="N211" s="1129"/>
      <c r="O211" s="1129"/>
      <c r="P211" s="1069"/>
      <c r="Q211" s="1069"/>
      <c r="R211" s="1069"/>
      <c r="S211" s="1069"/>
      <c r="T211" s="1143"/>
      <c r="U211" s="1143"/>
      <c r="V211" s="1132"/>
      <c r="W211" s="1083">
        <f>Parametres!$T$13</f>
        <v>0.08</v>
      </c>
      <c r="X211" s="1142">
        <f>COUNTIFS('Degrémont sortie'!$AD$14:$AD$379,"&gt;0",'Degrémont sortie'!$A$14:$A$379,"&gt;="&amp;B203,'Degrémont sortie'!$A$14:$A$379,"&lt;="&amp;EOMONTH(B203,0))</f>
        <v>0</v>
      </c>
      <c r="Y211" s="1085">
        <f>SUMIFS('Degrémont sortie'!$AD$14:$AD$379,'Degrémont sortie'!$AD$14:$AD$379,"&lt;&gt;0",'Degrémont sortie'!$A$14:$A$379,"&gt;="&amp;B203,'Degrémont sortie'!$A$14:$A$379,"&lt;="&amp;EOMONTH(B203,0))</f>
        <v>0</v>
      </c>
      <c r="Z211" s="1069">
        <f t="shared" si="90"/>
        <v>0</v>
      </c>
      <c r="AA211" s="1069" t="e">
        <f ca="1">MINIFS('Degrémont sortie'!$AD$14:$AD$379,'Degrémont sortie'!$AD$14:$AD$379,"&lt;&gt;0",'Degrémont sortie'!$A$14:$A$379,"&gt;="&amp;B203,'Degrémont sortie'!$A$14:$A$379,"&lt;="&amp;EOMONTH(B203,0))</f>
        <v>#NAME?</v>
      </c>
      <c r="AB211" s="1069" t="e">
        <f ca="1">MAXIFS('Degrémont sortie'!$AD$14:$AD$379,'Degrémont sortie'!$AD$14:$AD$379,"&lt;&gt;0",'Degrémont sortie'!$A$14:$A$379,"&gt;="&amp;B203,'Degrémont sortie'!$A$14:$A$379,"&lt;="&amp;EOMONTH(B203,0))</f>
        <v>#NAME?</v>
      </c>
      <c r="AC211" s="1142">
        <f>COUNTIFS('Degrémont sortie'!$AD$14:$AD$379,"&gt;="&amp;W211,'Degrémont sortie'!$A$14:$A$379,"&gt;="&amp;B203,'Degrémont sortie'!$A$14:$A$379,"&lt;="&amp;EOMONTH(B203,0))</f>
        <v>0</v>
      </c>
      <c r="AD211" s="1087" t="e">
        <f t="shared" si="91"/>
        <v>#DIV/0!</v>
      </c>
      <c r="AE211" s="1132"/>
      <c r="AF211" s="1105"/>
      <c r="AG211" s="1106"/>
      <c r="AH211" s="1106"/>
      <c r="AI211" s="1106"/>
      <c r="AJ211" s="1106"/>
      <c r="AK211" s="1132"/>
      <c r="AL211" s="1105"/>
      <c r="AM211" s="1106"/>
      <c r="AN211" s="1106"/>
      <c r="AO211" s="1106"/>
      <c r="AP211" s="1106"/>
      <c r="AQ211" s="1133"/>
      <c r="AR211" s="1134"/>
      <c r="AS211" s="1135"/>
      <c r="AT211" s="1106"/>
      <c r="AU211" s="1106"/>
      <c r="AV211" s="1106"/>
      <c r="AW211" s="1119"/>
      <c r="AX211" s="1120"/>
      <c r="AY211" s="1094"/>
      <c r="AZ211" s="1095" t="e">
        <f t="shared" si="89"/>
        <v>#REF!</v>
      </c>
      <c r="BA211" s="2"/>
    </row>
    <row r="212" spans="1:53" ht="15.75" hidden="1" customHeight="1" outlineLevel="1">
      <c r="A212" s="1027"/>
      <c r="B212" s="1096"/>
      <c r="C212" s="1139" t="s">
        <v>45</v>
      </c>
      <c r="D212" s="1122">
        <f>Parametres!$D$14</f>
        <v>0.5</v>
      </c>
      <c r="E212" s="1068" t="e">
        <f>COUNTIFS(#REF!,"&gt;0",#REF!,"&gt;="&amp;B203,#REF!,"&lt;="&amp;EOMONTH(B203,0))</f>
        <v>#REF!</v>
      </c>
      <c r="F212" s="1069" t="e">
        <f>SUMIFS(#REF!,#REF!,"&lt;&gt;0",#REF!,"&gt;="&amp;B203,#REF!,"&lt;="&amp;EOMONTH(B203,0))</f>
        <v>#REF!</v>
      </c>
      <c r="G212" s="1098" t="e">
        <f t="shared" si="87"/>
        <v>#REF!</v>
      </c>
      <c r="H212" s="1070" t="e">
        <f ca="1">MINIFS(#REF!,#REF!,"&lt;&gt;0",#REF!,"&gt;="&amp;B203,#REF!,"&lt;="&amp;EOMONTH(B203,0))</f>
        <v>#NAME?</v>
      </c>
      <c r="I212" s="1078" t="e">
        <f ca="1">MAXIFS(#REF!,#REF!,"&lt;&gt;0",#REF!,"&gt;="&amp;B203,#REF!,"&lt;="&amp;EOMONTH(B203,0))</f>
        <v>#NAME?</v>
      </c>
      <c r="J212" s="1114" t="e">
        <f>COUNTIFS(#REF!,"&gt;="&amp;D212,#REF!,"&gt;="&amp;B203,#REF!,"&lt;="&amp;EOMONTH(B203,0))</f>
        <v>#REF!</v>
      </c>
      <c r="K212" s="1341" t="e">
        <f t="shared" si="88"/>
        <v>#REF!</v>
      </c>
      <c r="L212" s="1115"/>
      <c r="M212" s="1082"/>
      <c r="N212" s="1144">
        <f>Parametres!$L$14</f>
        <v>3</v>
      </c>
      <c r="O212" s="1077">
        <f>COUNTIFS('Degrémont Entrée'!$AS$14:$AS$379,"&gt;0",'Degrémont Entrée'!$A$14:$A$379,"&gt;="&amp;B203,'Degrémont Entrée'!$A$14:$A$379,"&lt;="&amp;EOMONTH(B203,0))</f>
        <v>4</v>
      </c>
      <c r="P212" s="1078">
        <f>SUMIFS('Degrémont Entrée'!$AS$14:$AS$379,'Degrémont Entrée'!$AS$14:$AS$379,"&lt;&gt;0",'Degrémont Entrée'!$A$14:$A$379,"&gt;="&amp;B203,'Degrémont Entrée'!$A$14:$A$379,"&lt;="&amp;EOMONTH(B203,0))</f>
        <v>3.9099999999999997</v>
      </c>
      <c r="Q212" s="1078">
        <f>IF(O212=0,0,P212/O212)</f>
        <v>0.97749999999999992</v>
      </c>
      <c r="R212" s="1069" t="e">
        <f ca="1">MINIFS('Degrémont Entrée'!$AS$14:$AS$379,'Degrémont Entrée'!$AS$14:$AS$379,"&lt;&gt;0",'Degrémont Entrée'!$A$14:$A$379,"&gt;="&amp;B203,'Degrémont Entrée'!$A$14:$A$379,"&lt;="&amp;EOMONTH(B203,0))</f>
        <v>#NAME?</v>
      </c>
      <c r="S212" s="1069" t="e">
        <f ca="1">MAXIFS('Degrémont Entrée'!$AS$14:$AS$379,'Degrémont Entrée'!$AS$14:$AS$379,"&lt;&gt;0",'Degrémont Entrée'!$A$14:$A$379,"&gt;="&amp;B203,'Degrémont Entrée'!$A$14:$A$379,"&lt;="&amp;EOMONTH(B203,0))</f>
        <v>#NAME?</v>
      </c>
      <c r="T212" s="1145">
        <f>COUNTIFS('Degrémont Entrée'!$AS$14:$AS$379,"&gt;="&amp;N212,'Degrémont Entrée'!$A$14:$A$379,"&gt;="&amp;B203,'Degrémont Entrée'!$A$14:$A$379,"&lt;="&amp;EOMONTH(B203,0))</f>
        <v>0</v>
      </c>
      <c r="U212" s="1081">
        <f>T212/O212</f>
        <v>0</v>
      </c>
      <c r="V212" s="1132"/>
      <c r="W212" s="1083">
        <f>Parametres!$T$14</f>
        <v>0.12</v>
      </c>
      <c r="X212" s="1142">
        <f>COUNTIFS('Degrémont sortie'!$AM$14:$AM$379,"&gt;0",'Degrémont sortie'!$A$14:$A$379,"&gt;="&amp;B203,'Degrémont sortie'!$A$14:$A$379,"&lt;="&amp;EOMONTH(B203,0))</f>
        <v>4</v>
      </c>
      <c r="Y212" s="1085">
        <f>SUMIFS('Degrémont sortie'!$AM$14:$AM$379,'Degrémont sortie'!$AM$14:$AM$379,"&lt;&gt;0",'Degrémont sortie'!$A$14:$A$379,"&gt;="&amp;B203,'Degrémont sortie'!$A$14:$A$379,"&lt;="&amp;EOMONTH(B203,0))</f>
        <v>0.19</v>
      </c>
      <c r="Z212" s="1069">
        <f t="shared" si="90"/>
        <v>4.7500000000000001E-2</v>
      </c>
      <c r="AA212" s="1069" t="e">
        <f ca="1">MINIFS('Degrémont sortie'!$AM$14:$AM$379,'Degrémont sortie'!$AM$14:$AM$379,"&lt;&gt;0",'Degrémont sortie'!$A$14:$A$379,"&gt;="&amp;B203,'Degrémont sortie'!$A$14:$A$379,"&lt;="&amp;EOMONTH(B203,0))</f>
        <v>#NAME?</v>
      </c>
      <c r="AB212" s="1069" t="e">
        <f ca="1">MAXIFS('Degrémont sortie'!$AM$14:$AM$379,'Degrémont sortie'!$AM$14:$AM$379,"&lt;&gt;0",'Degrémont sortie'!$A$14:$A$379,"&gt;="&amp;B203,'Degrémont sortie'!$A$14:$A$379,"&lt;="&amp;EOMONTH(B203,0))</f>
        <v>#NAME?</v>
      </c>
      <c r="AC212" s="1142">
        <f>COUNTIFS('Degrémont sortie'!$AM$14:$AM$379,"&gt;="&amp;W212,'Degrémont sortie'!$A$14:$A$379,"&gt;="&amp;B203,'Degrémont sortie'!$A$14:$A$379,"&lt;="&amp;EOMONTH(B203,0))</f>
        <v>0</v>
      </c>
      <c r="AD212" s="1087">
        <f t="shared" si="91"/>
        <v>0</v>
      </c>
      <c r="AE212" s="1132"/>
      <c r="AF212" s="1105"/>
      <c r="AG212" s="1106"/>
      <c r="AH212" s="1106"/>
      <c r="AI212" s="1106"/>
      <c r="AJ212" s="1106"/>
      <c r="AK212" s="1132"/>
      <c r="AL212" s="1105"/>
      <c r="AM212" s="1106"/>
      <c r="AN212" s="1106"/>
      <c r="AO212" s="1106"/>
      <c r="AP212" s="1106"/>
      <c r="AQ212" s="1132"/>
      <c r="AR212" s="1148"/>
      <c r="AS212" s="1105"/>
      <c r="AT212" s="1106"/>
      <c r="AU212" s="1106"/>
      <c r="AV212" s="1106"/>
      <c r="AW212" s="1138"/>
      <c r="AX212" s="1120"/>
      <c r="AY212" s="1094"/>
      <c r="AZ212" s="1095" t="e">
        <f t="shared" si="89"/>
        <v>#REF!</v>
      </c>
      <c r="BA212" s="2"/>
    </row>
    <row r="213" spans="1:53" ht="15.75" hidden="1" customHeight="1" outlineLevel="1">
      <c r="A213" s="1027"/>
      <c r="B213" s="1096"/>
      <c r="C213" s="1121" t="s">
        <v>20</v>
      </c>
      <c r="D213" s="1122">
        <f>Parametres!$D$15</f>
        <v>0.1</v>
      </c>
      <c r="E213" s="1068" t="e">
        <f>COUNTIFS(#REF!,"&gt;0",#REF!,"&gt;="&amp;B203,#REF!,"&lt;="&amp;EOMONTH(B203,0))</f>
        <v>#REF!</v>
      </c>
      <c r="F213" s="1069" t="e">
        <f>SUMIFS(#REF!,#REF!,"&lt;&gt;0",#REF!,"&gt;="&amp;B203,#REF!,"&lt;="&amp;EOMONTH(B203,0))</f>
        <v>#REF!</v>
      </c>
      <c r="G213" s="1098" t="e">
        <f t="shared" si="87"/>
        <v>#REF!</v>
      </c>
      <c r="H213" s="1070" t="e">
        <f ca="1">MINIFS(#REF!,#REF!,"&lt;&gt;0",#REF!,"&gt;="&amp;B203,#REF!,"&lt;="&amp;EOMONTH(B203,0))</f>
        <v>#NAME?</v>
      </c>
      <c r="I213" s="1078" t="e">
        <f ca="1">MAXIFS(#REF!,#REF!,"&lt;&gt;0",#REF!,"&gt;="&amp;B203,#REF!,"&lt;="&amp;EOMONTH(B203,0))</f>
        <v>#NAME?</v>
      </c>
      <c r="J213" s="1072" t="e">
        <f>COUNTIFS(#REF!,"&gt;="&amp;D213,#REF!,"&gt;="&amp;B203,#REF!,"&lt;="&amp;EOMONTH(B203,0))</f>
        <v>#REF!</v>
      </c>
      <c r="K213" s="1341" t="e">
        <f t="shared" si="88"/>
        <v>#REF!</v>
      </c>
      <c r="L213" s="1115"/>
      <c r="M213" s="1082"/>
      <c r="N213" s="1129"/>
      <c r="O213" s="1129"/>
      <c r="P213" s="1069"/>
      <c r="Q213" s="1069"/>
      <c r="R213" s="1069"/>
      <c r="S213" s="1069"/>
      <c r="T213" s="1143"/>
      <c r="U213" s="1143"/>
      <c r="V213" s="1132"/>
      <c r="W213" s="1129"/>
      <c r="X213" s="1129"/>
      <c r="Y213" s="1069"/>
      <c r="Z213" s="1069"/>
      <c r="AA213" s="1069"/>
      <c r="AB213" s="1069"/>
      <c r="AC213" s="1130"/>
      <c r="AD213" s="1131"/>
      <c r="AE213" s="1132"/>
      <c r="AF213" s="1105"/>
      <c r="AG213" s="1106"/>
      <c r="AH213" s="1106"/>
      <c r="AI213" s="1106"/>
      <c r="AJ213" s="1106"/>
      <c r="AK213" s="1132"/>
      <c r="AL213" s="1105"/>
      <c r="AM213" s="1106"/>
      <c r="AN213" s="1106"/>
      <c r="AO213" s="1106"/>
      <c r="AP213" s="1106"/>
      <c r="AQ213" s="1132"/>
      <c r="AR213" s="1148"/>
      <c r="AS213" s="1105"/>
      <c r="AT213" s="1106"/>
      <c r="AU213" s="1106"/>
      <c r="AV213" s="1106"/>
      <c r="AW213" s="1119"/>
      <c r="AX213" s="1120"/>
      <c r="AY213" s="1094"/>
      <c r="AZ213" s="1095" t="e">
        <f t="shared" si="89"/>
        <v>#REF!</v>
      </c>
      <c r="BA213" s="2"/>
    </row>
    <row r="214" spans="1:53" ht="15.75" hidden="1" customHeight="1" outlineLevel="1">
      <c r="A214" s="1027"/>
      <c r="B214" s="1096"/>
      <c r="C214" s="1121" t="s">
        <v>14</v>
      </c>
      <c r="D214" s="1122">
        <f>Parametres!$D$16</f>
        <v>10000000</v>
      </c>
      <c r="E214" s="1068" t="e">
        <f>COUNTIFS(#REF!,"&gt;0",#REF!,"&gt;="&amp;B203,#REF!,"&lt;="&amp;EOMONTH(B203,0))</f>
        <v>#REF!</v>
      </c>
      <c r="F214" s="1069" t="e">
        <f>SUMIFS(#REF!,#REF!,"&lt;&gt;0",#REF!,"&gt;="&amp;B203,#REF!,"&lt;="&amp;EOMONTH(B203,0))</f>
        <v>#REF!</v>
      </c>
      <c r="G214" s="1098" t="e">
        <f t="shared" si="87"/>
        <v>#REF!</v>
      </c>
      <c r="H214" s="1070" t="e">
        <f ca="1">MINIFS(#REF!,#REF!,"&lt;&gt;0",#REF!,"&gt;="&amp;B203,#REF!,"&lt;="&amp;EOMONTH(B203,0))</f>
        <v>#NAME?</v>
      </c>
      <c r="I214" s="1078" t="e">
        <f ca="1">MAXIFS(#REF!,#REF!,"&lt;&gt;0",#REF!,"&gt;="&amp;B203,#REF!,"&lt;="&amp;EOMONTH(B203,0))</f>
        <v>#NAME?</v>
      </c>
      <c r="J214" s="1072" t="e">
        <f>COUNTIFS(#REF!,"&gt;="&amp;D214,#REF!,"&gt;="&amp;B203,#REF!,"&lt;="&amp;EOMONTH(B203,0))</f>
        <v>#REF!</v>
      </c>
      <c r="K214" s="1341" t="e">
        <f t="shared" si="88"/>
        <v>#REF!</v>
      </c>
      <c r="L214" s="1115"/>
      <c r="M214" s="1082"/>
      <c r="N214" s="1129"/>
      <c r="O214" s="1129"/>
      <c r="P214" s="1069"/>
      <c r="Q214" s="1069"/>
      <c r="R214" s="1069"/>
      <c r="S214" s="1069"/>
      <c r="T214" s="1143"/>
      <c r="U214" s="1143"/>
      <c r="V214" s="1132"/>
      <c r="W214" s="1129"/>
      <c r="X214" s="1129"/>
      <c r="Y214" s="1069"/>
      <c r="Z214" s="1069"/>
      <c r="AA214" s="1069"/>
      <c r="AB214" s="1069"/>
      <c r="AC214" s="1130"/>
      <c r="AD214" s="1131"/>
      <c r="AE214" s="1132"/>
      <c r="AF214" s="1105"/>
      <c r="AG214" s="1106"/>
      <c r="AH214" s="1106"/>
      <c r="AI214" s="1106"/>
      <c r="AJ214" s="1106"/>
      <c r="AK214" s="1082"/>
      <c r="AL214" s="1136"/>
      <c r="AM214" s="1137"/>
      <c r="AN214" s="1137"/>
      <c r="AO214" s="1137"/>
      <c r="AP214" s="1137"/>
      <c r="AQ214" s="1082"/>
      <c r="AR214" s="1118"/>
      <c r="AS214" s="1105"/>
      <c r="AT214" s="1106"/>
      <c r="AU214" s="1106"/>
      <c r="AV214" s="1106"/>
      <c r="AW214" s="1138"/>
      <c r="AX214" s="1120"/>
      <c r="AY214" s="1094"/>
      <c r="AZ214" s="1095" t="e">
        <f t="shared" si="89"/>
        <v>#REF!</v>
      </c>
      <c r="BA214" s="2"/>
    </row>
    <row r="215" spans="1:53" ht="15.75" hidden="1" customHeight="1" outlineLevel="1">
      <c r="A215" s="1027"/>
      <c r="B215" s="1096"/>
      <c r="C215" s="1139" t="s">
        <v>284</v>
      </c>
      <c r="D215" s="1122">
        <f>Parametres!$D$17</f>
        <v>450</v>
      </c>
      <c r="E215" s="1068" t="e">
        <f>COUNTIFS(#REF!,"&gt;0",#REF!,"&gt;="&amp;B203,#REF!,"&lt;="&amp;EOMONTH(B203,0))</f>
        <v>#REF!</v>
      </c>
      <c r="F215" s="1069" t="e">
        <f>SUMIFS(#REF!,#REF!,"&lt;&gt;0",#REF!,"&gt;="&amp;B203,#REF!,"&lt;="&amp;EOMONTH(B203,0))</f>
        <v>#REF!</v>
      </c>
      <c r="G215" s="1069" t="e">
        <f t="shared" si="87"/>
        <v>#REF!</v>
      </c>
      <c r="H215" s="1070" t="e">
        <f ca="1">MINIFS(#REF!,#REF!,"&lt;&gt;0",#REF!,"&gt;="&amp;B203,#REF!,"&lt;="&amp;EOMONTH(B203,0))</f>
        <v>#NAME?</v>
      </c>
      <c r="I215" s="1078" t="e">
        <f ca="1">MAXIFS(#REF!,#REF!,"&lt;&gt;0",#REF!,"&gt;="&amp;B203,#REF!,"&lt;="&amp;EOMONTH(B203,0))</f>
        <v>#NAME?</v>
      </c>
      <c r="J215" s="1114" t="e">
        <f>COUNTIFS(#REF!,"&gt;="&amp;D215,#REF!,"&gt;="&amp;B203,#REF!,"&lt;="&amp;EOMONTH(B203,0))</f>
        <v>#REF!</v>
      </c>
      <c r="K215" s="1341" t="e">
        <f t="shared" si="88"/>
        <v>#REF!</v>
      </c>
      <c r="L215" s="1115"/>
      <c r="M215" s="1082"/>
      <c r="N215" s="1171"/>
      <c r="O215" s="1171"/>
      <c r="P215" s="1173"/>
      <c r="Q215" s="1173"/>
      <c r="R215" s="1173"/>
      <c r="S215" s="1173"/>
      <c r="T215" s="1175"/>
      <c r="U215" s="1175"/>
      <c r="V215" s="1177"/>
      <c r="W215" s="1129"/>
      <c r="X215" s="1129"/>
      <c r="Y215" s="1069"/>
      <c r="Z215" s="1069"/>
      <c r="AA215" s="1069"/>
      <c r="AB215" s="1069"/>
      <c r="AC215" s="1130"/>
      <c r="AD215" s="1131"/>
      <c r="AE215" s="1082"/>
      <c r="AF215" s="1105"/>
      <c r="AG215" s="1106"/>
      <c r="AH215" s="1106"/>
      <c r="AI215" s="1106"/>
      <c r="AJ215" s="1106"/>
      <c r="AK215" s="1132"/>
      <c r="AL215" s="1105"/>
      <c r="AM215" s="1106"/>
      <c r="AN215" s="1106"/>
      <c r="AO215" s="1106"/>
      <c r="AP215" s="1119"/>
      <c r="AQ215" s="1132"/>
      <c r="AR215" s="1148"/>
      <c r="AS215" s="1105"/>
      <c r="AT215" s="1106"/>
      <c r="AU215" s="1106"/>
      <c r="AV215" s="1106"/>
      <c r="AW215" s="1119"/>
      <c r="AX215" s="1120"/>
      <c r="AY215" s="1094"/>
      <c r="AZ215" s="1095" t="e">
        <f t="shared" si="89"/>
        <v>#REF!</v>
      </c>
      <c r="BA215" s="2"/>
    </row>
    <row r="216" spans="1:53" ht="15.75" hidden="1" customHeight="1" outlineLevel="1">
      <c r="A216" s="1027"/>
      <c r="B216" s="1096"/>
      <c r="C216" s="1182" t="s">
        <v>35</v>
      </c>
      <c r="D216" s="1122">
        <f>Parametres!$D$18</f>
        <v>1750</v>
      </c>
      <c r="E216" s="1068" t="e">
        <f>COUNTIFS(#REF!,"&gt;0",#REF!,"&gt;="&amp;B203,#REF!,"&lt;="&amp;EOMONTH(B203,0))</f>
        <v>#REF!</v>
      </c>
      <c r="F216" s="1069" t="e">
        <f>SUMIFS(#REF!,#REF!,"&lt;&gt;0",#REF!,"&gt;="&amp;B203,#REF!,"&lt;="&amp;EOMONTH(B203,0))</f>
        <v>#REF!</v>
      </c>
      <c r="G216" s="1069" t="e">
        <f t="shared" si="87"/>
        <v>#REF!</v>
      </c>
      <c r="H216" s="1070" t="e">
        <f ca="1">MINIFS(#REF!,#REF!,"&lt;&gt;0",#REF!,"&gt;="&amp;B203,#REF!,"&lt;="&amp;EOMONTH(B203,0))</f>
        <v>#NAME?</v>
      </c>
      <c r="I216" s="1078" t="e">
        <f ca="1">MAXIFS(#REF!,#REF!,"&lt;&gt;0",#REF!,"&gt;="&amp;B203,#REF!,"&lt;="&amp;EOMONTH(B203,0))</f>
        <v>#NAME?</v>
      </c>
      <c r="J216" s="1114" t="e">
        <f>COUNTIFS(#REF!,"&gt;="&amp;D216,#REF!,"&gt;="&amp;B203,#REF!,"&lt;="&amp;EOMONTH(B203,0))</f>
        <v>#REF!</v>
      </c>
      <c r="K216" s="1341" t="e">
        <f t="shared" si="88"/>
        <v>#REF!</v>
      </c>
      <c r="L216" s="1115"/>
      <c r="M216" s="1082"/>
      <c r="N216" s="1144">
        <f>Parametres!$L$18</f>
        <v>5000</v>
      </c>
      <c r="O216" s="1077">
        <f>COUNTIFS('Degrémont Entrée'!$K$14:$K$379,"&gt;0",'Degrémont Entrée'!$A$14:$A$379,"&gt;="&amp;B203,'Degrémont Entrée'!$A$14:$A$379,"&lt;="&amp;EOMONTH(B203,0))</f>
        <v>28</v>
      </c>
      <c r="P216" s="1078">
        <f>SUMIFS('Degrémont Entrée'!$K$14:$K$379,'Degrémont Entrée'!$K$14:$K$379,"&lt;&gt;0",'Degrémont Entrée'!$A$14:$A$379,"&gt;="&amp;B203,'Degrémont Entrée'!$A$14:$A$379,"&lt;="&amp;EOMONTH(B203,0))</f>
        <v>219511</v>
      </c>
      <c r="Q216" s="1078">
        <f t="shared" ref="Q216:Q218" si="92">IF(O216=0,0,P216/O216)</f>
        <v>7839.6785714285716</v>
      </c>
      <c r="R216" s="1078" t="e">
        <f ca="1">MINIFS('Degrémont Entrée'!$K$14:$K$379,'Degrémont Entrée'!$K$14:$K$379,"&lt;&gt;0",'Degrémont Entrée'!$A$14:$A$379,"&gt;="&amp;B203,'Degrémont Entrée'!$A$14:$A$379,"&lt;="&amp;EOMONTH(B203,0))</f>
        <v>#NAME?</v>
      </c>
      <c r="S216" s="1078" t="e">
        <f ca="1">MAXIFS('Degrémont Entrée'!$K$14:$K$379,'Degrémont Entrée'!$K$14:$K$379,"&lt;&gt;0",'Degrémont Entrée'!$A$14:$A$379,"&gt;="&amp;B203,'Degrémont Entrée'!$A$14:$A$379,"&lt;="&amp;EOMONTH(B203,0))</f>
        <v>#NAME?</v>
      </c>
      <c r="T216" s="1080">
        <f>COUNTIFS('Degrémont Entrée'!$K$14:$K$379,"&gt;="&amp;N216,'Degrémont Entrée'!$A$14:$A$379,"&gt;="&amp;B203,'Degrémont Entrée'!$A$14:$A$379,"&lt;="&amp;EOMONTH(B203,0))</f>
        <v>16</v>
      </c>
      <c r="U216" s="1081">
        <f>T216/O216</f>
        <v>0.5714285714285714</v>
      </c>
      <c r="V216" s="1082"/>
      <c r="W216" s="1083">
        <f>Parametres!$T$18</f>
        <v>2000</v>
      </c>
      <c r="X216" s="1142">
        <f>COUNTIFS('Degrémont sortie'!$I$14:$I$379,"&gt;0",'Degrémont sortie'!$A$14:$A$379,"&gt;="&amp;B203,'Degrémont sortie'!$A$14:$A$379,"&lt;="&amp;EOMONTH(B203,0))</f>
        <v>28</v>
      </c>
      <c r="Y216" s="1085">
        <f>SUMIFS('Degrémont sortie'!$I$14:$I$379,'Degrémont sortie'!$I$14:$I$379,"&lt;&gt;0",'Degrémont sortie'!$A$14:$A$379,"&gt;="&amp;B203,'Degrémont sortie'!$A$14:$A$379,"&lt;="&amp;EOMONTH(B203,0))</f>
        <v>16674</v>
      </c>
      <c r="Z216" s="1069">
        <f>IF(X216=0,0,Y216/X216)</f>
        <v>595.5</v>
      </c>
      <c r="AA216" s="1069" t="e">
        <f ca="1">MINIFS('Degrémont sortie'!$I$14:$I$379,'Degrémont sortie'!$I$14:$I$379,"&lt;&gt;0",'Degrémont sortie'!$A$14:$A$379,"&gt;="&amp;B203,'Degrémont sortie'!$A$14:$A$379,"&lt;="&amp;EOMONTH(B203,0))</f>
        <v>#NAME?</v>
      </c>
      <c r="AB216" s="1069" t="e">
        <f ca="1">MAXIFS('Degrémont sortie'!$I$14:$I$379,'Degrémont sortie'!$I$14:$I$379,"&lt;&gt;0",'Degrémont sortie'!$A$14:$A$379,"&gt;="&amp;B203,'Degrémont sortie'!$A$14:$A$379,"&lt;="&amp;EOMONTH(B203,0))</f>
        <v>#NAME?</v>
      </c>
      <c r="AC216" s="1142">
        <f>COUNTIFS('Degrémont sortie'!$I$14:$I$379,"&gt;="&amp;W216,'Degrémont sortie'!$A$14:$A$379,"&gt;="&amp;B203,'Degrémont sortie'!$A$14:$A$379,"&lt;="&amp;EOMONTH(B203,0))</f>
        <v>0</v>
      </c>
      <c r="AD216" s="1087">
        <f>AC216/X216</f>
        <v>0</v>
      </c>
      <c r="AE216" s="1082"/>
      <c r="AF216" s="1205" t="e">
        <f>COUNTIFS(#REF!,"&gt;0",#REF!,"&gt;="&amp;B203,#REF!,"&lt;="&amp;EOMONTH(B203,0))</f>
        <v>#REF!</v>
      </c>
      <c r="AG216" s="1208" t="e">
        <f>SUMIFS(#REF!,#REF!,"&lt;&gt;0",#REF!,"&gt;="&amp;B203,#REF!,"&lt;="&amp;EOMONTH(B203,0))</f>
        <v>#REF!</v>
      </c>
      <c r="AH216" s="1208" t="e">
        <f>IF(AF216=0,0,AG216/AF216)</f>
        <v>#REF!</v>
      </c>
      <c r="AI216" s="1208" t="e">
        <f ca="1">MINIFS(#REF!,#REF!,"&lt;&gt;0",#REF!,"&gt;="&amp;B203,#REF!,"&lt;="&amp;EOMONTH(B203,0))</f>
        <v>#NAME?</v>
      </c>
      <c r="AJ216" s="1211" t="e">
        <f ca="1">MAXIFS(#REF!,#REF!,"&lt;&gt;0",#REF!,"&gt;="&amp;B203,#REF!,"&lt;="&amp;EOMONTH(B203,0))</f>
        <v>#NAME?</v>
      </c>
      <c r="AK216" s="1132"/>
      <c r="AL216" s="1205" t="e">
        <f>COUNTIFS(#REF!,"&gt;0",#REF!,"&gt;="&amp;B203,#REF!,"&lt;="&amp;EOMONTH(B203,0))</f>
        <v>#REF!</v>
      </c>
      <c r="AM216" s="1208" t="e">
        <f>SUMIFS(#REF!,#REF!,"&lt;&gt;0",#REF!,"&gt;="&amp;B203,#REF!,"&lt;="&amp;EOMONTH(B203,0))</f>
        <v>#REF!</v>
      </c>
      <c r="AN216" s="1208" t="e">
        <f>IF(AL216=0,0,AM216/AL216)</f>
        <v>#REF!</v>
      </c>
      <c r="AO216" s="1208" t="e">
        <f ca="1">MINIFS(#REF!,#REF!,"&lt;&gt;0",#REF!,"&gt;="&amp;B203,#REF!,"&lt;="&amp;EOMONTH(B203,0))</f>
        <v>#NAME?</v>
      </c>
      <c r="AP216" s="1218" t="e">
        <f ca="1">MAXIFS(#REF!,#REF!,"&lt;&gt;0",#REF!,"&gt;="&amp;B203,#REF!,"&lt;="&amp;EOMONTH(B203,0))</f>
        <v>#NAME?</v>
      </c>
      <c r="AQ216" s="1132"/>
      <c r="AR216" s="1220">
        <f>Parametres!$AM$18</f>
        <v>17000</v>
      </c>
      <c r="AS216" s="1205" t="e">
        <f>COUNTIFS(#REF!,"&gt;0",#REF!,"&gt;="&amp;B203,#REF!,"&lt;="&amp;EOMONTH(B203,0))</f>
        <v>#REF!</v>
      </c>
      <c r="AT216" s="1208" t="e">
        <f>SUMIFS(#REF!,#REF!,"&lt;&gt;0",#REF!,"&gt;="&amp;B203,#REF!,"&lt;="&amp;EOMONTH(B203,0))</f>
        <v>#REF!</v>
      </c>
      <c r="AU216" s="1208" t="e">
        <f>IF(AS216=0,0,AT216/AS216)</f>
        <v>#REF!</v>
      </c>
      <c r="AV216" s="1208" t="e">
        <f ca="1">MINIFS(#REF!,#REF!,"&lt;&gt;0",#REF!,"&gt;="&amp;B203,#REF!,"&lt;="&amp;EOMONTH(B203,0))</f>
        <v>#NAME?</v>
      </c>
      <c r="AW216" s="1222" t="e">
        <f ca="1">MAXIFS(#REF!,#REF!,"&lt;&gt;0",#REF!,"&gt;="&amp;B203,#REF!,"&lt;="&amp;EOMONTH(B203,0))</f>
        <v>#NAME?</v>
      </c>
      <c r="AX216" s="1223" t="e">
        <f>COUNTIFS(#REF!,"&gt;="&amp;AR216,#REF!,"&gt;="&amp;B203,#REF!,"&lt;="&amp;EOMONTH(B203,0))</f>
        <v>#REF!</v>
      </c>
      <c r="AY216" s="1224" t="e">
        <f>AX216/AS216</f>
        <v>#REF!</v>
      </c>
      <c r="AZ216" s="1095" t="e">
        <f t="shared" si="89"/>
        <v>#REF!</v>
      </c>
      <c r="BA216" s="2"/>
    </row>
    <row r="217" spans="1:53" ht="15.75" hidden="1" customHeight="1" outlineLevel="1">
      <c r="A217" s="1027"/>
      <c r="B217" s="1096"/>
      <c r="C217" s="1139" t="s">
        <v>36</v>
      </c>
      <c r="D217" s="1122">
        <f>Parametres!$D$19</f>
        <v>100000</v>
      </c>
      <c r="E217" s="1068" t="e">
        <f>COUNTIFS(#REF!,"&gt;0",#REF!,"&gt;="&amp;B203,#REF!,"&lt;="&amp;EOMONTH(B203,0))</f>
        <v>#REF!</v>
      </c>
      <c r="F217" s="1069" t="e">
        <f>SUMIFS(#REF!,#REF!,"&lt;&gt;0",#REF!,"&gt;="&amp;B203,#REF!,"&lt;="&amp;EOMONTH(B203,0))</f>
        <v>#REF!</v>
      </c>
      <c r="G217" s="1069" t="e">
        <f t="shared" si="87"/>
        <v>#REF!</v>
      </c>
      <c r="H217" s="1070" t="e">
        <f ca="1">MINIFS(#REF!,#REF!,"&lt;&gt;0",#REF!,"&gt;="&amp;B203,#REF!,"&lt;="&amp;EOMONTH(B203,0))</f>
        <v>#NAME?</v>
      </c>
      <c r="I217" s="1078" t="e">
        <f ca="1">MAXIFS(#REF!,#REF!,"&lt;&gt;0",#REF!,"&gt;="&amp;B203,#REF!,"&lt;="&amp;EOMONTH(B203,0))</f>
        <v>#NAME?</v>
      </c>
      <c r="J217" s="1072" t="s">
        <v>153</v>
      </c>
      <c r="K217" s="1072" t="s">
        <v>153</v>
      </c>
      <c r="L217" s="1115"/>
      <c r="M217" s="1082"/>
      <c r="N217" s="1144">
        <f>Parametres!$L$19</f>
        <v>100000</v>
      </c>
      <c r="O217" s="1077">
        <f>COUNTIFS('Degrémont Entrée'!$O$14:$O$379,"&gt;0",'Degrémont Entrée'!$A$14:$A$379,"&gt;="&amp;B203,'Degrémont Entrée'!$A$14:$A$379,"&lt;="&amp;EOMONTH(B203,0))</f>
        <v>28</v>
      </c>
      <c r="P217" s="1078">
        <f>SUMIFS('Degrémont Entrée'!$O$14:$O$379,'Degrémont Entrée'!$O$14:$O$379,"&lt;&gt;0",'Degrémont Entrée'!$A$14:$A$379,"&gt;="&amp;B203,'Degrémont Entrée'!$A$14:$A$379,"&lt;="&amp;EOMONTH(B203,0))</f>
        <v>18981</v>
      </c>
      <c r="Q217" s="1078">
        <f t="shared" si="92"/>
        <v>677.89285714285711</v>
      </c>
      <c r="R217" s="1173" t="e">
        <f ca="1">MINIFS('Degrémont Entrée'!$O$14:$O$379,'Degrémont Entrée'!$O$14:$O$379,"&lt;&gt;0",'Degrémont Entrée'!$A$14:$A$379,"&gt;="&amp;B203,'Degrémont Entrée'!$A$14:$A$379,"&lt;="&amp;EOMONTH(B203,0))</f>
        <v>#NAME?</v>
      </c>
      <c r="S217" s="1227" t="e">
        <f ca="1">MAXIFS('Degrémont Entrée'!$O$14:$O$379,'Degrémont Entrée'!$O$14:$O$379,"&lt;&gt;0",'Degrémont Entrée'!$A$14:$A$379,"&gt;="&amp;B203,'Degrémont Entrée'!$A$14:$A$379,"&lt;="&amp;EOMONTH(B203,0))</f>
        <v>#NAME?</v>
      </c>
      <c r="T217" s="1228" t="s">
        <v>153</v>
      </c>
      <c r="U217" s="1228" t="s">
        <v>153</v>
      </c>
      <c r="V217" s="1177"/>
      <c r="W217" s="1129"/>
      <c r="X217" s="1129"/>
      <c r="Y217" s="1069"/>
      <c r="Z217" s="1069"/>
      <c r="AA217" s="1069"/>
      <c r="AB217" s="1069"/>
      <c r="AC217" s="1130"/>
      <c r="AD217" s="1131"/>
      <c r="AE217" s="1082"/>
      <c r="AF217" s="1106"/>
      <c r="AG217" s="1106"/>
      <c r="AH217" s="1106"/>
      <c r="AI217" s="1106"/>
      <c r="AJ217" s="1106"/>
      <c r="AK217" s="1132"/>
      <c r="AL217" s="1106"/>
      <c r="AM217" s="1106"/>
      <c r="AN217" s="1106"/>
      <c r="AO217" s="1106"/>
      <c r="AP217" s="1119"/>
      <c r="AQ217" s="1132"/>
      <c r="AR217" s="1106"/>
      <c r="AS217" s="1106"/>
      <c r="AT217" s="1106"/>
      <c r="AU217" s="1106"/>
      <c r="AV217" s="1106"/>
      <c r="AW217" s="1119"/>
      <c r="AX217" s="1120"/>
      <c r="AY217" s="1094"/>
      <c r="AZ217" s="1095" t="e">
        <f t="shared" si="89"/>
        <v>#REF!</v>
      </c>
      <c r="BA217" s="2"/>
    </row>
    <row r="218" spans="1:53" ht="15.75" hidden="1" customHeight="1" outlineLevel="1">
      <c r="A218" s="1027"/>
      <c r="B218" s="1096"/>
      <c r="C218" s="1139" t="s">
        <v>32</v>
      </c>
      <c r="D218" s="1122">
        <f>Parametres!$D$20</f>
        <v>4800</v>
      </c>
      <c r="E218" s="1068" t="e">
        <f>COUNTIFS(#REF!,"&gt;0",#REF!,"&gt;="&amp;B203,#REF!,"&lt;="&amp;EOMONTH(B203,0))</f>
        <v>#REF!</v>
      </c>
      <c r="F218" s="1069" t="e">
        <f>SUMIFS(#REF!,#REF!,"&lt;&gt;0",#REF!,"&gt;="&amp;B203,#REF!,"&lt;="&amp;EOMONTH(B203,0))</f>
        <v>#REF!</v>
      </c>
      <c r="G218" s="1069" t="e">
        <f t="shared" si="87"/>
        <v>#REF!</v>
      </c>
      <c r="H218" s="1070" t="e">
        <f ca="1">MINIFS(#REF!,#REF!,"&lt;&gt;0",#REF!,"&gt;="&amp;B203,#REF!,"&lt;="&amp;EOMONTH(B203,0))</f>
        <v>#NAME?</v>
      </c>
      <c r="I218" s="1078" t="e">
        <f ca="1">MAXIFS(#REF!,#REF!,"&lt;&gt;0",#REF!,"&gt;="&amp;B203,#REF!,"&lt;="&amp;EOMONTH(B203,0))</f>
        <v>#NAME?</v>
      </c>
      <c r="J218" s="1072" t="e">
        <f>COUNTIFS(#REF!,"&gt;="&amp;D218,#REF!,"&gt;="&amp;B203,#REF!,"&lt;="&amp;EOMONTH(B203,0))</f>
        <v>#REF!</v>
      </c>
      <c r="K218" s="1341" t="e">
        <f t="shared" ref="K218:K219" si="93">J218/E218</f>
        <v>#REF!</v>
      </c>
      <c r="L218" s="1115"/>
      <c r="M218" s="1082"/>
      <c r="N218" s="1144">
        <f>Parametres!$L$20</f>
        <v>1000</v>
      </c>
      <c r="O218" s="1077">
        <f>COUNTIFS('Degrémont Entrée'!$B$14:$B$379,"&gt;0",'Degrémont Entrée'!$A$14:$A$379,"&gt;="&amp;B203,'Degrémont Entrée'!$A$14:$A$379,"&lt;="&amp;EOMONTH(B203,0))</f>
        <v>27</v>
      </c>
      <c r="P218" s="1078">
        <f>SUMIFS('Degrémont Entrée'!$B$14:$B$379,'Degrémont Entrée'!$B$14:$B$379,"&lt;&gt;0",'Degrémont Entrée'!$A$14:$A$379,"&gt;="&amp;B203,'Degrémont Entrée'!$A$14:$A$379,"&lt;="&amp;EOMONTH(B203,0))</f>
        <v>23529</v>
      </c>
      <c r="Q218" s="1078">
        <f t="shared" si="92"/>
        <v>871.44444444444446</v>
      </c>
      <c r="R218" s="1173" t="e">
        <f ca="1">MINIFS('Degrémont Entrée'!$B$14:$B$379,'Degrémont Entrée'!$B$14:$B$379,"&lt;&gt;0",'Degrémont Entrée'!$A$14:$A$379,"&gt;="&amp;B203,'Degrémont Entrée'!$A$14:$A$379,"&lt;="&amp;EOMONTH(B203,0))</f>
        <v>#NAME?</v>
      </c>
      <c r="S218" s="1078" t="e">
        <f ca="1">MAXIFS('Degrémont Entrée'!$B$14:$B$379,'Degrémont Entrée'!$B$14:$B$379,"&lt;&gt;0",'Degrémont Entrée'!$A$14:$A$379,"&gt;="&amp;B203,'Degrémont Entrée'!$A$14:$A$379,"&lt;="&amp;EOMONTH(B203,0))</f>
        <v>#NAME?</v>
      </c>
      <c r="T218" s="1236">
        <f>COUNTIFS('Degrémont Entrée'!$B$14:$B$379,"&gt;="&amp;N218,'Degrémont Entrée'!$A$14:$A$379,"&gt;="&amp;B203,'Degrémont Entrée'!$A$14:$A$379,"&lt;="&amp;EOMONTH(B203,0))</f>
        <v>9</v>
      </c>
      <c r="U218" s="1081">
        <f>T218/O218</f>
        <v>0.33333333333333331</v>
      </c>
      <c r="V218" s="1177"/>
      <c r="W218" s="1083">
        <f>Parametres!$T$20</f>
        <v>1000</v>
      </c>
      <c r="X218" s="1142">
        <f>COUNTIFS('Degrémont sortie'!$B$14:$B$379,"&gt;0",'Degrémont sortie'!$A$14:$A$379,"&gt;="&amp;B203,'Degrémont sortie'!$A$14:$A$379,"&lt;="&amp;EOMONTH(B203,0))</f>
        <v>27</v>
      </c>
      <c r="Y218" s="1085">
        <f>SUMIFS('Degrémont sortie'!$B$14:$B$379,'Degrémont sortie'!$B$14:$B$379,"&lt;&gt;0",'Degrémont sortie'!$A$14:$A$379,"&gt;="&amp;B203,'Degrémont sortie'!$A$14:$A$379,"&lt;="&amp;EOMONTH(B203,0))</f>
        <v>23529</v>
      </c>
      <c r="Z218" s="1069">
        <f>IF(X218=0,0,Y218/X218)</f>
        <v>871.44444444444446</v>
      </c>
      <c r="AA218" s="1069" t="e">
        <f ca="1">MINIFS('Degrémont sortie'!$B$14:$B$379,'Degrémont sortie'!$B$14:$B$379,"&lt;&gt;0",'Degrémont sortie'!$A$14:$A$379,"&gt;="&amp;B203,'Degrémont sortie'!$A$14:$A$379,"&lt;="&amp;EOMONTH(B203,0))</f>
        <v>#NAME?</v>
      </c>
      <c r="AB218" s="1069" t="e">
        <f ca="1">MAXIFS('Degrémont sortie'!$B$14:$B$379,'Degrémont sortie'!$B$14:$B$379,"&lt;&gt;0",'Degrémont sortie'!$A$14:$A$379,"&gt;="&amp;B203,'Degrémont sortie'!$A$14:$A$379,"&lt;="&amp;EOMONTH(B203,0))</f>
        <v>#NAME?</v>
      </c>
      <c r="AC218" s="1142">
        <f>COUNTIFS('Degrémont sortie'!$B$14:$B$379,"&gt;="&amp;W218,'Degrémont sortie'!$A$14:$A$379,"&gt;="&amp;B203,'Degrémont sortie'!$A$14:$A$379,"&lt;="&amp;EOMONTH(B203,0))</f>
        <v>9</v>
      </c>
      <c r="AD218" s="1087">
        <f>AC218/X218</f>
        <v>0.33333333333333331</v>
      </c>
      <c r="AE218" s="1082"/>
      <c r="AF218" s="1205" t="e">
        <f>COUNTIFS(#REF!,"&gt;0",#REF!,"&gt;="&amp;B203,#REF!,"&lt;="&amp;EOMONTH(B203,0))</f>
        <v>#REF!</v>
      </c>
      <c r="AG218" s="1208" t="e">
        <f>SUMIFS(#REF!,#REF!,"&lt;&gt;0",#REF!,"&gt;="&amp;B203,#REF!,"&lt;="&amp;EOMONTH(B203,0))</f>
        <v>#REF!</v>
      </c>
      <c r="AH218" s="1208" t="e">
        <f>IF(AF218=0,0,AG218/AF218)</f>
        <v>#REF!</v>
      </c>
      <c r="AI218" s="1208" t="e">
        <f ca="1">MINIFS(#REF!,#REF!,"&lt;&gt;0",#REF!,"&gt;="&amp;B203,#REF!,"&lt;="&amp;EOMONTH(B203,0))</f>
        <v>#NAME?</v>
      </c>
      <c r="AJ218" s="1208" t="e">
        <f ca="1">MAXIFS(#REF!,#REF!,"&lt;&gt;0",#REF!,"&gt;="&amp;B203,#REF!,"&lt;="&amp;EOMONTH(B203,0))</f>
        <v>#NAME?</v>
      </c>
      <c r="AK218" s="1132"/>
      <c r="AL218" s="1106"/>
      <c r="AM218" s="1106"/>
      <c r="AN218" s="1106"/>
      <c r="AO218" s="1106"/>
      <c r="AP218" s="1119"/>
      <c r="AQ218" s="1132"/>
      <c r="AR218" s="1220">
        <f>Parametres!$AM$20</f>
        <v>1000000</v>
      </c>
      <c r="AS218" s="1205" t="e">
        <f>COUNTIFS(#REF!,"&gt;0",#REF!,"&gt;="&amp;B203,#REF!,"&lt;="&amp;EOMONTH(B203,0))</f>
        <v>#REF!</v>
      </c>
      <c r="AT218" s="1208" t="e">
        <f>SUMIFS(#REF!,#REF!,"&lt;&gt;0",#REF!,"&gt;="&amp;B203,#REF!,"&lt;="&amp;EOMONTH(B203,0))</f>
        <v>#REF!</v>
      </c>
      <c r="AU218" s="1208" t="e">
        <f>IF(AS218=0,0,AT218/AS218)</f>
        <v>#REF!</v>
      </c>
      <c r="AV218" s="1208" t="e">
        <f ca="1">MINIFS(#REF!,#REF!,"&lt;&gt;0",#REF!,"&gt;="&amp;B203,#REF!,"&lt;="&amp;EOMONTH(B203,0))</f>
        <v>#NAME?</v>
      </c>
      <c r="AW218" s="1222" t="e">
        <f ca="1">MAXIFS(#REF!,#REF!,"&lt;&gt;0",#REF!,"&gt;="&amp;B203,#REF!,"&lt;="&amp;EOMONTH(B203,0))</f>
        <v>#NAME?</v>
      </c>
      <c r="AX218" s="1243" t="s">
        <v>153</v>
      </c>
      <c r="AY218" s="1224" t="e">
        <f>AX218/AS218</f>
        <v>#VALUE!</v>
      </c>
      <c r="AZ218" s="1095" t="e">
        <f t="shared" si="89"/>
        <v>#REF!</v>
      </c>
      <c r="BA218" s="2"/>
    </row>
    <row r="219" spans="1:53" ht="15.75" hidden="1" customHeight="1" outlineLevel="1">
      <c r="A219" s="1027"/>
      <c r="B219" s="1096"/>
      <c r="C219" s="1121" t="s">
        <v>21</v>
      </c>
      <c r="D219" s="1122">
        <f>Parametres!$D$22</f>
        <v>2</v>
      </c>
      <c r="E219" s="1068" t="e">
        <f>COUNTIFS(#REF!,"&gt;0",#REF!,"&gt;="&amp;B203,#REF!,"&lt;="&amp;EOMONTH(B203,0))</f>
        <v>#REF!</v>
      </c>
      <c r="F219" s="1069" t="e">
        <f>SUMIFS(#REF!,#REF!,"&lt;&gt;0",#REF!,"&gt;="&amp;B203,#REF!,"&lt;="&amp;EOMONTH(B203,0))</f>
        <v>#REF!</v>
      </c>
      <c r="G219" s="1069" t="e">
        <f t="shared" si="87"/>
        <v>#REF!</v>
      </c>
      <c r="H219" s="1070" t="e">
        <f ca="1">MINIFS(#REF!,#REF!,"&lt;&gt;0",#REF!,"&gt;="&amp;B203,#REF!,"&lt;="&amp;EOMONTH(B203,0))</f>
        <v>#NAME?</v>
      </c>
      <c r="I219" s="1078" t="e">
        <f ca="1">MAXIFS(#REF!,#REF!,"&lt;&gt;0",#REF!,"&gt;="&amp;B203,#REF!,"&lt;="&amp;EOMONTH(B203,0))</f>
        <v>#NAME?</v>
      </c>
      <c r="J219" s="1072" t="e">
        <f>COUNTIFS(#REF!,"&gt;="&amp;D219,#REF!,"&gt;="&amp;B203,#REF!,"&lt;="&amp;EOMONTH(B203,0))</f>
        <v>#REF!</v>
      </c>
      <c r="K219" s="1341" t="e">
        <f t="shared" si="93"/>
        <v>#REF!</v>
      </c>
      <c r="L219" s="1115"/>
      <c r="M219" s="1082"/>
      <c r="N219" s="1171"/>
      <c r="O219" s="1171"/>
      <c r="P219" s="1173"/>
      <c r="Q219" s="1173"/>
      <c r="R219" s="1173"/>
      <c r="S219" s="1173"/>
      <c r="T219" s="1175"/>
      <c r="U219" s="1175"/>
      <c r="V219" s="1082"/>
      <c r="W219" s="1106"/>
      <c r="X219" s="1106"/>
      <c r="Y219" s="1069"/>
      <c r="Z219" s="1069"/>
      <c r="AA219" s="1069"/>
      <c r="AB219" s="1069"/>
      <c r="AC219" s="1248"/>
      <c r="AD219" s="1249"/>
      <c r="AE219" s="1082"/>
      <c r="AF219" s="1106"/>
      <c r="AG219" s="1106"/>
      <c r="AH219" s="1106"/>
      <c r="AI219" s="1106"/>
      <c r="AJ219" s="1106"/>
      <c r="AK219" s="1132"/>
      <c r="AL219" s="1106"/>
      <c r="AM219" s="1106"/>
      <c r="AN219" s="1106"/>
      <c r="AO219" s="1106"/>
      <c r="AP219" s="1119"/>
      <c r="AQ219" s="1132"/>
      <c r="AR219" s="1106"/>
      <c r="AS219" s="1106"/>
      <c r="AT219" s="1106"/>
      <c r="AU219" s="1106"/>
      <c r="AV219" s="1106"/>
      <c r="AW219" s="1119"/>
      <c r="AX219" s="1120"/>
      <c r="AY219" s="1094"/>
      <c r="AZ219" s="1095" t="e">
        <f t="shared" si="89"/>
        <v>#REF!</v>
      </c>
      <c r="BA219" s="2"/>
    </row>
    <row r="220" spans="1:53" ht="15.75" hidden="1" customHeight="1" outlineLevel="1">
      <c r="A220" s="1027"/>
      <c r="B220" s="1096"/>
      <c r="C220" s="1121" t="s">
        <v>22</v>
      </c>
      <c r="D220" s="1122">
        <f>Parametres!$D$23</f>
        <v>1000000</v>
      </c>
      <c r="E220" s="1068" t="e">
        <f>COUNTIFS(#REF!,"&gt;0",#REF!,"&gt;="&amp;B203,#REF!,"&lt;="&amp;EOMONTH(B203,0))</f>
        <v>#REF!</v>
      </c>
      <c r="F220" s="1069" t="e">
        <f>SUMIFS(#REF!,#REF!,"&lt;&gt;0",#REF!,"&gt;="&amp;B203,#REF!,"&lt;="&amp;EOMONTH(B203,0))</f>
        <v>#REF!</v>
      </c>
      <c r="G220" s="1069" t="e">
        <f t="shared" si="87"/>
        <v>#REF!</v>
      </c>
      <c r="H220" s="1070" t="e">
        <f ca="1">MINIFS(#REF!,#REF!,"&lt;&gt;0",#REF!,"&gt;="&amp;B203,#REF!,"&lt;="&amp;EOMONTH(B203,0))</f>
        <v>#NAME?</v>
      </c>
      <c r="I220" s="1078" t="e">
        <f ca="1">MAXIFS(#REF!,#REF!,"&lt;&gt;0",#REF!,"&gt;="&amp;B203,#REF!,"&lt;="&amp;EOMONTH(B203,0))</f>
        <v>#NAME?</v>
      </c>
      <c r="J220" s="1072" t="s">
        <v>153</v>
      </c>
      <c r="K220" s="1072" t="s">
        <v>153</v>
      </c>
      <c r="L220" s="1115"/>
      <c r="M220" s="1082"/>
      <c r="N220" s="1171"/>
      <c r="O220" s="1171"/>
      <c r="P220" s="1173"/>
      <c r="Q220" s="1173"/>
      <c r="R220" s="1173"/>
      <c r="S220" s="1173"/>
      <c r="T220" s="1175"/>
      <c r="U220" s="1175"/>
      <c r="V220" s="1082"/>
      <c r="W220" s="1106"/>
      <c r="X220" s="1106"/>
      <c r="Y220" s="1069"/>
      <c r="Z220" s="1069"/>
      <c r="AA220" s="1069"/>
      <c r="AB220" s="1069"/>
      <c r="AC220" s="1248"/>
      <c r="AD220" s="1249"/>
      <c r="AE220" s="1082"/>
      <c r="AF220" s="1106"/>
      <c r="AG220" s="1106"/>
      <c r="AH220" s="1106"/>
      <c r="AI220" s="1106"/>
      <c r="AJ220" s="1106"/>
      <c r="AK220" s="1132"/>
      <c r="AL220" s="1106"/>
      <c r="AM220" s="1106"/>
      <c r="AN220" s="1106"/>
      <c r="AO220" s="1106"/>
      <c r="AP220" s="1119"/>
      <c r="AQ220" s="1132"/>
      <c r="AR220" s="1106"/>
      <c r="AS220" s="1106"/>
      <c r="AT220" s="1106"/>
      <c r="AU220" s="1106"/>
      <c r="AV220" s="1106"/>
      <c r="AW220" s="1119"/>
      <c r="AX220" s="1120"/>
      <c r="AY220" s="1094"/>
      <c r="AZ220" s="1095" t="e">
        <f t="shared" si="89"/>
        <v>#REF!</v>
      </c>
      <c r="BA220" s="2"/>
    </row>
    <row r="221" spans="1:53" ht="15.75" hidden="1" customHeight="1" outlineLevel="1">
      <c r="A221" s="1027"/>
      <c r="B221" s="1096"/>
      <c r="C221" s="1139" t="s">
        <v>44</v>
      </c>
      <c r="D221" s="1122">
        <f>Parametres!$D$24</f>
        <v>5</v>
      </c>
      <c r="E221" s="1068" t="e">
        <f>COUNTIFS(#REF!,"&gt;0",#REF!,"&gt;="&amp;B203,#REF!,"&lt;="&amp;EOMONTH(B203,0))</f>
        <v>#REF!</v>
      </c>
      <c r="F221" s="1069" t="e">
        <f>SUMIFS(#REF!,#REF!,"&lt;&gt;0",#REF!,"&gt;="&amp;B203,#REF!,"&lt;="&amp;EOMONTH(B203,0))</f>
        <v>#REF!</v>
      </c>
      <c r="G221" s="1069" t="e">
        <f t="shared" si="87"/>
        <v>#REF!</v>
      </c>
      <c r="H221" s="1070" t="e">
        <f ca="1">MINIFS(#REF!,#REF!,"&lt;&gt;0",#REF!,"&gt;="&amp;B203,#REF!,"&lt;="&amp;EOMONTH(B203,0))</f>
        <v>#NAME?</v>
      </c>
      <c r="I221" s="1078" t="e">
        <f ca="1">MAXIFS(#REF!,#REF!,"&lt;&gt;0",#REF!,"&gt;="&amp;B203,#REF!,"&lt;="&amp;EOMONTH(B203,0))</f>
        <v>#NAME?</v>
      </c>
      <c r="J221" s="1072" t="e">
        <f>COUNTIFS(#REF!,"&gt;="&amp;D221,#REF!,"&gt;="&amp;B203,#REF!,"&lt;="&amp;EOMONTH(B203,0))</f>
        <v>#REF!</v>
      </c>
      <c r="K221" s="1341" t="e">
        <f t="shared" ref="K221:K229" si="94">J221/E221</f>
        <v>#REF!</v>
      </c>
      <c r="L221" s="1115"/>
      <c r="M221" s="1082"/>
      <c r="N221" s="1144">
        <f>Parametres!$L$24</f>
        <v>60</v>
      </c>
      <c r="O221" s="1077">
        <f>COUNTIFS('Degrémont Entrée'!$AP$14:$AP$379,"&gt;0",'Degrémont Entrée'!$A$14:$A$379,"&gt;="&amp;B203,'Degrémont Entrée'!$A$14:$A$379,"&lt;="&amp;EOMONTH(B203,0))</f>
        <v>4</v>
      </c>
      <c r="P221" s="1078">
        <f>SUMIFS('Degrémont Entrée'!$AP$14:$AP$379,'Degrémont Entrée'!$AP$14:$AP$379,"&lt;&gt;0",'Degrémont Entrée'!$A$14:$A$379,"&gt;="&amp;B203,'Degrémont Entrée'!$A$14:$A$379,"&lt;="&amp;EOMONTH(B203,0))</f>
        <v>946.68000000000006</v>
      </c>
      <c r="Q221" s="1078">
        <f>IF(O221=0,0,P221/O221)</f>
        <v>236.67000000000002</v>
      </c>
      <c r="R221" s="1078" t="e">
        <f ca="1">MINIFS('Degrémont Entrée'!$AP$14:$AP$379,'Degrémont Entrée'!$AP$14:$AP$379,"&lt;&gt;0",'Degrémont Entrée'!$A$14:$A$379,"&gt;="&amp;B203,'Degrémont Entrée'!$A$14:$A$379,"&lt;="&amp;EOMONTH(B203,0))</f>
        <v>#NAME?</v>
      </c>
      <c r="S221" s="1078" t="e">
        <f ca="1">MAXIFS('Degrémont Entrée'!$AP$14:$AP$379,'Degrémont Entrée'!$AP$14:$AP$379,"&lt;&gt;0",'Degrémont Entrée'!$A$14:$A$379,"&gt;="&amp;B203,'Degrémont Entrée'!$A$14:$A$379,"&lt;="&amp;EOMONTH(B203,0))</f>
        <v>#NAME?</v>
      </c>
      <c r="T221" s="1080">
        <f>COUNTIFS('Degrémont Entrée'!$AP$14:$AP$379,"&gt;="&amp;N221,'Degrémont Entrée'!$A$14:$A$379,"&gt;="&amp;B203,'Degrémont Entrée'!$A$14:$A$379,"&lt;="&amp;EOMONTH(B203,0))</f>
        <v>4</v>
      </c>
      <c r="U221" s="1081">
        <f>T221/O221</f>
        <v>1</v>
      </c>
      <c r="V221" s="1082"/>
      <c r="W221" s="1083">
        <f>Parametres!$T$24</f>
        <v>1.6</v>
      </c>
      <c r="X221" s="1142">
        <f>COUNTIFS('Degrémont sortie'!$AJ$14:$AJ$379,"&gt;0",'Degrémont sortie'!$A$14:$A$379,"&gt;="&amp;B203,'Degrémont sortie'!$A$14:$A$379,"&lt;="&amp;EOMONTH(B203,0))</f>
        <v>6</v>
      </c>
      <c r="Y221" s="1085">
        <f>SUMIFS('Degrémont sortie'!$AJ$14:$AJ$379,'Degrémont sortie'!$AJ$14:$AJ$379,"&lt;&gt;0",'Degrémont sortie'!$A$14:$A$379,"&gt;="&amp;B203,'Degrémont sortie'!$A$14:$A$379,"&lt;="&amp;EOMONTH(B203,0))</f>
        <v>16.980000000000004</v>
      </c>
      <c r="Z221" s="1069">
        <f>IF(X221=0,0,Y221/X221)</f>
        <v>2.8300000000000005</v>
      </c>
      <c r="AA221" s="1069" t="e">
        <f ca="1">MINIFS('Degrémont sortie'!$AJ$14:$AJ$379,'Degrémont sortie'!$AJ$14:$AJ$379,"&lt;&gt;0",'Degrémont sortie'!$A$14:$A$379,"&gt;="&amp;B203,'Degrémont sortie'!$A$14:$A$379,"&lt;="&amp;EOMONTH(B203,0))</f>
        <v>#NAME?</v>
      </c>
      <c r="AB221" s="1069" t="e">
        <f ca="1">MAXIFS('Degrémont sortie'!$AJ$14:$AJ$379,'Degrémont sortie'!$AJ$14:$AJ$379,"&lt;&gt;0",'Degrémont sortie'!$A$14:$A$379,"&gt;="&amp;B203,'Degrémont sortie'!$A$14:$A$379,"&lt;="&amp;EOMONTH(B203,0))</f>
        <v>#NAME?</v>
      </c>
      <c r="AC221" s="1142">
        <f>COUNTIFS('Degrémont sortie'!$AJ$14:$AJ$379,"&gt;="&amp;W221,'Degrémont sortie'!$A$14:$A$379,"&gt;="&amp;B203,'Degrémont sortie'!$A$14:$A$379,"&lt;="&amp;EOMONTH(B203,0))</f>
        <v>1</v>
      </c>
      <c r="AD221" s="1087">
        <f>AC221/X221</f>
        <v>0.16666666666666666</v>
      </c>
      <c r="AE221" s="1082"/>
      <c r="AF221" s="1106"/>
      <c r="AG221" s="1106"/>
      <c r="AH221" s="1106"/>
      <c r="AI221" s="1106"/>
      <c r="AJ221" s="1106"/>
      <c r="AK221" s="1132"/>
      <c r="AL221" s="1106"/>
      <c r="AM221" s="1106"/>
      <c r="AN221" s="1106"/>
      <c r="AO221" s="1106"/>
      <c r="AP221" s="1119"/>
      <c r="AQ221" s="1132"/>
      <c r="AR221" s="1106"/>
      <c r="AS221" s="1106"/>
      <c r="AT221" s="1106"/>
      <c r="AU221" s="1106"/>
      <c r="AV221" s="1106"/>
      <c r="AW221" s="1119"/>
      <c r="AX221" s="1120"/>
      <c r="AY221" s="1094"/>
      <c r="AZ221" s="1095" t="e">
        <f t="shared" si="89"/>
        <v>#REF!</v>
      </c>
      <c r="BA221" s="2"/>
    </row>
    <row r="222" spans="1:53" ht="15.75" hidden="1" customHeight="1" outlineLevel="1">
      <c r="A222" s="1027"/>
      <c r="B222" s="1096"/>
      <c r="C222" s="1121" t="s">
        <v>169</v>
      </c>
      <c r="D222" s="1122">
        <f>Parametres!$D$25</f>
        <v>4</v>
      </c>
      <c r="E222" s="1068" t="e">
        <f>COUNTIFS(#REF!,"&gt;0",#REF!,"&gt;="&amp;B203,#REF!,"&lt;="&amp;EOMONTH(B203,0))</f>
        <v>#REF!</v>
      </c>
      <c r="F222" s="1069" t="e">
        <f>SUMIFS(#REF!,#REF!,"&lt;&gt;0",#REF!,"&gt;="&amp;B203,#REF!,"&lt;="&amp;EOMONTH(B203,0))</f>
        <v>#REF!</v>
      </c>
      <c r="G222" s="1069" t="e">
        <f t="shared" si="87"/>
        <v>#REF!</v>
      </c>
      <c r="H222" s="1070" t="e">
        <f ca="1">MINIFS(#REF!,#REF!,"&lt;&gt;0",#REF!,"&gt;="&amp;B203,#REF!,"&lt;="&amp;EOMONTH(B203,0))</f>
        <v>#NAME?</v>
      </c>
      <c r="I222" s="1078" t="e">
        <f ca="1">MAXIFS(#REF!,#REF!,"&lt;&gt;0",#REF!,"&gt;="&amp;B203,#REF!,"&lt;="&amp;EOMONTH(B203,0))</f>
        <v>#NAME?</v>
      </c>
      <c r="J222" s="1072" t="e">
        <f>COUNTIFS(#REF!,"&gt;="&amp;D222,#REF!,"&gt;="&amp;B203,#REF!,"&lt;="&amp;EOMONTH(B203,0))</f>
        <v>#REF!</v>
      </c>
      <c r="K222" s="1341" t="e">
        <f t="shared" si="94"/>
        <v>#REF!</v>
      </c>
      <c r="L222" s="1115"/>
      <c r="M222" s="1082"/>
      <c r="N222" s="1263"/>
      <c r="O222" s="1263"/>
      <c r="P222" s="1078"/>
      <c r="Q222" s="1078"/>
      <c r="R222" s="1078"/>
      <c r="S222" s="1078"/>
      <c r="T222" s="1264"/>
      <c r="U222" s="1264"/>
      <c r="V222" s="1082"/>
      <c r="W222" s="1106"/>
      <c r="X222" s="1106"/>
      <c r="Y222" s="1069"/>
      <c r="Z222" s="1069"/>
      <c r="AA222" s="1069"/>
      <c r="AB222" s="1069"/>
      <c r="AC222" s="1248"/>
      <c r="AD222" s="1249"/>
      <c r="AE222" s="1082"/>
      <c r="AF222" s="1106"/>
      <c r="AG222" s="1106"/>
      <c r="AH222" s="1106"/>
      <c r="AI222" s="1106"/>
      <c r="AJ222" s="1106"/>
      <c r="AK222" s="1132"/>
      <c r="AL222" s="1106"/>
      <c r="AM222" s="1106"/>
      <c r="AN222" s="1106"/>
      <c r="AO222" s="1106"/>
      <c r="AP222" s="1138"/>
      <c r="AQ222" s="1132"/>
      <c r="AR222" s="1106"/>
      <c r="AS222" s="1106"/>
      <c r="AT222" s="1106"/>
      <c r="AU222" s="1106"/>
      <c r="AV222" s="1106"/>
      <c r="AW222" s="1119"/>
      <c r="AX222" s="1120"/>
      <c r="AY222" s="1094"/>
      <c r="AZ222" s="1095" t="e">
        <f t="shared" si="89"/>
        <v>#REF!</v>
      </c>
      <c r="BA222" s="2"/>
    </row>
    <row r="223" spans="1:53" ht="15.75" hidden="1" customHeight="1" outlineLevel="1">
      <c r="A223" s="1027"/>
      <c r="B223" s="1096"/>
      <c r="C223" s="1139" t="s">
        <v>165</v>
      </c>
      <c r="D223" s="1122">
        <f>Parametres!$D$26</f>
        <v>10</v>
      </c>
      <c r="E223" s="1068" t="e">
        <f>COUNTIFS(#REF!,"&gt;0",#REF!,"&gt;="&amp;B203,#REF!,"&lt;="&amp;EOMONTH(B203,0))</f>
        <v>#REF!</v>
      </c>
      <c r="F223" s="1069" t="e">
        <f>SUMIFS(#REF!,#REF!,"&lt;&gt;0",#REF!,"&gt;="&amp;B203,#REF!,"&lt;="&amp;EOMONTH(B203,0))</f>
        <v>#REF!</v>
      </c>
      <c r="G223" s="1069" t="e">
        <f t="shared" si="87"/>
        <v>#REF!</v>
      </c>
      <c r="H223" s="1070" t="e">
        <f ca="1">MINIFS(#REF!,#REF!,"&lt;&gt;0",#REF!,"&gt;="&amp;B203,#REF!,"&lt;="&amp;EOMONTH(B203,0))</f>
        <v>#NAME?</v>
      </c>
      <c r="I223" s="1078" t="e">
        <f ca="1">MAXIFS(#REF!,#REF!,"&lt;&gt;0",#REF!,"&gt;="&amp;B203,#REF!,"&lt;="&amp;EOMONTH(B203,0))</f>
        <v>#NAME?</v>
      </c>
      <c r="J223" s="1114" t="e">
        <f>COUNTIFS(#REF!,"&gt;="&amp;D223,#REF!,"&gt;="&amp;B203,#REF!,"&lt;="&amp;EOMONTH(B203,0))</f>
        <v>#REF!</v>
      </c>
      <c r="K223" s="1341" t="e">
        <f t="shared" si="94"/>
        <v>#REF!</v>
      </c>
      <c r="L223" s="1115"/>
      <c r="M223" s="1075"/>
      <c r="N223" s="1265"/>
      <c r="O223" s="1265"/>
      <c r="P223" s="1266"/>
      <c r="Q223" s="1266"/>
      <c r="R223" s="1266"/>
      <c r="S223" s="1266"/>
      <c r="T223" s="1267"/>
      <c r="U223" s="1267"/>
      <c r="V223" s="1075"/>
      <c r="W223" s="1106"/>
      <c r="X223" s="1106"/>
      <c r="Y223" s="1069"/>
      <c r="Z223" s="1069"/>
      <c r="AA223" s="1069"/>
      <c r="AB223" s="1069"/>
      <c r="AC223" s="1248"/>
      <c r="AD223" s="1249"/>
      <c r="AE223" s="1082"/>
      <c r="AF223" s="1106"/>
      <c r="AG223" s="1106"/>
      <c r="AH223" s="1106"/>
      <c r="AI223" s="1106"/>
      <c r="AJ223" s="1106"/>
      <c r="AK223" s="1132"/>
      <c r="AL223" s="1106"/>
      <c r="AM223" s="1106"/>
      <c r="AN223" s="1106"/>
      <c r="AO223" s="1106"/>
      <c r="AP223" s="1138"/>
      <c r="AQ223" s="1132"/>
      <c r="AR223" s="1106"/>
      <c r="AS223" s="1106"/>
      <c r="AT223" s="1106"/>
      <c r="AU223" s="1106"/>
      <c r="AV223" s="1106"/>
      <c r="AW223" s="1119"/>
      <c r="AX223" s="1120"/>
      <c r="AY223" s="1094"/>
      <c r="AZ223" s="1095" t="e">
        <f t="shared" si="89"/>
        <v>#REF!</v>
      </c>
      <c r="BA223" s="2"/>
    </row>
    <row r="224" spans="1:53" ht="15.75" hidden="1" customHeight="1" outlineLevel="1">
      <c r="A224" s="1027"/>
      <c r="B224" s="1096"/>
      <c r="C224" s="1121" t="s">
        <v>23</v>
      </c>
      <c r="D224" s="1122">
        <f>Parametres!$D$27</f>
        <v>0.05</v>
      </c>
      <c r="E224" s="1068" t="e">
        <f>COUNTIFS(#REF!,"&gt;0",#REF!,"&gt;="&amp;B203,#REF!,"&lt;="&amp;EOMONTH(B203,0))</f>
        <v>#REF!</v>
      </c>
      <c r="F224" s="1069" t="e">
        <f>SUMIFS(#REF!,#REF!,"&lt;&gt;0",#REF!,"&gt;="&amp;B203,#REF!,"&lt;="&amp;EOMONTH(B203,0))</f>
        <v>#REF!</v>
      </c>
      <c r="G224" s="1069" t="e">
        <f t="shared" si="87"/>
        <v>#REF!</v>
      </c>
      <c r="H224" s="1070" t="e">
        <f ca="1">MINIFS(#REF!,#REF!,"&lt;&gt;0",#REF!,"&gt;="&amp;B203,#REF!,"&lt;="&amp;EOMONTH(B203,0))</f>
        <v>#NAME?</v>
      </c>
      <c r="I224" s="1078" t="e">
        <f ca="1">MAXIFS(#REF!,#REF!,"&lt;&gt;0",#REF!,"&gt;="&amp;B203,#REF!,"&lt;="&amp;EOMONTH(B203,0))</f>
        <v>#NAME?</v>
      </c>
      <c r="J224" s="1072" t="e">
        <f>COUNTIFS(#REF!,"&gt;="&amp;D224,#REF!,"&gt;="&amp;B203,#REF!,"&lt;="&amp;EOMONTH(B203,0))</f>
        <v>#REF!</v>
      </c>
      <c r="K224" s="1341" t="e">
        <f t="shared" si="94"/>
        <v>#REF!</v>
      </c>
      <c r="L224" s="1115"/>
      <c r="M224" s="1082"/>
      <c r="N224" s="1129"/>
      <c r="O224" s="1129"/>
      <c r="P224" s="1069"/>
      <c r="Q224" s="1069"/>
      <c r="R224" s="1069"/>
      <c r="S224" s="1069"/>
      <c r="T224" s="1143"/>
      <c r="U224" s="1143"/>
      <c r="V224" s="1132"/>
      <c r="W224" s="1106"/>
      <c r="X224" s="1106"/>
      <c r="Y224" s="1069"/>
      <c r="Z224" s="1069"/>
      <c r="AA224" s="1069"/>
      <c r="AB224" s="1069"/>
      <c r="AC224" s="1248"/>
      <c r="AD224" s="1249"/>
      <c r="AE224" s="1132"/>
      <c r="AF224" s="1106"/>
      <c r="AG224" s="1106"/>
      <c r="AH224" s="1106"/>
      <c r="AI224" s="1106"/>
      <c r="AJ224" s="1106"/>
      <c r="AK224" s="1132"/>
      <c r="AL224" s="1106"/>
      <c r="AM224" s="1106"/>
      <c r="AN224" s="1106"/>
      <c r="AO224" s="1106"/>
      <c r="AP224" s="1138"/>
      <c r="AQ224" s="1132"/>
      <c r="AR224" s="1106"/>
      <c r="AS224" s="1106"/>
      <c r="AT224" s="1106"/>
      <c r="AU224" s="1106"/>
      <c r="AV224" s="1106"/>
      <c r="AW224" s="1119"/>
      <c r="AX224" s="1120"/>
      <c r="AY224" s="1094"/>
      <c r="AZ224" s="1095" t="e">
        <f t="shared" si="89"/>
        <v>#REF!</v>
      </c>
      <c r="BA224" s="2"/>
    </row>
    <row r="225" spans="1:53" ht="15.75" hidden="1" customHeight="1" outlineLevel="1">
      <c r="A225" s="1027"/>
      <c r="B225" s="1096"/>
      <c r="C225" s="1139" t="s">
        <v>201</v>
      </c>
      <c r="D225" s="1122">
        <f>Parametres!$D$28</f>
        <v>8</v>
      </c>
      <c r="E225" s="1068" t="e">
        <f>COUNTIFS(#REF!,"&gt;0",#REF!,"&gt;="&amp;B203,#REF!,"&lt;="&amp;EOMONTH(B203,0))</f>
        <v>#REF!</v>
      </c>
      <c r="F225" s="1069" t="e">
        <f>SUMIFS(#REF!,#REF!,"&lt;&gt;0",#REF!,"&gt;="&amp;B203,#REF!,"&lt;="&amp;EOMONTH(B203,0))</f>
        <v>#REF!</v>
      </c>
      <c r="G225" s="1069" t="e">
        <f t="shared" si="87"/>
        <v>#REF!</v>
      </c>
      <c r="H225" s="1070" t="e">
        <f ca="1">MINIFS(#REF!,#REF!,"&lt;&gt;0",#REF!,"&gt;="&amp;B203,#REF!,"&lt;="&amp;EOMONTH(B203,0))</f>
        <v>#NAME?</v>
      </c>
      <c r="I225" s="1078" t="e">
        <f ca="1">MAXIFS(#REF!,#REF!,"&lt;&gt;0",#REF!,"&gt;="&amp;B203,#REF!,"&lt;="&amp;EOMONTH(B203,0))</f>
        <v>#NAME?</v>
      </c>
      <c r="J225" s="1114" t="e">
        <f>COUNTIFS(#REF!,"&gt;="&amp;D225,#REF!,"&gt;="&amp;B203,#REF!,"&lt;="&amp;EOMONTH(B203,0))</f>
        <v>#REF!</v>
      </c>
      <c r="K225" s="1341" t="e">
        <f t="shared" si="94"/>
        <v>#REF!</v>
      </c>
      <c r="L225" s="1115"/>
      <c r="M225" s="1082"/>
      <c r="N225" s="1171"/>
      <c r="O225" s="1171"/>
      <c r="P225" s="1173"/>
      <c r="Q225" s="1173"/>
      <c r="R225" s="1173"/>
      <c r="S225" s="1173"/>
      <c r="T225" s="1175"/>
      <c r="U225" s="1175"/>
      <c r="V225" s="1177"/>
      <c r="W225" s="1106"/>
      <c r="X225" s="1106"/>
      <c r="Y225" s="1069"/>
      <c r="Z225" s="1069"/>
      <c r="AA225" s="1069"/>
      <c r="AB225" s="1069"/>
      <c r="AC225" s="1248"/>
      <c r="AD225" s="1249"/>
      <c r="AE225" s="1082"/>
      <c r="AF225" s="1106"/>
      <c r="AG225" s="1106"/>
      <c r="AH225" s="1106"/>
      <c r="AI225" s="1106"/>
      <c r="AJ225" s="1106"/>
      <c r="AK225" s="1082"/>
      <c r="AL225" s="1205" t="e">
        <f>COUNTIFS(#REF!,"&gt;0",#REF!,"&gt;="&amp;B203,#REF!,"&lt;="&amp;EOMONTH(B203,0))</f>
        <v>#REF!</v>
      </c>
      <c r="AM225" s="1208" t="e">
        <f>SUMIFS(#REF!,#REF!,"&lt;&gt;0",#REF!,"&gt;="&amp;B203,#REF!,"&lt;="&amp;EOMONTH(B203,0))</f>
        <v>#REF!</v>
      </c>
      <c r="AN225" s="1208" t="e">
        <f>IF(AL225=0,0,AM225/AL225)</f>
        <v>#REF!</v>
      </c>
      <c r="AO225" s="1269" t="e">
        <f ca="1">MINIFS(#REF!,#REF!,"&lt;&gt;0",#REF!,"&gt;="&amp;B203,#REF!,"&lt;="&amp;EOMONTH(B203,0))</f>
        <v>#NAME?</v>
      </c>
      <c r="AP225" s="1269" t="e">
        <f ca="1">MAXIFS(#REF!,#REF!,"&lt;&gt;0",#REF!,"&gt;="&amp;B203,#REF!,"&lt;="&amp;EOMONTH(B203,0))</f>
        <v>#NAME?</v>
      </c>
      <c r="AQ225" s="1082"/>
      <c r="AR225" s="1220">
        <f>Parametres!$AM$28</f>
        <v>500</v>
      </c>
      <c r="AS225" s="1205" t="e">
        <f>COUNTIFS(#REF!,"&gt;0",#REF!,"&gt;="&amp;B203,#REF!,"&lt;="&amp;EOMONTH(B203,0))</f>
        <v>#REF!</v>
      </c>
      <c r="AT225" s="1208" t="e">
        <f>SUMIFS(#REF!,#REF!,"&lt;&gt;0",#REF!,"&gt;="&amp;B203,#REF!,"&lt;="&amp;EOMONTH(B203,0))</f>
        <v>#REF!</v>
      </c>
      <c r="AU225" s="1208" t="e">
        <f>IF(AS225=0,0,AT225/AS225)</f>
        <v>#REF!</v>
      </c>
      <c r="AV225" s="1208" t="e">
        <f ca="1">MINIFS(#REF!,#REF!,"&lt;&gt;0",#REF!,"&gt;="&amp;B203,#REF!,"&lt;="&amp;EOMONTH(B203,0))</f>
        <v>#NAME?</v>
      </c>
      <c r="AW225" s="1222" t="e">
        <f ca="1">MAXIFS(#REF!,#REF!,"&lt;&gt;0",#REF!,"&gt;="&amp;B203,#REF!,"&lt;="&amp;EOMONTH(B203,0))</f>
        <v>#NAME?</v>
      </c>
      <c r="AX225" s="1223" t="e">
        <f>COUNTIFS(#REF!,"&gt;="&amp;AR225,#REF!,"&gt;="&amp;B203,#REF!,"&lt;="&amp;EOMONTH(B203,0))</f>
        <v>#REF!</v>
      </c>
      <c r="AY225" s="1224" t="e">
        <f>AX225/AS225</f>
        <v>#REF!</v>
      </c>
      <c r="AZ225" s="1095" t="e">
        <f t="shared" si="89"/>
        <v>#REF!</v>
      </c>
      <c r="BA225" s="2"/>
    </row>
    <row r="226" spans="1:53" ht="15.75" hidden="1" customHeight="1" outlineLevel="1">
      <c r="A226" s="1027"/>
      <c r="B226" s="1096"/>
      <c r="C226" s="1121" t="s">
        <v>333</v>
      </c>
      <c r="D226" s="1122">
        <f>Parametres!$D$29</f>
        <v>0.3</v>
      </c>
      <c r="E226" s="1068" t="e">
        <f>COUNTIFS(#REF!,"&gt;0",#REF!,"&gt;="&amp;B203,#REF!,"&lt;="&amp;EOMONTH(B203,0))</f>
        <v>#REF!</v>
      </c>
      <c r="F226" s="1069" t="e">
        <f>SUMIFS(#REF!,#REF!,"&lt;&gt;0",#REF!,"&gt;="&amp;B203,#REF!,"&lt;="&amp;EOMONTH(B203,0))</f>
        <v>#REF!</v>
      </c>
      <c r="G226" s="1069" t="e">
        <f t="shared" si="87"/>
        <v>#REF!</v>
      </c>
      <c r="H226" s="1070" t="e">
        <f ca="1">MINIFS(#REF!,#REF!,"&lt;&gt;0",#REF!,"&gt;="&amp;B203,#REF!,"&lt;="&amp;EOMONTH(B203,0))</f>
        <v>#NAME?</v>
      </c>
      <c r="I226" s="1069" t="e">
        <f ca="1">MAXIFS(#REF!,#REF!,"&lt;&gt;0",#REF!,"&gt;="&amp;B203,#REF!,"&lt;="&amp;EOMONTH(B203,0))</f>
        <v>#NAME?</v>
      </c>
      <c r="J226" s="1072" t="e">
        <f>COUNTIFS(#REF!,"&gt;="&amp;D226,#REF!,"&gt;="&amp;B203,#REF!,"&lt;="&amp;EOMONTH(B203,0))</f>
        <v>#REF!</v>
      </c>
      <c r="K226" s="1341" t="e">
        <f t="shared" si="94"/>
        <v>#REF!</v>
      </c>
      <c r="L226" s="1099"/>
      <c r="M226" s="1132"/>
      <c r="N226" s="1102"/>
      <c r="O226" s="1102"/>
      <c r="P226" s="1069"/>
      <c r="Q226" s="1069"/>
      <c r="R226" s="1069"/>
      <c r="S226" s="1069"/>
      <c r="T226" s="1270"/>
      <c r="U226" s="1270"/>
      <c r="V226" s="1132"/>
      <c r="W226" s="1106"/>
      <c r="X226" s="1106"/>
      <c r="Y226" s="1069"/>
      <c r="Z226" s="1069"/>
      <c r="AA226" s="1069"/>
      <c r="AB226" s="1069"/>
      <c r="AC226" s="1248"/>
      <c r="AD226" s="1249"/>
      <c r="AE226" s="1132"/>
      <c r="AF226" s="1106"/>
      <c r="AG226" s="1106"/>
      <c r="AH226" s="1106"/>
      <c r="AI226" s="1106"/>
      <c r="AJ226" s="1106"/>
      <c r="AK226" s="1082"/>
      <c r="AL226" s="1117"/>
      <c r="AM226" s="1117"/>
      <c r="AN226" s="1117"/>
      <c r="AO226" s="1117"/>
      <c r="AP226" s="1117"/>
      <c r="AQ226" s="1082"/>
      <c r="AR226" s="1106"/>
      <c r="AS226" s="1106"/>
      <c r="AT226" s="1106"/>
      <c r="AU226" s="1106"/>
      <c r="AV226" s="1106"/>
      <c r="AW226" s="1119"/>
      <c r="AX226" s="1120"/>
      <c r="AY226" s="1094"/>
      <c r="AZ226" s="1095" t="e">
        <f t="shared" si="89"/>
        <v>#REF!</v>
      </c>
      <c r="BA226" s="2"/>
    </row>
    <row r="227" spans="1:53" ht="15.75" hidden="1" customHeight="1" outlineLevel="1">
      <c r="A227" s="1027"/>
      <c r="B227" s="1096"/>
      <c r="C227" s="1139" t="s">
        <v>46</v>
      </c>
      <c r="D227" s="1122">
        <f>Parametres!$D$30</f>
        <v>1</v>
      </c>
      <c r="E227" s="1068" t="e">
        <f>COUNTIFS(#REF!,"&gt;0",#REF!,"&gt;="&amp;B203,#REF!,"&lt;="&amp;EOMONTH(B203,0))</f>
        <v>#REF!</v>
      </c>
      <c r="F227" s="1069" t="e">
        <f>SUMIFS(#REF!,#REF!,"&lt;&gt;0",#REF!,"&gt;="&amp;B203,#REF!,"&lt;="&amp;EOMONTH(B203,0))</f>
        <v>#REF!</v>
      </c>
      <c r="G227" s="1069" t="e">
        <f t="shared" si="87"/>
        <v>#REF!</v>
      </c>
      <c r="H227" s="1070" t="e">
        <f ca="1">MINIFS(#REF!,#REF!,"&lt;&gt;0",#REF!,"&gt;="&amp;B203,#REF!,"&lt;="&amp;EOMONTH(B203,0))</f>
        <v>#NAME?</v>
      </c>
      <c r="I227" s="1266" t="e">
        <f ca="1">MAXIFS(#REF!,#REF!,"&lt;&gt;0",#REF!,"&gt;="&amp;B203,#REF!,"&lt;="&amp;EOMONTH(B203,0))</f>
        <v>#NAME?</v>
      </c>
      <c r="J227" s="1072" t="e">
        <f>COUNTIFS(#REF!,"&gt;="&amp;D227,#REF!,"&gt;="&amp;B203,#REF!,"&lt;="&amp;EOMONTH(B203,0))</f>
        <v>#REF!</v>
      </c>
      <c r="K227" s="1341" t="e">
        <f t="shared" si="94"/>
        <v>#REF!</v>
      </c>
      <c r="L227" s="1273"/>
      <c r="M227" s="1274"/>
      <c r="N227" s="1144">
        <f>Parametres!$L$30</f>
        <v>40</v>
      </c>
      <c r="O227" s="1077">
        <f>COUNTIFS('Degrémont Entrée'!$AV$14:$AV$379,"&gt;0",'Degrémont Entrée'!$A$14:$A$379,"&gt;="&amp;B203,'Degrémont Entrée'!$A$14:$A$379,"&lt;="&amp;EOMONTH(B203,0))</f>
        <v>4</v>
      </c>
      <c r="P227" s="1078">
        <f>SUMIFS('Degrémont Entrée'!$AV$14:$AV$379,'Degrémont Entrée'!$AV$14:$AV$379,"&lt;&gt;0",'Degrémont Entrée'!$A$14:$A$379,"&gt;="&amp;B203,'Degrémont Entrée'!$A$14:$A$379,"&lt;="&amp;EOMONTH(B203,0))</f>
        <v>128.64000000000001</v>
      </c>
      <c r="Q227" s="1266">
        <f t="shared" ref="Q227:Q228" si="95">IF(O227=0,0,P227/O227)</f>
        <v>32.160000000000004</v>
      </c>
      <c r="R227" s="1266" t="e">
        <f ca="1">MINIFS('Degrémont Entrée'!$AV$14:$AV$379,'Degrémont Entrée'!$AV$14:$AV$379,"&lt;&gt;0",'Degrémont Entrée'!$A$14:$A$379,"&gt;="&amp;B203,'Degrémont Entrée'!$A$14:$A$379,"&lt;="&amp;EOMONTH(B203,0))</f>
        <v>#NAME?</v>
      </c>
      <c r="S227" s="1266" t="e">
        <f ca="1">MAXIFS('Degrémont Entrée'!$AV$14:$AV$379,'Degrémont Entrée'!$AV$14:$AV$379,"&lt;&gt;0",'Degrémont Entrée'!$A$14:$A$379,"&gt;="&amp;B203,'Degrémont Entrée'!$A$14:$A$379,"&lt;="&amp;EOMONTH(B203,0))</f>
        <v>#NAME?</v>
      </c>
      <c r="T227" s="1276">
        <f>COUNTIFS('Degrémont Entrée'!$AV$14:$AV$379,"&gt;="&amp;N227,'Degrémont Entrée'!$A$14:$A$379,"&gt;="&amp;B203,'Degrémont Entrée'!$A$14:$A$379,"&lt;="&amp;EOMONTH(B203,0))</f>
        <v>1</v>
      </c>
      <c r="U227" s="1081">
        <f t="shared" ref="U227:U228" si="96">T227/O227</f>
        <v>0.25</v>
      </c>
      <c r="V227" s="1075"/>
      <c r="W227" s="1083">
        <f>Parametres!$T$30</f>
        <v>0.8</v>
      </c>
      <c r="X227" s="1142">
        <f>COUNTIFS('Degrémont sortie'!$AP$14:$AP$379,"&gt;0",'Degrémont sortie'!$A$14:$A$379,"&gt;="&amp;B203,'Degrémont sortie'!$A$14:$A$379,"&lt;="&amp;EOMONTH(B203,0))</f>
        <v>4</v>
      </c>
      <c r="Y227" s="1085">
        <f>SUMIFS('Degrémont sortie'!$AP$14:$AP$379,'Degrémont sortie'!$AP$14:$AP$379,"&lt;&gt;0",'Degrémont sortie'!$A$14:$A$379,"&gt;="&amp;B203,'Degrémont sortie'!$A$14:$A$379,"&lt;="&amp;EOMONTH(B203,0))</f>
        <v>1.07</v>
      </c>
      <c r="Z227" s="1069">
        <f t="shared" ref="Z227:Z229" si="97">IF(X227=0,0,Y227/X227)</f>
        <v>0.26750000000000002</v>
      </c>
      <c r="AA227" s="1277" t="e">
        <f ca="1">MINIFS('Degrémont sortie'!$AP$14:$AP$379,'Degrémont sortie'!$AP$14:$AP$379,"&lt;&gt;0",'Degrémont sortie'!$A$14:$A$379,"&gt;="&amp;B203,'Degrémont sortie'!$A$14:$A$379,"&lt;="&amp;EOMONTH(B203,0))</f>
        <v>#NAME?</v>
      </c>
      <c r="AB227" s="1069" t="e">
        <f ca="1">MAXIFS('Degrémont sortie'!$AP$14:$AP$379,'Degrémont sortie'!$AP$14:$AP$379,"&lt;&gt;0",'Degrémont sortie'!$A$14:$A$379,"&gt;="&amp;B203,'Degrémont sortie'!$A$14:$A$379,"&lt;="&amp;EOMONTH(B203,0))</f>
        <v>#NAME?</v>
      </c>
      <c r="AC227" s="1142">
        <f>COUNTIFS('Degrémont sortie'!$AP$14:$AP$379,"&gt;="&amp;W227,'Degrémont sortie'!$A$14:$A$379,"&gt;="&amp;B203,'Degrémont sortie'!$A$14:$A$379,"&lt;="&amp;EOMONTH(B203,0))</f>
        <v>0</v>
      </c>
      <c r="AD227" s="1087">
        <f t="shared" ref="AD227:AD228" si="98">AC227/X227</f>
        <v>0</v>
      </c>
      <c r="AE227" s="1075"/>
      <c r="AF227" s="1278"/>
      <c r="AG227" s="1278"/>
      <c r="AH227" s="1278"/>
      <c r="AI227" s="1278"/>
      <c r="AJ227" s="1278"/>
      <c r="AK227" s="1279"/>
      <c r="AL227" s="1278"/>
      <c r="AM227" s="1278"/>
      <c r="AN227" s="1278"/>
      <c r="AO227" s="1278"/>
      <c r="AP227" s="1278"/>
      <c r="AQ227" s="1279"/>
      <c r="AR227" s="1278"/>
      <c r="AS227" s="1278"/>
      <c r="AT227" s="1278"/>
      <c r="AU227" s="1278"/>
      <c r="AV227" s="1278"/>
      <c r="AW227" s="1278"/>
      <c r="AX227" s="1280"/>
      <c r="AY227" s="1094"/>
      <c r="AZ227" s="1095" t="e">
        <f t="shared" si="89"/>
        <v>#REF!</v>
      </c>
      <c r="BA227" s="2"/>
    </row>
    <row r="228" spans="1:53" ht="15.75" hidden="1" customHeight="1" outlineLevel="1">
      <c r="A228" s="1027"/>
      <c r="B228" s="1096"/>
      <c r="C228" s="1139" t="s">
        <v>34</v>
      </c>
      <c r="D228" s="1122">
        <f>Parametres!$D$32</f>
        <v>400</v>
      </c>
      <c r="E228" s="1068" t="e">
        <f>COUNTIFS(#REF!,"&gt;0",#REF!,"&gt;="&amp;B203,#REF!,"&lt;="&amp;EOMONTH(B203,0))</f>
        <v>#REF!</v>
      </c>
      <c r="F228" s="1069" t="e">
        <f>SUMIFS(#REF!,#REF!,"&lt;&gt;0",#REF!,"&gt;="&amp;B203,#REF!,"&lt;="&amp;EOMONTH(B203,0))</f>
        <v>#REF!</v>
      </c>
      <c r="G228" s="1069" t="e">
        <f t="shared" si="87"/>
        <v>#REF!</v>
      </c>
      <c r="H228" s="1070" t="e">
        <f ca="1">MINIFS(#REF!,#REF!,"&lt;&gt;0",#REF!,"&gt;="&amp;B203,#REF!,"&lt;="&amp;EOMONTH(B203,0))</f>
        <v>#NAME?</v>
      </c>
      <c r="I228" s="1069" t="e">
        <f ca="1">MAXIFS(#REF!,#REF!,"&lt;&gt;0",#REF!,"&gt;="&amp;B203,#REF!,"&lt;="&amp;EOMONTH(B203,0))</f>
        <v>#NAME?</v>
      </c>
      <c r="J228" s="1114" t="e">
        <f>COUNTIFS(#REF!,"&gt;="&amp;D228,#REF!,"&gt;="&amp;B203,#REF!,"&lt;="&amp;EOMONTH(B203,0))</f>
        <v>#REF!</v>
      </c>
      <c r="K228" s="1341" t="e">
        <f t="shared" si="94"/>
        <v>#REF!</v>
      </c>
      <c r="L228" s="1281"/>
      <c r="M228" s="1282"/>
      <c r="N228" s="1144">
        <f>Parametres!$L$32</f>
        <v>4000</v>
      </c>
      <c r="O228" s="1077">
        <f>COUNTIFS('Degrémont Entrée'!$G$14:$G$379,"&gt;0",'Degrémont Entrée'!$A$14:$A$379,"&gt;="&amp;B203,'Degrémont Entrée'!$A$14:$A$379,"&lt;="&amp;EOMONTH(B203,0))</f>
        <v>28</v>
      </c>
      <c r="P228" s="1078">
        <f>SUMIFS('Degrémont Entrée'!$G$14:$G$379,'Degrémont Entrée'!$G$14:$G$379,"&lt;&gt;0",'Degrémont Entrée'!$A$14:$A$379,"&gt;="&amp;B203,'Degrémont Entrée'!$A$14:$A$379,"&lt;="&amp;EOMONTH(B203,0))</f>
        <v>214177.7921148483</v>
      </c>
      <c r="Q228" s="1283">
        <f t="shared" si="95"/>
        <v>7649.2068612445819</v>
      </c>
      <c r="R228" s="1069" t="e">
        <f ca="1">MINIFS('Degrémont Entrée'!$G$14:$G$379,'Degrémont Entrée'!$G$14:$G$379,"&lt;&gt;0",'Degrémont Entrée'!$A$14:$A$379,"&gt;="&amp;B203,'Degrémont Entrée'!$A$14:$A$379,"&lt;="&amp;EOMONTH(B203,0))</f>
        <v>#NAME?</v>
      </c>
      <c r="S228" s="1284" t="e">
        <f ca="1">MAXIFS('Degrémont Entrée'!$G$14:$G$379,'Degrémont Entrée'!$G$14:$G$379,"&lt;&gt;0",'Degrémont Entrée'!$A$14:$A$379,"&gt;="&amp;B203,'Degrémont Entrée'!$A$14:$A$379,"&lt;="&amp;EOMONTH(B203,0))</f>
        <v>#NAME?</v>
      </c>
      <c r="T228" s="1141">
        <f>COUNTIFS('Degrémont Entrée'!$G$14:$G$379,"&gt;="&amp;N228,'Degrémont Entrée'!$A$14:$A$379,"&gt;="&amp;B203,'Degrémont Entrée'!$A$14:$A$379,"&lt;="&amp;EOMONTH(B203,0))</f>
        <v>18</v>
      </c>
      <c r="U228" s="1081">
        <f t="shared" si="96"/>
        <v>0.6428571428571429</v>
      </c>
      <c r="V228" s="1285"/>
      <c r="W228" s="1083">
        <f>Parametres!$T$32</f>
        <v>55</v>
      </c>
      <c r="X228" s="1142">
        <f>COUNTIFS('Degrémont sortie'!$G$14:$G$379,"&gt;0",'Degrémont sortie'!$A$14:$A$379,"&gt;="&amp;B203,'Degrémont sortie'!$A$14:$A$379,"&lt;="&amp;EOMONTH(B203,0))</f>
        <v>28</v>
      </c>
      <c r="Y228" s="1085">
        <f>SUMIFS('Degrémont sortie'!$G$14:$G$379,'Degrémont sortie'!$G$14:$G$379,"&lt;&gt;0",'Degrémont sortie'!$A$14:$A$379,"&gt;="&amp;B203,'Degrémont sortie'!$A$14:$A$379,"&lt;="&amp;EOMONTH(B203,0))</f>
        <v>765.6521739130435</v>
      </c>
      <c r="Z228" s="1069">
        <f t="shared" si="97"/>
        <v>27.344720496894411</v>
      </c>
      <c r="AA228" s="1286" t="e">
        <f ca="1">MINIFS('Degrémont sortie'!$G$14:$G$379,'Degrémont sortie'!$G$14:G$379,"&lt;&gt;0",'Degrémont sortie'!$A$14:$A$379,"&gt;="&amp;B203,'Degrémont sortie'!$A$14:$A$379,"&lt;="&amp;EOMONTH(B203,0))</f>
        <v>#NAME?</v>
      </c>
      <c r="AB228" s="1286" t="e">
        <f ca="1">MAXIFS('Degrémont sortie'!$G$14:$G$379,'Degrémont sortie'!$G$14:$G$379,"&lt;&gt;0",'Degrémont sortie'!$A$14:$A$379,"&gt;="&amp;B203,'Degrémont sortie'!$A$14:$A$379,"&lt;="&amp;EOMONTH(B203,0))</f>
        <v>#NAME?</v>
      </c>
      <c r="AC228" s="1141">
        <f>COUNTIFS('Degrémont sortie'!$G$14:$G$379,"&gt;="&amp;W228,'Degrémont sortie'!$A$14:$A$379,"&gt;="&amp;B203,'Degrémont sortie'!$A$14:$A$379,"&lt;="&amp;EOMONTH(B203,0))</f>
        <v>2</v>
      </c>
      <c r="AD228" s="1087">
        <f t="shared" si="98"/>
        <v>7.1428571428571425E-2</v>
      </c>
      <c r="AE228" s="1285"/>
      <c r="AF228" s="1205" t="e">
        <f>COUNTIFS(#REF!,"&gt;0",#REF!,"&gt;="&amp;B203,#REF!,"&lt;="&amp;EOMONTH(B203,0))</f>
        <v>#REF!</v>
      </c>
      <c r="AG228" s="1208" t="e">
        <f>SUMIFS(#REF!,#REF!,"&lt;&gt;0",#REF!,"&gt;="&amp;B203,#REF!,"&lt;="&amp;EOMONTH(B203,0))</f>
        <v>#REF!</v>
      </c>
      <c r="AH228" s="1208" t="e">
        <f>IF(AF228=0,0,AG228/AF228)</f>
        <v>#REF!</v>
      </c>
      <c r="AI228" s="1208" t="e">
        <f ca="1">MINIFS(#REF!,#REF!,"&lt;&gt;0",#REF!,"&gt;="&amp;B203,#REF!,"&lt;="&amp;EOMONTH(B203,0))</f>
        <v>#NAME?</v>
      </c>
      <c r="AJ228" s="1208" t="e">
        <f ca="1">MAXIFS(#REF!,#REF!,"&lt;&gt;0",#REF!,"&gt;="&amp;B203,#REF!,"&lt;="&amp;EOMONTH(B203,0))</f>
        <v>#NAME?</v>
      </c>
      <c r="AK228" s="1285"/>
      <c r="AL228" s="1205" t="e">
        <f>COUNTIFS(#REF!,"&gt;0",#REF!,"&gt;="&amp;B203,#REF!,"&lt;="&amp;EOMONTH(B203,0))</f>
        <v>#REF!</v>
      </c>
      <c r="AM228" s="1208" t="e">
        <f>SUMIFS(#REF!,#REF!,"&lt;&gt;0",#REF!,"&gt;="&amp;B203,#REF!,"&lt;="&amp;EOMONTH(B203,0))</f>
        <v>#REF!</v>
      </c>
      <c r="AN228" s="1208" t="e">
        <f>IF(AL228=0,0,AM228/AL228)</f>
        <v>#REF!</v>
      </c>
      <c r="AO228" s="1141" t="e">
        <f ca="1">MINIFS(#REF!,#REF!,"&lt;&gt;0",#REF!,"&gt;="&amp;B203,#REF!,"&lt;="&amp;EOMONTH(B203,0))</f>
        <v>#NAME?</v>
      </c>
      <c r="AP228" s="1141" t="e">
        <f ca="1">MAXIFS(#REF!,#REF!,"&lt;&gt;0",#REF!,"&gt;="&amp;B203,#REF!,"&lt;="&amp;EOMONTH(B203,0))</f>
        <v>#NAME?</v>
      </c>
      <c r="AQ228" s="1285"/>
      <c r="AR228" s="1220">
        <f>Parametres!$AM$32</f>
        <v>2600</v>
      </c>
      <c r="AS228" s="1205" t="e">
        <f>COUNTIFS(#REF!,"&gt;0",#REF!,"&gt;="&amp;B203,#REF!,"&lt;="&amp;EOMONTH(B203,0))</f>
        <v>#REF!</v>
      </c>
      <c r="AT228" s="1208" t="e">
        <f>SUMIFS(#REF!,#REF!,"&lt;&gt;0",#REF!,"&gt;="&amp;B203,#REF!,"&lt;="&amp;EOMONTH(B203,0))</f>
        <v>#REF!</v>
      </c>
      <c r="AU228" s="1208" t="e">
        <f>IF(AS228=0,0,AT228/AS228)</f>
        <v>#REF!</v>
      </c>
      <c r="AV228" s="1287" t="e">
        <f ca="1">MINIFS(#REF!,#REF!,"&lt;&gt;0",#REF!,"&gt;="&amp;B203,#REF!,"&lt;="&amp;EOMONTH(B203,0))</f>
        <v>#NAME?</v>
      </c>
      <c r="AW228" s="1141" t="e">
        <f ca="1">MAXIFS(#REF!,#REF!,"&lt;&gt;0",#REF!,"&gt;="&amp;B203,#REF!,"&lt;="&amp;EOMONTH(B203,0))</f>
        <v>#NAME?</v>
      </c>
      <c r="AX228" s="1288" t="e">
        <f>COUNTIFS(#REF!,"&gt;="&amp;AR228,#REF!,"&gt;="&amp;B203,#REF!,"&lt;="&amp;EOMONTH(B203,0))</f>
        <v>#REF!</v>
      </c>
      <c r="AY228" s="1224" t="e">
        <f>AX228/AS228</f>
        <v>#REF!</v>
      </c>
      <c r="AZ228" s="1095" t="e">
        <f t="shared" si="89"/>
        <v>#REF!</v>
      </c>
      <c r="BA228" s="2"/>
    </row>
    <row r="229" spans="1:53" ht="15.75" hidden="1" customHeight="1" outlineLevel="1">
      <c r="A229" s="1027"/>
      <c r="B229" s="1096"/>
      <c r="C229" s="1139" t="s">
        <v>118</v>
      </c>
      <c r="D229" s="1122">
        <f>Parametres!$D$33</f>
        <v>75</v>
      </c>
      <c r="E229" s="1068" t="e">
        <f>COUNTIFS(#REF!,"&gt;0",#REF!,"&gt;="&amp;B203,#REF!,"&lt;="&amp;EOMONTH(B203,0))</f>
        <v>#REF!</v>
      </c>
      <c r="F229" s="1069" t="e">
        <f>SUMIFS(#REF!,#REF!,"&lt;&gt;0",#REF!,"&gt;="&amp;B203,#REF!,"&lt;="&amp;EOMONTH(B203,0))</f>
        <v>#REF!</v>
      </c>
      <c r="G229" s="1069" t="e">
        <f t="shared" si="87"/>
        <v>#REF!</v>
      </c>
      <c r="H229" s="1070" t="e">
        <f ca="1">MINIFS(#REF!,#REF!,"&lt;&gt;0",#REF!,"&gt;="&amp;B203,#REF!,"&lt;="&amp;EOMONTH(B203,0))</f>
        <v>#NAME?</v>
      </c>
      <c r="I229" s="1069" t="e">
        <f ca="1">MAXIFS(#REF!,#REF!,"&lt;&gt;0",#REF!,"&gt;="&amp;B203,#REF!,"&lt;="&amp;EOMONTH(B203,0))</f>
        <v>#NAME?</v>
      </c>
      <c r="J229" s="1114" t="e">
        <f>COUNTIFS(#REF!,"&gt;="&amp;D229,#REF!,"&gt;="&amp;B203,#REF!,"&lt;="&amp;EOMONTH(B203,0))</f>
        <v>#REF!</v>
      </c>
      <c r="K229" s="1341" t="e">
        <f t="shared" si="94"/>
        <v>#REF!</v>
      </c>
      <c r="L229" s="1281"/>
      <c r="M229" s="1289"/>
      <c r="N229" s="1290"/>
      <c r="O229" s="1290"/>
      <c r="P229" s="1286"/>
      <c r="Q229" s="1283"/>
      <c r="R229" s="1286"/>
      <c r="S229" s="1286"/>
      <c r="T229" s="1290"/>
      <c r="U229" s="1290"/>
      <c r="V229" s="1285"/>
      <c r="W229" s="1083">
        <f>Parametres!$T$33</f>
        <v>150</v>
      </c>
      <c r="X229" s="1142">
        <f>COUNTIFS('Degrémont sortie'!$X$14:$X$379,"&gt;0",'Degrémont sortie'!$A$14:$A$379,"&gt;="&amp;B203,'Degrémont sortie'!$A$14:$A$379,"&lt;="&amp;EOMONTH(B203,0))</f>
        <v>4</v>
      </c>
      <c r="Y229" s="1085">
        <f>SUMIFS('Degrémont sortie'!$X$14:$X$379,'Degrémont sortie'!$X$14:$X$379,"&lt;&gt;0",'Degrémont sortie'!$A$14:$A$379,"&gt;="&amp;B203,'Degrémont sortie'!$A$14:$A$379,"&lt;="&amp;EOMONTH(B203,0))</f>
        <v>40</v>
      </c>
      <c r="Z229" s="1069">
        <f t="shared" si="97"/>
        <v>10</v>
      </c>
      <c r="AA229" s="1286" t="e">
        <f ca="1">MINIFS('Degrémont sortie'!$X$14:$X$379,'Degrémont sortie'!$X$14:$X$379,"&lt;&gt;0",'Degrémont sortie'!$A$14:$A$379,"&gt;="&amp;B203,'Degrémont sortie'!$A$14:$A$379,"&lt;="&amp;EOMONTH(B203,0))</f>
        <v>#NAME?</v>
      </c>
      <c r="AB229" s="1286" t="e">
        <f ca="1">MAXIFS('Degrémont sortie'!$X$14:$X$379,'Degrémont sortie'!$X$14:$X$379,"&lt;&gt;0",'Degrémont sortie'!$A$14:$A$379,"&gt;="&amp;B203,'Degrémont sortie'!$A$14:$A$379,"&lt;="&amp;EOMONTH(B203,0))</f>
        <v>#NAME?</v>
      </c>
      <c r="AC229" s="1291" t="s">
        <v>153</v>
      </c>
      <c r="AD229" s="1292" t="s">
        <v>153</v>
      </c>
      <c r="AE229" s="1285"/>
      <c r="AF229" s="1293"/>
      <c r="AG229" s="1293"/>
      <c r="AH229" s="1293"/>
      <c r="AI229" s="1293"/>
      <c r="AJ229" s="1293"/>
      <c r="AK229" s="1285"/>
      <c r="AL229" s="1293"/>
      <c r="AM229" s="1293"/>
      <c r="AN229" s="1293"/>
      <c r="AO229" s="1293"/>
      <c r="AP229" s="1293"/>
      <c r="AQ229" s="1285"/>
      <c r="AR229" s="1293"/>
      <c r="AS229" s="1293"/>
      <c r="AT229" s="1293"/>
      <c r="AU229" s="1293"/>
      <c r="AV229" s="1293"/>
      <c r="AW229" s="1293"/>
      <c r="AX229" s="1294"/>
      <c r="AY229" s="1295"/>
      <c r="AZ229" s="1095" t="e">
        <f t="shared" si="89"/>
        <v>#REF!</v>
      </c>
      <c r="BA229" s="2"/>
    </row>
    <row r="230" spans="1:53" ht="15.75" hidden="1" customHeight="1" outlineLevel="1">
      <c r="A230" s="1027"/>
      <c r="B230" s="1096"/>
      <c r="C230" s="1139" t="s">
        <v>285</v>
      </c>
      <c r="D230" s="1122">
        <f>Parametres!$D$34</f>
        <v>10000000</v>
      </c>
      <c r="E230" s="1068" t="e">
        <f>COUNTIFS(#REF!,"&gt;0",#REF!,"&gt;="&amp;B203,#REF!,"&lt;="&amp;EOMONTH(B203,0))</f>
        <v>#REF!</v>
      </c>
      <c r="F230" s="1069" t="e">
        <f>SUMIFS(#REF!,#REF!,"&lt;&gt;0",#REF!,"&gt;="&amp;B203,#REF!,"&lt;="&amp;EOMONTH(B203,0))</f>
        <v>#REF!</v>
      </c>
      <c r="G230" s="1069" t="e">
        <f t="shared" si="87"/>
        <v>#REF!</v>
      </c>
      <c r="H230" s="1070" t="e">
        <f ca="1">MINIFS(#REF!,#REF!,"&lt;&gt;0",#REF!,"&gt;="&amp;B203,#REF!,"&lt;="&amp;EOMONTH(B203,0))</f>
        <v>#NAME?</v>
      </c>
      <c r="I230" s="1069" t="e">
        <f ca="1">MAXIFS(#REF!,#REF!,"&lt;&gt;0",#REF!,"&gt;="&amp;B203,#REF!,"&lt;="&amp;EOMONTH(B203,0))</f>
        <v>#NAME?</v>
      </c>
      <c r="J230" s="1072" t="s">
        <v>153</v>
      </c>
      <c r="K230" s="1072" t="s">
        <v>153</v>
      </c>
      <c r="L230" s="1281"/>
      <c r="M230" s="1289"/>
      <c r="N230" s="1290"/>
      <c r="O230" s="1290"/>
      <c r="P230" s="1286"/>
      <c r="Q230" s="1283"/>
      <c r="R230" s="1286"/>
      <c r="S230" s="1286"/>
      <c r="T230" s="1290"/>
      <c r="U230" s="1290"/>
      <c r="V230" s="1285"/>
      <c r="W230" s="1293"/>
      <c r="X230" s="1293"/>
      <c r="Y230" s="1286"/>
      <c r="Z230" s="1286"/>
      <c r="AA230" s="1286"/>
      <c r="AB230" s="1286"/>
      <c r="AC230" s="1293"/>
      <c r="AD230" s="1249"/>
      <c r="AE230" s="1285"/>
      <c r="AF230" s="1293"/>
      <c r="AG230" s="1293"/>
      <c r="AH230" s="1293"/>
      <c r="AI230" s="1293"/>
      <c r="AJ230" s="1293"/>
      <c r="AK230" s="1285"/>
      <c r="AL230" s="1293"/>
      <c r="AM230" s="1293"/>
      <c r="AN230" s="1293"/>
      <c r="AO230" s="1293"/>
      <c r="AP230" s="1293"/>
      <c r="AQ230" s="1285"/>
      <c r="AR230" s="1293"/>
      <c r="AS230" s="1293"/>
      <c r="AT230" s="1293"/>
      <c r="AU230" s="1293"/>
      <c r="AV230" s="1293"/>
      <c r="AW230" s="1293"/>
      <c r="AX230" s="1294"/>
      <c r="AY230" s="1295"/>
      <c r="AZ230" s="1095" t="e">
        <f t="shared" si="89"/>
        <v>#REF!</v>
      </c>
      <c r="BA230" s="2"/>
    </row>
    <row r="231" spans="1:53" ht="15.75" hidden="1" customHeight="1" outlineLevel="1">
      <c r="A231" s="1027"/>
      <c r="B231" s="1096"/>
      <c r="C231" s="1139" t="s">
        <v>48</v>
      </c>
      <c r="D231" s="1122">
        <f>Parametres!$D$35</f>
        <v>0.5</v>
      </c>
      <c r="E231" s="1068" t="e">
        <f>COUNTIFS(#REF!,"&gt;0",#REF!,"&gt;="&amp;B203,#REF!,"&lt;="&amp;EOMONTH(B203,0))</f>
        <v>#REF!</v>
      </c>
      <c r="F231" s="1069" t="e">
        <f>SUMIFS(#REF!,#REF!,"&lt;&gt;0",#REF!,"&gt;="&amp;B203,#REF!,"&lt;="&amp;EOMONTH(B203,0))</f>
        <v>#REF!</v>
      </c>
      <c r="G231" s="1069" t="e">
        <f t="shared" si="87"/>
        <v>#REF!</v>
      </c>
      <c r="H231" s="1070" t="e">
        <f ca="1">MINIFS(#REF!,#REF!,"&lt;&gt;0",#REF!,"&gt;="&amp;B203,#REF!,"&lt;="&amp;EOMONTH(B203,0))</f>
        <v>#NAME?</v>
      </c>
      <c r="I231" s="1069" t="e">
        <f ca="1">MAXIFS(#REF!,#REF!,"&lt;&gt;0",#REF!,"&gt;="&amp;B203,#REF!,"&lt;="&amp;EOMONTH(B203,0))</f>
        <v>#NAME?</v>
      </c>
      <c r="J231" s="1114" t="e">
        <f>COUNTIFS(#REF!,"&gt;="&amp;D231,#REF!,"&gt;="&amp;B203,#REF!,"&lt;="&amp;EOMONTH(B203,0))</f>
        <v>#REF!</v>
      </c>
      <c r="K231" s="1341" t="e">
        <f>J231/E231</f>
        <v>#REF!</v>
      </c>
      <c r="L231" s="1281"/>
      <c r="M231" s="1289"/>
      <c r="N231" s="1144">
        <f>Parametres!$L$35</f>
        <v>30</v>
      </c>
      <c r="O231" s="1077">
        <f>COUNTIFS('Degrémont Entrée'!$BB$14:$BB$379,"&gt;0",'Degrémont Entrée'!$A$14:$A$379,"&gt;="&amp;B203,'Degrémont Entrée'!$A$14:$A$379,"&lt;="&amp;EOMONTH(B203,0))</f>
        <v>4</v>
      </c>
      <c r="P231" s="1078">
        <f>SUMIFS('Degrémont Entrée'!$BB$14:$BB$379,'Degrémont Entrée'!$BB$14:$BB$379,"&lt;&gt;0",'Degrémont Entrée'!$A$14:$A$379,"&gt;="&amp;B203,'Degrémont Entrée'!$A$14:$A$379,"&lt;="&amp;EOMONTH(B203,0))</f>
        <v>3.0799999999999996</v>
      </c>
      <c r="Q231" s="1283">
        <f>IF(O231=0,0,P231/O231)</f>
        <v>0.76999999999999991</v>
      </c>
      <c r="R231" s="1286" t="e">
        <f ca="1">MINIFS('Degrémont Entrée'!$BB$14:$BB$379,'Degrémont Entrée'!$BB$14:$BB$379,"&lt;&gt;0",'Degrémont Entrée'!$A$14:$A$379,"&gt;="&amp;B203,'Degrémont Entrée'!$A$14:$A$379,"&lt;="&amp;EOMONTH(B203,0))</f>
        <v>#NAME?</v>
      </c>
      <c r="S231" s="1286" t="e">
        <f ca="1">MAXIFS('Degrémont Entrée'!$BB$14:$BB$379,'Degrémont Entrée'!$BB$14:$BB$379,"&lt;&gt;0",'Degrémont Entrée'!$A$14:$A$379,"&gt;="&amp;B203,'Degrémont Entrée'!$A$14:$A$379,"&lt;="&amp;EOMONTH(B203,0))</f>
        <v>#NAME?</v>
      </c>
      <c r="T231" s="1141">
        <f>COUNTIFS('Degrémont Entrée'!$BB$14:$BB$379,"&gt;="&amp;N231,'Degrémont Entrée'!$A$14:$A$379,"&gt;="&amp;B203,'Degrémont Entrée'!$A$14:$A$379,"&lt;="&amp;EOMONTH(B203,0))</f>
        <v>0</v>
      </c>
      <c r="U231" s="1081">
        <f>T231/O231</f>
        <v>0</v>
      </c>
      <c r="V231" s="1285"/>
      <c r="W231" s="1083">
        <f>Parametres!$T$35</f>
        <v>0.16</v>
      </c>
      <c r="X231" s="1142">
        <f>COUNTIFS('Degrémont sortie'!$AV$14:$AV$379,"&gt;0",'Degrémont sortie'!$A$14:$A$379,"&gt;="&amp;B203,'Degrémont sortie'!$A$14:$A$379,"&lt;="&amp;EOMONTH(B203,0))</f>
        <v>4</v>
      </c>
      <c r="Y231" s="1085">
        <f>SUMIFS('Degrémont sortie'!$AV$14:$AV$379,'Degrémont sortie'!$AV$14:$AV$379,"&lt;&gt;0",'Degrémont sortie'!$A$14:$A$379,"&gt;="&amp;B203,'Degrémont sortie'!$A$14:$A$379,"&lt;="&amp;EOMONTH(B203,0))</f>
        <v>0.6</v>
      </c>
      <c r="Z231" s="1069">
        <f t="shared" ref="Z231:Z233" si="99">IF(X231=0,0,Y231/X231)</f>
        <v>0.15</v>
      </c>
      <c r="AA231" s="1286" t="e">
        <f ca="1">MINIFS('Degrémont sortie'!$AV$14:$AV$379,'Degrémont sortie'!$AV$14:$AV$379,"&lt;&gt;0",'Degrémont sortie'!$A$14:$A$379,"&gt;="&amp;B203,'Degrémont sortie'!$A$14:$A$379,"&lt;="&amp;EOMONTH(B203,0))</f>
        <v>#NAME?</v>
      </c>
      <c r="AB231" s="1286" t="e">
        <f ca="1">MAXIFS('Degrémont sortie'!$AV$14:$AV$379,'Degrémont sortie'!$AV$14:$AV$379,"&lt;&gt;0",'Degrémont sortie'!$A$14:$A$379,"&gt;="&amp;B203,'Degrémont sortie'!$A$14:$A$379,"&lt;="&amp;EOMONTH(B203,0))</f>
        <v>#NAME?</v>
      </c>
      <c r="AC231" s="1141">
        <f>COUNTIFS('Degrémont sortie'!$AV$14:$AV$379,"&gt;="&amp;W231,'Degrémont sortie'!$A$14:$A$379,"&gt;="&amp;B203,'Degrémont sortie'!$A$14:$A$379,"&lt;="&amp;EOMONTH(B203,0))</f>
        <v>0</v>
      </c>
      <c r="AD231" s="1087">
        <f>AC231/X231</f>
        <v>0</v>
      </c>
      <c r="AE231" s="1285"/>
      <c r="AF231" s="1293"/>
      <c r="AG231" s="1293"/>
      <c r="AH231" s="1293"/>
      <c r="AI231" s="1293"/>
      <c r="AJ231" s="1293"/>
      <c r="AK231" s="1285"/>
      <c r="AL231" s="1293"/>
      <c r="AM231" s="1293"/>
      <c r="AN231" s="1293"/>
      <c r="AO231" s="1293"/>
      <c r="AP231" s="1293"/>
      <c r="AQ231" s="1285"/>
      <c r="AR231" s="1293"/>
      <c r="AS231" s="1293"/>
      <c r="AT231" s="1293"/>
      <c r="AU231" s="1293"/>
      <c r="AV231" s="1293"/>
      <c r="AW231" s="1293"/>
      <c r="AX231" s="1294"/>
      <c r="AY231" s="1295"/>
      <c r="AZ231" s="1095" t="e">
        <f t="shared" si="89"/>
        <v>#REF!</v>
      </c>
      <c r="BA231" s="2"/>
    </row>
    <row r="232" spans="1:53" ht="15.75" hidden="1" customHeight="1" outlineLevel="1">
      <c r="A232" s="1027"/>
      <c r="B232" s="1096"/>
      <c r="C232" s="1139" t="s">
        <v>39</v>
      </c>
      <c r="D232" s="1122">
        <f>Parametres!$D$36</f>
        <v>10000000</v>
      </c>
      <c r="E232" s="1068" t="e">
        <f>COUNTIFS(#REF!,"&gt;0",#REF!,"&gt;="&amp;B203,#REF!,"&lt;="&amp;EOMONTH(B203,0))</f>
        <v>#REF!</v>
      </c>
      <c r="F232" s="1069" t="e">
        <f>SUMIFS(#REF!,#REF!,"&lt;&gt;0",#REF!,"&gt;="&amp;B203,#REF!,"&lt;="&amp;EOMONTH(B203,0))</f>
        <v>#REF!</v>
      </c>
      <c r="G232" s="1069" t="e">
        <f t="shared" si="87"/>
        <v>#REF!</v>
      </c>
      <c r="H232" s="1070" t="e">
        <f ca="1">MINIFS(#REF!,#REF!,"&lt;&gt;0",#REF!,"&gt;="&amp;B203,#REF!,"&lt;="&amp;EOMONTH(B203,0))</f>
        <v>#NAME?</v>
      </c>
      <c r="I232" s="1277" t="e">
        <f ca="1">MAXIFS(#REF!,#REF!,"&lt;&gt;0",#REF!,"&gt;="&amp;B203,#REF!,"&lt;="&amp;EOMONTH(B203,0))</f>
        <v>#NAME?</v>
      </c>
      <c r="J232" s="1072" t="s">
        <v>153</v>
      </c>
      <c r="K232" s="1072" t="s">
        <v>153</v>
      </c>
      <c r="L232" s="1281"/>
      <c r="M232" s="1289"/>
      <c r="N232" s="1290"/>
      <c r="O232" s="1290"/>
      <c r="P232" s="1286"/>
      <c r="Q232" s="1286"/>
      <c r="R232" s="1286"/>
      <c r="S232" s="1286"/>
      <c r="T232" s="1290"/>
      <c r="U232" s="1290"/>
      <c r="V232" s="1285"/>
      <c r="W232" s="1083">
        <f>Parametres!$T$36</f>
        <v>100000000</v>
      </c>
      <c r="X232" s="1142">
        <f>COUNTIFS('Degrémont sortie'!$R$14:$R$379,"&gt;0",'Degrémont sortie'!$A$14:$A$379,"&gt;="&amp;B203,'Degrémont sortie'!$A$14:$A$379,"&lt;="&amp;EOMONTH(B203,0))</f>
        <v>0</v>
      </c>
      <c r="Y232" s="1085">
        <f>SUMIFS('Degrémont sortie'!$R$14:$R$379,'Degrémont sortie'!$R$14:$R$379,"&lt;&gt;0",'Degrémont sortie'!$A$14:$A$379,"&gt;="&amp;B203,'Degrémont sortie'!$A$14:$A$379,"&lt;="&amp;EOMONTH(B203,0))</f>
        <v>0</v>
      </c>
      <c r="Z232" s="1069">
        <f t="shared" si="99"/>
        <v>0</v>
      </c>
      <c r="AA232" s="1286" t="e">
        <f ca="1">MINIFS('Degrémont sortie'!$R$14:$R$379,'Degrémont sortie'!$R$14:$R$379,"&lt;&gt;0",'Degrémont sortie'!$A$14:$A$379,"&gt;="&amp;B203,'Degrémont sortie'!$A$14:$A$379,"&lt;="&amp;EOMONTH(B203,0))</f>
        <v>#NAME?</v>
      </c>
      <c r="AB232" s="1286" t="e">
        <f ca="1">MAXIFS('Degrémont sortie'!$R$14:$R$379,'Degrémont sortie'!$R$14:$R$379,"&lt;&gt;0",'Degrémont sortie'!$A$14:$A$379,"&gt;="&amp;B203,'Degrémont sortie'!$A$14:$A$379,"&lt;="&amp;EOMONTH(B203,0))</f>
        <v>#NAME?</v>
      </c>
      <c r="AC232" s="1291" t="s">
        <v>153</v>
      </c>
      <c r="AD232" s="1292" t="s">
        <v>153</v>
      </c>
      <c r="AE232" s="1285"/>
      <c r="AF232" s="1293"/>
      <c r="AG232" s="1293"/>
      <c r="AH232" s="1293"/>
      <c r="AI232" s="1293"/>
      <c r="AJ232" s="1293"/>
      <c r="AK232" s="1285"/>
      <c r="AL232" s="1293"/>
      <c r="AM232" s="1293"/>
      <c r="AN232" s="1293"/>
      <c r="AO232" s="1293"/>
      <c r="AP232" s="1293"/>
      <c r="AQ232" s="1285"/>
      <c r="AR232" s="1293"/>
      <c r="AS232" s="1293"/>
      <c r="AT232" s="1293"/>
      <c r="AU232" s="1293"/>
      <c r="AV232" s="1293"/>
      <c r="AW232" s="1293"/>
      <c r="AX232" s="1294"/>
      <c r="AY232" s="1295"/>
      <c r="AZ232" s="1095" t="e">
        <f t="shared" si="89"/>
        <v>#REF!</v>
      </c>
      <c r="BA232" s="2"/>
    </row>
    <row r="233" spans="1:53" ht="15.75" hidden="1" customHeight="1" outlineLevel="1">
      <c r="A233" s="1027"/>
      <c r="B233" s="1096"/>
      <c r="C233" s="1139" t="s">
        <v>40</v>
      </c>
      <c r="D233" s="1122">
        <f>Parametres!$D$37</f>
        <v>10000000</v>
      </c>
      <c r="E233" s="1068" t="e">
        <f>COUNTIFS(#REF!,"&gt;0",#REF!,"&gt;="&amp;B203,#REF!,"&lt;="&amp;EOMONTH(B203,0))</f>
        <v>#REF!</v>
      </c>
      <c r="F233" s="1069" t="e">
        <f>SUMIFS(#REF!,#REF!,"&lt;&gt;0",#REF!,"&gt;="&amp;B203,#REF!,"&lt;="&amp;EOMONTH(B203,0))</f>
        <v>#REF!</v>
      </c>
      <c r="G233" s="1069" t="e">
        <f t="shared" si="87"/>
        <v>#REF!</v>
      </c>
      <c r="H233" s="1070" t="e">
        <f ca="1">MINIFS(#REF!,#REF!,"&lt;&gt;0",#REF!,"&gt;="&amp;B203,#REF!,"&lt;="&amp;EOMONTH(B203,0))</f>
        <v>#NAME?</v>
      </c>
      <c r="I233" s="1069" t="e">
        <f ca="1">MAXIFS(#REF!,#REF!,"&lt;&gt;0",#REF!,"&gt;="&amp;B203,#REF!,"&lt;="&amp;EOMONTH(B203,0))</f>
        <v>#NAME?</v>
      </c>
      <c r="J233" s="1072" t="s">
        <v>153</v>
      </c>
      <c r="K233" s="1072" t="s">
        <v>153</v>
      </c>
      <c r="L233" s="1281"/>
      <c r="M233" s="1289"/>
      <c r="N233" s="1290"/>
      <c r="O233" s="1290"/>
      <c r="P233" s="1286"/>
      <c r="Q233" s="1286"/>
      <c r="R233" s="1286"/>
      <c r="S233" s="1286"/>
      <c r="T233" s="1290"/>
      <c r="U233" s="1290"/>
      <c r="V233" s="1285"/>
      <c r="W233" s="1083">
        <f>Parametres!$T$37</f>
        <v>100000000</v>
      </c>
      <c r="X233" s="1142">
        <f>COUNTIFS('Degrémont sortie'!$U$14:$U$379,"&gt;0",'Degrémont sortie'!$A$14:$A$379,"&gt;="&amp;B203,'Degrémont sortie'!$A$14:$A$379,"&lt;="&amp;EOMONTH(B203,0))</f>
        <v>0</v>
      </c>
      <c r="Y233" s="1085">
        <f>SUMIFS('Degrémont sortie'!$U$14:$U$379,'Degrémont sortie'!$U$14:$U$379,"&lt;&gt;0",'Degrémont sortie'!$A$14:$A$379,"&gt;="&amp;B203,'Degrémont sortie'!$A$14:$A$379,"&lt;="&amp;EOMONTH(B203,0))</f>
        <v>0</v>
      </c>
      <c r="Z233" s="1069">
        <f t="shared" si="99"/>
        <v>0</v>
      </c>
      <c r="AA233" s="1286" t="e">
        <f ca="1">MINIFS('Degrémont sortie'!$U$14:$U$379,'Degrémont sortie'!$U$14:$U$379,"&lt;&gt;0",'Degrémont sortie'!$A$14:$A$379,"&gt;="&amp;B203,'Degrémont sortie'!$A$14:$A$379,"&lt;="&amp;EOMONTH(B203,0))</f>
        <v>#NAME?</v>
      </c>
      <c r="AB233" s="1286" t="e">
        <f ca="1">MAXIFS('Degrémont sortie'!$U$14:$U$379,'Degrémont sortie'!$U$14:$U$379,"&lt;&gt;0",'Degrémont sortie'!$A$14:$A$379,"&gt;="&amp;B203,'Degrémont sortie'!$A$14:$A$379,"&lt;="&amp;EOMONTH(B203,0))</f>
        <v>#NAME?</v>
      </c>
      <c r="AC233" s="1291" t="s">
        <v>153</v>
      </c>
      <c r="AD233" s="1292" t="s">
        <v>153</v>
      </c>
      <c r="AE233" s="1285"/>
      <c r="AF233" s="1293"/>
      <c r="AG233" s="1293"/>
      <c r="AH233" s="1293"/>
      <c r="AI233" s="1293"/>
      <c r="AJ233" s="1293"/>
      <c r="AK233" s="1285"/>
      <c r="AL233" s="1293"/>
      <c r="AM233" s="1293"/>
      <c r="AN233" s="1293"/>
      <c r="AO233" s="1293"/>
      <c r="AP233" s="1293"/>
      <c r="AQ233" s="1285"/>
      <c r="AR233" s="1293"/>
      <c r="AS233" s="1293"/>
      <c r="AT233" s="1293"/>
      <c r="AU233" s="1293"/>
      <c r="AV233" s="1293"/>
      <c r="AW233" s="1293"/>
      <c r="AX233" s="1294"/>
      <c r="AY233" s="1295"/>
      <c r="AZ233" s="1095" t="e">
        <f t="shared" si="89"/>
        <v>#REF!</v>
      </c>
      <c r="BA233" s="2"/>
    </row>
    <row r="234" spans="1:53" ht="15.75" hidden="1" customHeight="1" outlineLevel="1">
      <c r="A234" s="1027"/>
      <c r="B234" s="1096"/>
      <c r="C234" s="1121" t="s">
        <v>15</v>
      </c>
      <c r="D234" s="1122">
        <f>Parametres!$D$38</f>
        <v>1000000</v>
      </c>
      <c r="E234" s="1068" t="e">
        <f>COUNTIFS(#REF!,"&gt;0",#REF!,"&gt;="&amp;B203,#REF!,"&lt;="&amp;EOMONTH(B203,0))</f>
        <v>#REF!</v>
      </c>
      <c r="F234" s="1069" t="e">
        <f>SUMIFS(#REF!,#REF!,"&lt;&gt;0",#REF!,"&gt;="&amp;B203,#REF!,"&lt;="&amp;EOMONTH(B203,0))</f>
        <v>#REF!</v>
      </c>
      <c r="G234" s="1069" t="e">
        <f t="shared" si="87"/>
        <v>#REF!</v>
      </c>
      <c r="H234" s="1070" t="e">
        <f ca="1">MINIFS(#REF!,#REF!,"&lt;&gt;0",#REF!,"&gt;="&amp;B203,#REF!,"&lt;="&amp;EOMONTH(B203,0))</f>
        <v>#NAME?</v>
      </c>
      <c r="I234" s="1069" t="e">
        <f ca="1">MAXIFS(#REF!,#REF!,"&lt;&gt;0",#REF!,"&gt;="&amp;B203,#REF!,"&lt;="&amp;EOMONTH(B203,0))</f>
        <v>#NAME?</v>
      </c>
      <c r="J234" s="1072" t="e">
        <f>COUNTIFS(#REF!,"&gt;="&amp;D234,#REF!,"&gt;="&amp;B203,#REF!,"&lt;="&amp;EOMONTH(B203,0))</f>
        <v>#REF!</v>
      </c>
      <c r="K234" s="1341" t="e">
        <f t="shared" ref="K234:K235" si="100">J234/E234</f>
        <v>#REF!</v>
      </c>
      <c r="L234" s="1281"/>
      <c r="M234" s="1289"/>
      <c r="N234" s="1290"/>
      <c r="O234" s="1290"/>
      <c r="P234" s="1286"/>
      <c r="Q234" s="1286"/>
      <c r="R234" s="1286"/>
      <c r="S234" s="1286"/>
      <c r="T234" s="1290"/>
      <c r="U234" s="1290"/>
      <c r="V234" s="1285"/>
      <c r="W234" s="1293"/>
      <c r="X234" s="1293"/>
      <c r="Y234" s="1286"/>
      <c r="Z234" s="1286"/>
      <c r="AA234" s="1286"/>
      <c r="AB234" s="1286"/>
      <c r="AC234" s="1293"/>
      <c r="AD234" s="1249"/>
      <c r="AE234" s="1285"/>
      <c r="AF234" s="1293"/>
      <c r="AG234" s="1293"/>
      <c r="AH234" s="1293"/>
      <c r="AI234" s="1293"/>
      <c r="AJ234" s="1293"/>
      <c r="AK234" s="1285"/>
      <c r="AL234" s="1293"/>
      <c r="AM234" s="1293"/>
      <c r="AN234" s="1293"/>
      <c r="AO234" s="1293"/>
      <c r="AP234" s="1293"/>
      <c r="AQ234" s="1285"/>
      <c r="AR234" s="1293"/>
      <c r="AS234" s="1293"/>
      <c r="AT234" s="1293"/>
      <c r="AU234" s="1293"/>
      <c r="AV234" s="1293"/>
      <c r="AW234" s="1293"/>
      <c r="AX234" s="1294"/>
      <c r="AY234" s="1295"/>
      <c r="AZ234" s="1095" t="e">
        <f t="shared" si="89"/>
        <v>#REF!</v>
      </c>
      <c r="BA234" s="2"/>
    </row>
    <row r="235" spans="1:53" ht="15.75" hidden="1" customHeight="1" outlineLevel="1">
      <c r="A235" s="1027"/>
      <c r="B235" s="1096"/>
      <c r="C235" s="1121" t="s">
        <v>170</v>
      </c>
      <c r="D235" s="1122">
        <f>Parametres!$D$40</f>
        <v>10000000</v>
      </c>
      <c r="E235" s="1068" t="e">
        <f>COUNTIFS(#REF!,"&gt;0",#REF!,"&gt;="&amp;B203,#REF!,"&lt;="&amp;EOMONTH(B203,0))</f>
        <v>#REF!</v>
      </c>
      <c r="F235" s="1069" t="e">
        <f>SUMIFS(#REF!,#REF!,"&lt;&gt;0",#REF!,"&gt;="&amp;B203,#REF!,"&lt;="&amp;EOMONTH(B203,0))</f>
        <v>#REF!</v>
      </c>
      <c r="G235" s="1069" t="e">
        <f t="shared" si="87"/>
        <v>#REF!</v>
      </c>
      <c r="H235" s="1070" t="e">
        <f ca="1">MINIFS(#REF!,#REF!,"&lt;&gt;0",#REF!,"&gt;="&amp;B203,#REF!,"&lt;="&amp;EOMONTH(B203,0))</f>
        <v>#NAME?</v>
      </c>
      <c r="I235" s="1069" t="e">
        <f ca="1">MAXIFS(#REF!,#REF!,"&lt;&gt;0",#REF!,"&gt;="&amp;B203,#REF!,"&lt;="&amp;EOMONTH(B203,0))</f>
        <v>#NAME?</v>
      </c>
      <c r="J235" s="1114" t="e">
        <f>COUNTIFS(#REF!,"&gt;="&amp;D235,#REF!,"&gt;="&amp;B204,#REF!,"&lt;="&amp;EOMONTH(B204,0))</f>
        <v>#REF!</v>
      </c>
      <c r="K235" s="1341" t="e">
        <f t="shared" si="100"/>
        <v>#REF!</v>
      </c>
      <c r="L235" s="1281"/>
      <c r="M235" s="1289"/>
      <c r="N235" s="1313"/>
      <c r="O235" s="1313"/>
      <c r="P235" s="1315"/>
      <c r="Q235" s="1317"/>
      <c r="R235" s="1286"/>
      <c r="S235" s="1286"/>
      <c r="T235" s="1290"/>
      <c r="U235" s="1290"/>
      <c r="V235" s="1285"/>
      <c r="W235" s="1293"/>
      <c r="X235" s="1293"/>
      <c r="Y235" s="1315"/>
      <c r="Z235" s="1286"/>
      <c r="AA235" s="1286"/>
      <c r="AB235" s="1286"/>
      <c r="AC235" s="1293"/>
      <c r="AD235" s="1249"/>
      <c r="AE235" s="1285"/>
      <c r="AF235" s="1293"/>
      <c r="AG235" s="1293"/>
      <c r="AH235" s="1293"/>
      <c r="AI235" s="1293"/>
      <c r="AJ235" s="1293"/>
      <c r="AK235" s="1285"/>
      <c r="AL235" s="1321"/>
      <c r="AM235" s="1293"/>
      <c r="AN235" s="1293"/>
      <c r="AO235" s="1293"/>
      <c r="AP235" s="1293"/>
      <c r="AQ235" s="1285"/>
      <c r="AR235" s="1293"/>
      <c r="AS235" s="1293"/>
      <c r="AT235" s="1293"/>
      <c r="AU235" s="1293"/>
      <c r="AV235" s="1293"/>
      <c r="AW235" s="1293"/>
      <c r="AX235" s="1294"/>
      <c r="AY235" s="1295"/>
      <c r="AZ235" s="1095"/>
      <c r="BA235" s="2"/>
    </row>
    <row r="236" spans="1:53" ht="15.75" hidden="1" customHeight="1" outlineLevel="1">
      <c r="A236" s="1027"/>
      <c r="B236" s="1096"/>
      <c r="C236" s="1139" t="s">
        <v>38</v>
      </c>
      <c r="D236" s="1122">
        <f>Parametres!$D$39</f>
        <v>1000000</v>
      </c>
      <c r="E236" s="1068" t="e">
        <f>COUNTIFS(#REF!,"&gt;0",#REF!,"&gt;="&amp;B203,#REF!,"&lt;="&amp;EOMONTH(B203,0))</f>
        <v>#REF!</v>
      </c>
      <c r="F236" s="1069" t="e">
        <f>SUMIFS(#REF!,#REF!,"&lt;&gt;0",#REF!,"&gt;="&amp;B203,#REF!,"&lt;="&amp;EOMONTH(B203,0))</f>
        <v>#REF!</v>
      </c>
      <c r="G236" s="1069" t="e">
        <f t="shared" si="87"/>
        <v>#REF!</v>
      </c>
      <c r="H236" s="1070" t="e">
        <f ca="1">MINIFS(#REF!,#REF!,"&lt;&gt;0",#REF!,"&gt;="&amp;B203,#REF!,"&lt;="&amp;EOMONTH(B203,0))</f>
        <v>#NAME?</v>
      </c>
      <c r="I236" s="1069" t="e">
        <f ca="1">MAXIFS(#REF!,#REF!,"&lt;&gt;0",#REF!,"&gt;="&amp;B203,#REF!,"&lt;="&amp;EOMONTH(B203,0))</f>
        <v>#NAME?</v>
      </c>
      <c r="J236" s="1072" t="s">
        <v>153</v>
      </c>
      <c r="K236" s="1072" t="s">
        <v>153</v>
      </c>
      <c r="L236" s="1281"/>
      <c r="M236" s="1289"/>
      <c r="N236" s="1328">
        <f>Parametres!$L$39</f>
        <v>100000</v>
      </c>
      <c r="O236" s="1077">
        <f>COUNTIF('Degrémont Entrée'!$U$14:$U$44,"&gt;0")</f>
        <v>4</v>
      </c>
      <c r="P236" s="1078">
        <f>SUMIFS('Degrémont Entrée'!$U$14:$U$379,'Degrémont Entrée'!$U$14:$U$379,"&lt;&gt;0",'Degrémont Entrée'!$A$14:$A$379,"&gt;="&amp;B203,'Degrémont Entrée'!$A$14:$A$379,"&lt;="&amp;EOMONTH(B203,0))</f>
        <v>299.39999999999998</v>
      </c>
      <c r="Q236" s="1283">
        <f t="shared" ref="Q236:Q239" si="101">IF(O236=0,0,P236/O236)</f>
        <v>74.849999999999994</v>
      </c>
      <c r="R236" s="1286" t="e">
        <f ca="1">MINIFS('Degrémont Entrée'!$U$14:$U$379,'Degrémont Entrée'!$U$14:$U$379,"&lt;&gt;0",'Degrémont Entrée'!$A$14:$A$379,"&gt;="&amp;B203,'Degrémont Entrée'!$A$14:$A$379,"&lt;="&amp;EOMONTH(B203,0))</f>
        <v>#NAME?</v>
      </c>
      <c r="S236" s="1286" t="e">
        <f ca="1">MAXIFS('Degrémont Entrée'!$U$14:$U$379,'Degrémont Entrée'!$U$14:$U$379,"&lt;&gt;0",'Degrémont Entrée'!$A$14:$A$379,"&gt;="&amp;B203,'Degrémont Entrée'!$A$14:$A$379,"&lt;="&amp;EOMONTH(B203,0))</f>
        <v>#NAME?</v>
      </c>
      <c r="T236" s="1291" t="s">
        <v>153</v>
      </c>
      <c r="U236" s="1291" t="s">
        <v>153</v>
      </c>
      <c r="V236" s="1285"/>
      <c r="W236" s="1083">
        <f>Parametres!T234</f>
        <v>0</v>
      </c>
      <c r="X236" s="1142">
        <f>COUNTIFS('Degrémont sortie'!$O$14:$O$379,"&gt;0",'Degrémont sortie'!$A$14:$A$379,"&gt;="&amp;B203,'Degrémont sortie'!$A$14:$A$379,"&lt;="&amp;EOMONTH(B203,0))</f>
        <v>4</v>
      </c>
      <c r="Y236" s="1085">
        <f>SUMIFS('Degrémont sortie'!$O$14:$O$379,'Degrémont sortie'!$O$14:$O$379,"&lt;&gt;0",'Degrémont sortie'!$A$14:$A$379,"&gt;="&amp;B203,'Degrémont sortie'!$A$14:$A$379,"&lt;="&amp;EOMONTH(B203,0))</f>
        <v>40</v>
      </c>
      <c r="Z236" s="1069">
        <f t="shared" ref="Z236:Z242" si="102">IF(X236=0,0,Y236/X236)</f>
        <v>10</v>
      </c>
      <c r="AA236" s="1286" t="e">
        <f ca="1">MINIFS('Degrémont sortie'!$O$14:$O$379,'Degrémont sortie'!$O$14:$O$379,"&lt;&gt;0",'Degrémont sortie'!$A$14:$A$379,"&gt;="&amp;B203,'Degrémont sortie'!$A$14:$A$379,"&lt;="&amp;EOMONTH(B203,0))</f>
        <v>#NAME?</v>
      </c>
      <c r="AB236" s="1286" t="e">
        <f ca="1">MAXIFS('Degrémont sortie'!$O$14:$O$379,'Degrémont sortie'!$O$14:$O$379,"&lt;&gt;0",'Degrémont sortie'!$A$14:$A$379,"&gt;="&amp;B203,'Degrémont sortie'!$A$14:$A$379,"&lt;="&amp;EOMONTH(B203,0))</f>
        <v>#NAME?</v>
      </c>
      <c r="AC236" s="1291" t="s">
        <v>153</v>
      </c>
      <c r="AD236" s="1292" t="s">
        <v>153</v>
      </c>
      <c r="AE236" s="1285"/>
      <c r="AF236" s="1293"/>
      <c r="AG236" s="1293"/>
      <c r="AH236" s="1293"/>
      <c r="AI236" s="1293"/>
      <c r="AJ236" s="1293"/>
      <c r="AK236" s="1285"/>
      <c r="AL236" s="1205" t="e">
        <f>COUNTIFS(#REF!,"&gt;0",#REF!,"&gt;="&amp;B203,#REF!,"&lt;="&amp;EOMONTH(B203,0))</f>
        <v>#REF!</v>
      </c>
      <c r="AM236" s="1208" t="e">
        <f>SUMIFS(#REF!,#REF!,"&lt;&gt;0",#REF!,"&gt;="&amp;B203,#REF!,"&lt;="&amp;EOMONTH(B203,0))</f>
        <v>#REF!</v>
      </c>
      <c r="AN236" s="1208" t="e">
        <f>IF(AL236=0,0,AM236/AL236)</f>
        <v>#REF!</v>
      </c>
      <c r="AO236" s="1141" t="e">
        <f ca="1">MINIFS(#REF!,#REF!,"&lt;&gt;0",#REF!,"&gt;="&amp;B203,#REF!,"&lt;="&amp;EOMONTH(B203,0))</f>
        <v>#NAME?</v>
      </c>
      <c r="AP236" s="1141" t="e">
        <f ca="1">MAXIFS(#REF!,#REF!,"&lt;&gt;0",#REF!,"&gt;="&amp;B203,#REF!,"&lt;="&amp;EOMONTH(B203,0))</f>
        <v>#NAME?</v>
      </c>
      <c r="AQ236" s="1285"/>
      <c r="AR236" s="1293"/>
      <c r="AS236" s="1293"/>
      <c r="AT236" s="1293"/>
      <c r="AU236" s="1293"/>
      <c r="AV236" s="1293"/>
      <c r="AW236" s="1293"/>
      <c r="AX236" s="1294"/>
      <c r="AY236" s="1295"/>
      <c r="AZ236" s="1095" t="e">
        <f t="shared" ref="AZ236:AZ248" si="103">SUM(E236+O236+X236+AF236+AL236+AS236)</f>
        <v>#REF!</v>
      </c>
      <c r="BA236" s="2"/>
    </row>
    <row r="237" spans="1:53" ht="15.75" hidden="1" customHeight="1" outlineLevel="1">
      <c r="A237" s="1027"/>
      <c r="B237" s="1096"/>
      <c r="C237" s="1139" t="s">
        <v>33</v>
      </c>
      <c r="D237" s="1122" t="str">
        <f>Parametres!$D$41</f>
        <v>5,5-8,5</v>
      </c>
      <c r="E237" s="1068" t="e">
        <f>COUNTIFS(#REF!,"&gt;0",#REF!,"&gt;="&amp;B203,#REF!,"&lt;="&amp;EOMONTH(B203,0))</f>
        <v>#REF!</v>
      </c>
      <c r="F237" s="1069" t="e">
        <f>SUMIFS(#REF!,#REF!,"&lt;&gt;0",#REF!,"&gt;="&amp;B203,#REF!,"&lt;="&amp;EOMONTH(B203,0))</f>
        <v>#REF!</v>
      </c>
      <c r="G237" s="1069" t="e">
        <f t="shared" si="87"/>
        <v>#REF!</v>
      </c>
      <c r="H237" s="1070" t="e">
        <f ca="1">MINIFS(#REF!,#REF!,"&lt;&gt;0",#REF!,"&gt;="&amp;B203,#REF!,"&lt;="&amp;EOMONTH(B203,0))</f>
        <v>#NAME?</v>
      </c>
      <c r="I237" s="1069" t="e">
        <f ca="1">MAXIFS(#REF!,#REF!,"&lt;&gt;0",#REF!,"&gt;="&amp;B203,#REF!,"&lt;="&amp;EOMONTH(B203,0))</f>
        <v>#NAME?</v>
      </c>
      <c r="J237" s="1114" t="e">
        <f>COUNTIFS(#REF!,"&lt;="&amp;D237,#REF!,"&gt;="&amp;B203,#REF!,"&lt;="&amp;EOMONTH(B203,0))</f>
        <v>#REF!</v>
      </c>
      <c r="K237" s="1341" t="e">
        <f t="shared" ref="K237:K239" si="104">J237/E237</f>
        <v>#REF!</v>
      </c>
      <c r="L237" s="1281"/>
      <c r="M237" s="1289"/>
      <c r="N237" s="1144">
        <f>Parametres!$L$41</f>
        <v>100000000</v>
      </c>
      <c r="O237" s="1077">
        <f>COUNTIFS('Degrémont Entrée'!$C$14:$C$379,"&gt;0",'Degrémont Entrée'!$A$14:$A$379,"&gt;="&amp;B203,'Degrémont Entrée'!$A$14:$A$379,"&lt;="&amp;EOMONTH(B203,0))</f>
        <v>28</v>
      </c>
      <c r="P237" s="1078">
        <f>SUMIFS('Degrémont Entrée'!$C$14:$C$379,'Degrémont Entrée'!$C$14:$C$379,"&lt;&gt;0",'Degrémont Entrée'!$A$14:$A$379,"&gt;="&amp;B203,'Degrémont Entrée'!$A$14:$A$379,"&lt;="&amp;EOMONTH(B203,0))</f>
        <v>215.83</v>
      </c>
      <c r="Q237" s="1283">
        <f t="shared" si="101"/>
        <v>7.7082142857142859</v>
      </c>
      <c r="R237" s="1286" t="e">
        <f ca="1">MINIFS('Degrémont Entrée'!$C$14:$C$379,'Degrémont Entrée'!$C$14:$C$379,"&lt;&gt;0",'Degrémont Entrée'!$A$14:$A$379,"&gt;="&amp;B203,'Degrémont Entrée'!$A$14:$A$379,"&lt;="&amp;EOMONTH(B203,0))</f>
        <v>#NAME?</v>
      </c>
      <c r="S237" s="1286" t="e">
        <f ca="1">MAXIFS('Degrémont Entrée'!$C$14:$C$379,'Degrémont Entrée'!$C$14:$C$379,"&lt;&gt;0",'Degrémont Entrée'!$A$14:$A$379,"&gt;="&amp;B203,'Degrémont Entrée'!$A$14:$A$379,"&lt;="&amp;EOMONTH(B203,0))</f>
        <v>#NAME?</v>
      </c>
      <c r="T237" s="1291" t="s">
        <v>153</v>
      </c>
      <c r="U237" s="1291" t="s">
        <v>153</v>
      </c>
      <c r="V237" s="1285"/>
      <c r="W237" s="1083">
        <f>Parametres!$T$41</f>
        <v>100000000</v>
      </c>
      <c r="X237" s="1142">
        <f>COUNTIFS('Degrémont sortie'!$C$14:$C$379,"&gt;0",'Degrémont sortie'!$A$14:$A$379,"&gt;="&amp;B203,'Degrémont sortie'!$A$14:$A$379,"&lt;="&amp;EOMONTH(B203,0))</f>
        <v>28</v>
      </c>
      <c r="Y237" s="1085">
        <f>SUMIFS('Degrémont sortie'!$C$14:$C$379,'Degrémont sortie'!$C$14:$C$379,"&lt;&gt;0",'Degrémont sortie'!$A$14:$A$379,"&gt;="&amp;B203,'Degrémont sortie'!$A$14:$A$379,"&lt;="&amp;EOMONTH(B203,0))</f>
        <v>243.21999999999997</v>
      </c>
      <c r="Z237" s="1069">
        <f t="shared" si="102"/>
        <v>8.6864285714285696</v>
      </c>
      <c r="AA237" s="1286" t="e">
        <f ca="1">MINIFS('Degrémont sortie'!$C$14:$C$379,'Degrémont sortie'!$C$14:$C$379,"&lt;&gt;0",'Degrémont sortie'!$A$14:$A$379,"&gt;="&amp;B203,'Degrémont sortie'!$A$14:$A$379,"&lt;="&amp;EOMONTH(B203,0))</f>
        <v>#NAME?</v>
      </c>
      <c r="AB237" s="1286" t="e">
        <f ca="1">MAXIFS('Degrémont sortie'!$C$14:$C$379,'Degrémont sortie'!$C$14:$C$379,"&lt;&gt;0",'Degrémont sortie'!$A$14:$A$379,"&gt;="&amp;B203,'Degrémont sortie'!$A$14:$A$379,"&lt;="&amp;EOMONTH(B203,0))</f>
        <v>#NAME?</v>
      </c>
      <c r="AC237" s="1291" t="s">
        <v>153</v>
      </c>
      <c r="AD237" s="1292" t="s">
        <v>153</v>
      </c>
      <c r="AE237" s="1285"/>
      <c r="AF237" s="1293"/>
      <c r="AG237" s="1293"/>
      <c r="AH237" s="1293"/>
      <c r="AI237" s="1293"/>
      <c r="AJ237" s="1293"/>
      <c r="AK237" s="1285"/>
      <c r="AL237" s="1293"/>
      <c r="AM237" s="1293"/>
      <c r="AN237" s="1293"/>
      <c r="AO237" s="1293"/>
      <c r="AP237" s="1293"/>
      <c r="AQ237" s="1285"/>
      <c r="AR237" s="1293"/>
      <c r="AS237" s="1293"/>
      <c r="AT237" s="1293"/>
      <c r="AU237" s="1293"/>
      <c r="AV237" s="1293"/>
      <c r="AW237" s="1293"/>
      <c r="AX237" s="1294"/>
      <c r="AY237" s="1295"/>
      <c r="AZ237" s="1095" t="e">
        <f t="shared" si="103"/>
        <v>#REF!</v>
      </c>
      <c r="BA237" s="2"/>
    </row>
    <row r="238" spans="1:53" ht="15.75" hidden="1" customHeight="1" outlineLevel="1">
      <c r="A238" s="1027"/>
      <c r="B238" s="1096"/>
      <c r="C238" s="1139" t="s">
        <v>49</v>
      </c>
      <c r="D238" s="1122">
        <f>Parametres!$D$42</f>
        <v>0.5</v>
      </c>
      <c r="E238" s="1068" t="e">
        <f>COUNTIFS(#REF!,"&gt;0",#REF!,"&gt;="&amp;B203,#REF!,"&lt;="&amp;EOMONTH(B203,0))</f>
        <v>#REF!</v>
      </c>
      <c r="F238" s="1069" t="e">
        <f>SUMIFS(#REF!,#REF!,"&lt;&gt;0",#REF!,"&gt;="&amp;B203,#REF!,"&lt;="&amp;EOMONTH(B203,0))</f>
        <v>#REF!</v>
      </c>
      <c r="G238" s="1069" t="e">
        <f t="shared" si="87"/>
        <v>#REF!</v>
      </c>
      <c r="H238" s="1070" t="e">
        <f ca="1">MINIFS(#REF!,#REF!,"&lt;&gt;0",#REF!,"&gt;="&amp;B203,#REF!,"&lt;="&amp;EOMONTH(B203,0))</f>
        <v>#NAME?</v>
      </c>
      <c r="I238" s="1069" t="e">
        <f ca="1">MAXIFS(#REF!,#REF!,"&lt;&gt;0",#REF!,"&gt;="&amp;B203,#REF!,"&lt;="&amp;EOMONTH(B203,0))</f>
        <v>#NAME?</v>
      </c>
      <c r="J238" s="1114" t="e">
        <f>COUNTIFS(#REF!,"&gt;="&amp;D238,#REF!,"&gt;="&amp;B203,#REF!,"&lt;="&amp;EOMONTH(B203,0))</f>
        <v>#REF!</v>
      </c>
      <c r="K238" s="1341" t="e">
        <f t="shared" si="104"/>
        <v>#REF!</v>
      </c>
      <c r="L238" s="1281"/>
      <c r="M238" s="1289"/>
      <c r="N238" s="1144">
        <f>Parametres!$L$42</f>
        <v>0.3</v>
      </c>
      <c r="O238" s="1077">
        <f>COUNTIFS('Degrémont Entrée'!$BE$14:$BE$379,"&gt;0",'Degrémont Entrée'!$A$14:$A$379,"&gt;="&amp;B203,'Degrémont Entrée'!$A$14:$A$379,"&lt;="&amp;EOMONTH(B203,0))</f>
        <v>4</v>
      </c>
      <c r="P238" s="1078">
        <f>SUMIFS('Degrémont Entrée'!$BE$14:$BE$379,'Degrémont Entrée'!$BE$14:$BE$379,"&lt;&gt;0",'Degrémont Entrée'!$A$14:$A$379,"&gt;="&amp;B203,'Degrémont Entrée'!$A$14:$A$379,"&lt;="&amp;EOMONTH(B203,0))</f>
        <v>0.52</v>
      </c>
      <c r="Q238" s="1283">
        <f t="shared" si="101"/>
        <v>0.13</v>
      </c>
      <c r="R238" s="1286" t="e">
        <f ca="1">MINIFS('Degrémont Entrée'!$BE$14:$BE$379,'Degrémont Entrée'!$BE$14:$BE$379,"&lt;&gt;0",'Degrémont Entrée'!$A$14:$A$379,"&gt;="&amp;B203,'Degrémont Entrée'!$A$14:$A$379,"&lt;="&amp;EOMONTH(B203,0))</f>
        <v>#NAME?</v>
      </c>
      <c r="S238" s="1286" t="e">
        <f ca="1">MAXIFS('Degrémont Entrée'!$BE$14:$BE$379,'Degrémont Entrée'!$BE$14:$BE$379,"&lt;&gt;0",'Degrémont Entrée'!$A$14:$A$379,"&gt;="&amp;B203,'Degrémont Entrée'!$A$14:$A$379,"&lt;="&amp;EOMONTH(B203,0))</f>
        <v>#NAME?</v>
      </c>
      <c r="T238" s="1141">
        <f>COUNTIFS('Degrémont Entrée'!$BE$14:$BE$379,"&gt;="&amp;N238,'Degrémont Entrée'!$A$14:$A$379,"&gt;="&amp;B203,'Degrémont Entrée'!$A$14:$A$379,"&lt;="&amp;EOMONTH(B203,0))</f>
        <v>0</v>
      </c>
      <c r="U238" s="1081">
        <f t="shared" ref="U238:U239" si="105">T238/O238</f>
        <v>0</v>
      </c>
      <c r="V238" s="1285"/>
      <c r="W238" s="1083">
        <f>Parametres!$T$42</f>
        <v>0.08</v>
      </c>
      <c r="X238" s="1142">
        <f>COUNTIFS('Degrémont sortie'!$AY$14:$AY$379,"&gt;0",'Degrémont sortie'!$A$14:$A$379,"&gt;="&amp;B203,'Degrémont sortie'!$A$14:$A$379,"&lt;="&amp;EOMONTH(B203,0))</f>
        <v>4</v>
      </c>
      <c r="Y238" s="1085">
        <f>SUMIFS('Degrémont sortie'!$AY$14:$AY$379,'Degrémont sortie'!$AY$14:$AY$379,"&lt;&gt;0",'Degrémont sortie'!$A$14:$A$379,"&gt;="&amp;B203,'Degrémont sortie'!$A$14:$A$379,"&lt;="&amp;EOMONTH(B203,0))</f>
        <v>0.52</v>
      </c>
      <c r="Z238" s="1069">
        <f t="shared" si="102"/>
        <v>0.13</v>
      </c>
      <c r="AA238" s="1286" t="e">
        <f ca="1">MINIFS('Degrémont sortie'!$AY$14:$AY$379,'Degrémont sortie'!$AY$14:$AY$379,"&lt;&gt;0",'Degrémont sortie'!$A$14:$A$379,"&gt;="&amp;B203,'Degrémont sortie'!$A$14:$A$379,"&lt;="&amp;EOMONTH(B203,0))</f>
        <v>#NAME?</v>
      </c>
      <c r="AB238" s="1286" t="e">
        <f ca="1">MAXIFS('Degrémont sortie'!$AY$14:$AY$379,'Degrémont sortie'!$AY$14:$AY$379,"&lt;&gt;0",'Degrémont sortie'!$A$14:$A$379,"&gt;="&amp;B203,'Degrémont sortie'!$A$14:$A$379,"&lt;="&amp;EOMONTH(B203,0))</f>
        <v>#NAME?</v>
      </c>
      <c r="AC238" s="1141">
        <f>COUNTIFS('Degrémont sortie'!$AY$14:$AY$379,"&gt;="&amp;W238,'Degrémont sortie'!$A$14:$A$379,"&gt;="&amp;B203,'Degrémont sortie'!$A$14:$A$379,"&lt;="&amp;EOMONTH(B203,0))</f>
        <v>4</v>
      </c>
      <c r="AD238" s="1087">
        <f t="shared" ref="AD238:AD239" si="106">AC238/X238</f>
        <v>1</v>
      </c>
      <c r="AE238" s="1285"/>
      <c r="AF238" s="1293"/>
      <c r="AG238" s="1293"/>
      <c r="AH238" s="1293"/>
      <c r="AI238" s="1293"/>
      <c r="AJ238" s="1293"/>
      <c r="AK238" s="1285"/>
      <c r="AL238" s="1293"/>
      <c r="AM238" s="1293"/>
      <c r="AN238" s="1293"/>
      <c r="AO238" s="1293"/>
      <c r="AP238" s="1293"/>
      <c r="AQ238" s="1285"/>
      <c r="AR238" s="1293"/>
      <c r="AS238" s="1293"/>
      <c r="AT238" s="1293"/>
      <c r="AU238" s="1293"/>
      <c r="AV238" s="1293"/>
      <c r="AW238" s="1293"/>
      <c r="AX238" s="1294"/>
      <c r="AY238" s="1295"/>
      <c r="AZ238" s="1095" t="e">
        <f t="shared" si="103"/>
        <v>#REF!</v>
      </c>
      <c r="BA238" s="2"/>
    </row>
    <row r="239" spans="1:53" ht="15.75" hidden="1" customHeight="1" outlineLevel="1">
      <c r="A239" s="1027"/>
      <c r="B239" s="1096"/>
      <c r="C239" s="1139" t="s">
        <v>37</v>
      </c>
      <c r="D239" s="1122">
        <f>Parametres!$D$43</f>
        <v>15</v>
      </c>
      <c r="E239" s="1069"/>
      <c r="F239" s="1069"/>
      <c r="G239" s="1069">
        <f t="shared" si="87"/>
        <v>0</v>
      </c>
      <c r="H239" s="1070" t="e">
        <f ca="1">MINIFS(#REF!,#REF!,"&lt;&gt;0",#REF!,"&gt;="&amp;B203,#REF!,"&lt;="&amp;EOMONTH(B203,0))</f>
        <v>#NAME?</v>
      </c>
      <c r="I239" s="1069" t="e">
        <f ca="1">MAXIFS(#REF!,#REF!,"&lt;&gt;0",#REF!,"&gt;="&amp;B203,#REF!,"&lt;="&amp;EOMONTH(B203,0))</f>
        <v>#NAME?</v>
      </c>
      <c r="J239" s="1114" t="e">
        <f>COUNTIFS(#REF!,"&gt;="&amp;D239,#REF!,"&gt;="&amp;B204,#REF!,"&lt;="&amp;EOMONTH(B204,0))</f>
        <v>#REF!</v>
      </c>
      <c r="K239" s="1341" t="e">
        <f t="shared" si="104"/>
        <v>#REF!</v>
      </c>
      <c r="L239" s="1281"/>
      <c r="M239" s="1289"/>
      <c r="N239" s="1144">
        <f>Parametres!$L$43</f>
        <v>500</v>
      </c>
      <c r="O239" s="1077">
        <f>COUNTIFS('Degrémont Entrée'!$S$14:$S$379,"&gt;0",'Degrémont Entrée'!$A$14:$A$379,"&gt;="&amp;B203,'Degrémont Entrée'!$A$14:$A$379,"&lt;="&amp;EOMONTH(B203,0))</f>
        <v>28</v>
      </c>
      <c r="P239" s="1078">
        <f>SUMIFS('Degrémont Entrée'!$S$14:$S$379,'Degrémont Entrée'!$S$14:$S$379,"&lt;&gt;0",'Degrémont Entrée'!$A$14:$A$379,"&gt;="&amp;B203,'Degrémont Entrée'!$A$14:$A$379,"&lt;="&amp;EOMONTH(B203,0))</f>
        <v>8131.1</v>
      </c>
      <c r="Q239" s="1283">
        <f t="shared" si="101"/>
        <v>290.3964285714286</v>
      </c>
      <c r="R239" s="1286" t="e">
        <f ca="1">MINIFS('Degrémont Entrée'!$S$14:$S$379,'Degrémont Entrée'!$S$14:$S$379,"&lt;&gt;0",'Degrémont Entrée'!$A$14:$A$379,"&gt;="&amp;B203,'Degrémont Entrée'!$A$14:$A$379,"&lt;="&amp;EOMONTH(B203,0))</f>
        <v>#NAME?</v>
      </c>
      <c r="S239" s="1286" t="e">
        <f ca="1">MAXIFS('Degrémont Entrée'!$S$14:$S$379,'Degrémont Entrée'!$S$14:$S$379,"&lt;&gt;0",'Degrémont Entrée'!$A$14:$A$379,"&gt;="&amp;B203,'Degrémont Entrée'!$A$14:$A$379,"&lt;="&amp;EOMONTH(B203,0))</f>
        <v>#NAME?</v>
      </c>
      <c r="T239" s="1141">
        <f>COUNTIFS('Degrémont Entrée'!$S$14:$S$379,"&gt;="&amp;N239,'Degrémont Entrée'!$A$14:$A$379,"&gt;="&amp;B203,'Degrémont Entrée'!$A$14:$A$379,"&lt;="&amp;EOMONTH(B203,0))</f>
        <v>8</v>
      </c>
      <c r="U239" s="1081">
        <f t="shared" si="105"/>
        <v>0.2857142857142857</v>
      </c>
      <c r="V239" s="1285"/>
      <c r="W239" s="1083">
        <f>Parametres!$T$43</f>
        <v>20</v>
      </c>
      <c r="X239" s="1142">
        <f>COUNTIFS('Degrémont sortie'!$M$14:$M$379,"&gt;0",'Degrémont sortie'!$A$14:$A$379,"&gt;="&amp;B203,'Degrémont sortie'!$A$14:$A$379,"&lt;="&amp;EOMONTH(B203,0))</f>
        <v>28</v>
      </c>
      <c r="Y239" s="1085">
        <f>SUMIFS('Degrémont sortie'!$M$14:$M$379,'Degrémont sortie'!$M$14:$M$379,"&lt;&gt;0",'Degrémont sortie'!$A$14:$A$379,"&gt;="&amp;B203,'Degrémont sortie'!$A$14:$A$379,"&lt;="&amp;EOMONTH(B203,0))</f>
        <v>27.52</v>
      </c>
      <c r="Z239" s="1069">
        <f t="shared" si="102"/>
        <v>0.98285714285714287</v>
      </c>
      <c r="AA239" s="1286" t="e">
        <f ca="1">MINIFS('Degrémont sortie'!$M$14:$M$379,'Degrémont sortie'!$M$14:$M$379,"&lt;&gt;0",'Degrémont sortie'!$A$14:$A$379,"&gt;="&amp;B203,'Degrémont sortie'!$A$14:$A$379,"&lt;="&amp;EOMONTH(B203,0))</f>
        <v>#NAME?</v>
      </c>
      <c r="AB239" s="1286" t="e">
        <f ca="1">MAXIFS('Degrémont sortie'!$M$14:$M$379,'Degrémont sortie'!$M$14:$M$379,"&lt;&gt;0",'Degrémont sortie'!$A$14:$A$379,"&gt;="&amp;B203,'Degrémont sortie'!$A$14:$A$379,"&lt;="&amp;EOMONTH(B203,0))</f>
        <v>#NAME?</v>
      </c>
      <c r="AC239" s="1141">
        <f>COUNTIFS('Degrémont sortie'!$M$14:$M$379,"&gt;="&amp;W239,'Degrémont sortie'!$A$14:$A$379,"&gt;="&amp;B203,'Degrémont sortie'!$A$14:$A$379,"&lt;="&amp;EOMONTH(B203,0))</f>
        <v>0</v>
      </c>
      <c r="AD239" s="1087">
        <f t="shared" si="106"/>
        <v>0</v>
      </c>
      <c r="AE239" s="1285"/>
      <c r="AF239" s="1293"/>
      <c r="AG239" s="1293"/>
      <c r="AH239" s="1293"/>
      <c r="AI239" s="1293"/>
      <c r="AJ239" s="1293"/>
      <c r="AK239" s="1285"/>
      <c r="AL239" s="1205" t="e">
        <f>COUNTIFS(#REF!,"&gt;0",#REF!,"&gt;="&amp;B203,#REF!,"&lt;="&amp;EOMONTH(B203,0))</f>
        <v>#REF!</v>
      </c>
      <c r="AM239" s="1208" t="e">
        <f>SUMIFS(#REF!,#REF!,"&lt;&gt;0",#REF!,"&gt;="&amp;B203,#REF!,"&lt;="&amp;EOMONTH(B203,0))</f>
        <v>#REF!</v>
      </c>
      <c r="AN239" s="1208" t="e">
        <f t="shared" ref="AN239:AN241" si="107">IF(AL239=0,0,AM239/AL239)</f>
        <v>#REF!</v>
      </c>
      <c r="AO239" s="1141" t="e">
        <f ca="1">MINIFS(#REF!,#REF!,"&lt;&gt;0",#REF!,"&gt;="&amp;B203,#REF!,"&lt;="&amp;EOMONTH(B203,0))</f>
        <v>#NAME?</v>
      </c>
      <c r="AP239" s="1141" t="e">
        <f ca="1">MAXIFS(#REF!,#REF!,"&lt;&gt;0",#REF!,"&gt;="&amp;B203,#REF!,"&lt;="&amp;EOMONTH(B203,0))</f>
        <v>#NAME?</v>
      </c>
      <c r="AQ239" s="1285"/>
      <c r="AR239" s="1293"/>
      <c r="AS239" s="1293"/>
      <c r="AT239" s="1293"/>
      <c r="AU239" s="1293"/>
      <c r="AV239" s="1293"/>
      <c r="AW239" s="1293"/>
      <c r="AX239" s="1294"/>
      <c r="AY239" s="1295"/>
      <c r="AZ239" s="1095" t="e">
        <f t="shared" si="103"/>
        <v>#REF!</v>
      </c>
      <c r="BA239" s="2"/>
    </row>
    <row r="240" spans="1:53" ht="15.75" hidden="1" customHeight="1" outlineLevel="1">
      <c r="A240" s="1027"/>
      <c r="B240" s="1096"/>
      <c r="C240" s="1139" t="s">
        <v>301</v>
      </c>
      <c r="D240" s="1102"/>
      <c r="E240" s="1069"/>
      <c r="F240" s="1069"/>
      <c r="G240" s="1069"/>
      <c r="H240" s="1069"/>
      <c r="I240" s="1069"/>
      <c r="J240" s="1102"/>
      <c r="K240" s="1102"/>
      <c r="L240" s="1281"/>
      <c r="M240" s="1289"/>
      <c r="N240" s="1290"/>
      <c r="O240" s="1290"/>
      <c r="P240" s="1286"/>
      <c r="Q240" s="1283"/>
      <c r="R240" s="1286"/>
      <c r="S240" s="1286"/>
      <c r="T240" s="1290"/>
      <c r="U240" s="1290"/>
      <c r="V240" s="1285"/>
      <c r="W240" s="1083">
        <f>Parametres!$T$44</f>
        <v>100000</v>
      </c>
      <c r="X240" s="1329">
        <f>COUNTIFS('Degrémont sortie'!$BA$14:$BA$379,"&gt;0",'Degrémont sortie'!$A$14:$A$379,"&gt;="&amp;B203,'Degrémont sortie'!$A$14:$A$379,"&lt;="&amp;EOMONTH(B203,0))</f>
        <v>28</v>
      </c>
      <c r="Y240" s="1286" t="e">
        <f>SUMIFS('Degrémont sortie'!$BA$14:$BA$379,'Degrémont sortie'!$BA$14:$BA$379,"&lt;&gt;0",'Degrémont sortie'!$A$14:$A$379,"&gt;="&amp;B203,'Degrémont sortie'!$A$14:$A$379,"&lt;="&amp;EOMONTH(B203,0))</f>
        <v>#DIV/0!</v>
      </c>
      <c r="Z240" s="1069" t="e">
        <f t="shared" si="102"/>
        <v>#DIV/0!</v>
      </c>
      <c r="AA240" s="1286" t="e">
        <f ca="1">MINIFS('Degrémont sortie'!$BA$14:$BA$379,'Degrémont sortie'!$BA$14:$BA$379,"&lt;&gt;0",'Degrémont sortie'!$A$14:$A$379,"&gt;="&amp;B203,'Degrémont sortie'!$A$14:$A$379,"&lt;="&amp;EOMONTH(B203,0))</f>
        <v>#NAME?</v>
      </c>
      <c r="AB240" s="1286" t="e">
        <f ca="1">MAXIFS('Degrémont sortie'!$BA$14:$BA$379,'Degrémont sortie'!$BA$14:$BA$379,"&lt;&gt;0",'Degrémont sortie'!$A$14:$A$379,"&gt;="&amp;B203,'Degrémont sortie'!$A$14:$A$379,"&lt;="&amp;EOMONTH(B203,0))</f>
        <v>#NAME?</v>
      </c>
      <c r="AC240" s="1213" t="s">
        <v>153</v>
      </c>
      <c r="AD240" s="1330" t="s">
        <v>153</v>
      </c>
      <c r="AE240" s="1285"/>
      <c r="AF240" s="1293"/>
      <c r="AG240" s="1293"/>
      <c r="AH240" s="1293"/>
      <c r="AI240" s="1293"/>
      <c r="AJ240" s="1293"/>
      <c r="AK240" s="1285"/>
      <c r="AL240" s="1205" t="e">
        <f>COUNTIFS(#REF!,"&gt;0",#REF!,"&gt;="&amp;B203,#REF!,"&lt;="&amp;EOMONTH(B203,0))</f>
        <v>#REF!</v>
      </c>
      <c r="AM240" s="1208" t="e">
        <f>SUMIFS(#REF!,#REF!,"&lt;&gt;0",#REF!,"&gt;="&amp;B203,#REF!,"&lt;="&amp;EOMONTH(B203,0))</f>
        <v>#REF!</v>
      </c>
      <c r="AN240" s="1208" t="e">
        <f t="shared" si="107"/>
        <v>#REF!</v>
      </c>
      <c r="AO240" s="1208" t="e">
        <f ca="1">MINIFS(#REF!,#REF!,"&lt;&gt;0",#REF!,"&gt;="&amp;B203,#REF!,"&lt;="&amp;EOMONTH(B203,0))</f>
        <v>#NAME?</v>
      </c>
      <c r="AP240" s="1208" t="e">
        <f ca="1">MAXIFS(#REF!,#REF!,"&lt;&gt;0",#REF!,"&gt;="&amp;B203,#REF!,"&lt;="&amp;EOMONTH(B203,0))</f>
        <v>#NAME?</v>
      </c>
      <c r="AQ240" s="1285"/>
      <c r="AR240" s="1293"/>
      <c r="AS240" s="1293"/>
      <c r="AT240" s="1293"/>
      <c r="AU240" s="1293"/>
      <c r="AV240" s="1293"/>
      <c r="AW240" s="1293"/>
      <c r="AX240" s="1294"/>
      <c r="AY240" s="1295"/>
      <c r="AZ240" s="1095" t="e">
        <f t="shared" si="103"/>
        <v>#REF!</v>
      </c>
      <c r="BA240" s="2"/>
    </row>
    <row r="241" spans="1:53" ht="15.75" hidden="1" customHeight="1" outlineLevel="1">
      <c r="A241" s="1027"/>
      <c r="B241" s="1096"/>
      <c r="C241" s="1139" t="s">
        <v>302</v>
      </c>
      <c r="D241" s="1102"/>
      <c r="E241" s="1069"/>
      <c r="F241" s="1069"/>
      <c r="G241" s="1069"/>
      <c r="H241" s="1069"/>
      <c r="I241" s="1069"/>
      <c r="J241" s="1102"/>
      <c r="K241" s="1102"/>
      <c r="L241" s="1281"/>
      <c r="M241" s="1289"/>
      <c r="N241" s="1290"/>
      <c r="O241" s="1290"/>
      <c r="P241" s="1286"/>
      <c r="Q241" s="1283"/>
      <c r="R241" s="1286"/>
      <c r="S241" s="1286"/>
      <c r="T241" s="1290"/>
      <c r="U241" s="1290"/>
      <c r="V241" s="1285"/>
      <c r="W241" s="1083">
        <f>Parametres!$T$45</f>
        <v>10000</v>
      </c>
      <c r="X241" s="1331">
        <f>COUNTIFS('Degrémont sortie'!BB$14:BB$379,"&gt;0",'Degrémont sortie'!$A$14:$A$379,"&gt;="&amp;B203,'Degrémont sortie'!$A$14:$A$379,"&lt;="&amp;EOMONTH(B203,0))</f>
        <v>28</v>
      </c>
      <c r="Y241" s="1286" t="e">
        <f>SUMIFS('Degrémont sortie'!$BB$14:$BB$379,'Degrémont sortie'!$BB$14:$BB$379,"&lt;&gt;0",'Degrémont sortie'!$A$14:$A$379,"&gt;="&amp;B203,'Degrémont sortie'!$A$14:$A$379,"&lt;="&amp;EOMONTH(B203,0))</f>
        <v>#DIV/0!</v>
      </c>
      <c r="Z241" s="1069" t="e">
        <f t="shared" si="102"/>
        <v>#DIV/0!</v>
      </c>
      <c r="AA241" s="1286" t="e">
        <f ca="1">MINIFS('Degrémont sortie'!$BB$14:$BB$379,'Degrémont sortie'!$BB$14:$BB$379,"&lt;&gt;0",'Degrémont sortie'!$A$14:$A$379,"&gt;="&amp;B203,'Degrémont sortie'!$A$14:$A$379,"&lt;="&amp;EOMONTH(B203,0))</f>
        <v>#NAME?</v>
      </c>
      <c r="AB241" s="1286" t="e">
        <f ca="1">MAXIFS('Degrémont sortie'!$BB$14:$BB$379,'Degrémont sortie'!$BB$14:$BB$379,"&lt;&gt;0",'Degrémont sortie'!$A$14:$A$379,"&gt;="&amp;B203,'Degrémont sortie'!$A$14:$A$379,"&lt;="&amp;EOMONTH(B203,0))</f>
        <v>#NAME?</v>
      </c>
      <c r="AC241" s="1213" t="s">
        <v>153</v>
      </c>
      <c r="AD241" s="1330" t="s">
        <v>153</v>
      </c>
      <c r="AE241" s="1285"/>
      <c r="AF241" s="1293"/>
      <c r="AG241" s="1293"/>
      <c r="AH241" s="1293"/>
      <c r="AI241" s="1293"/>
      <c r="AJ241" s="1293"/>
      <c r="AK241" s="1285"/>
      <c r="AL241" s="1205" t="e">
        <f>COUNTIFS(#REF!,"&gt;0",#REF!,"&gt;="&amp;B203,#REF!,"&lt;="&amp;EOMONTH(B203,0))</f>
        <v>#REF!</v>
      </c>
      <c r="AM241" s="1208" t="e">
        <f>SUMIFS(#REF!,#REF!,"&lt;&gt;0",#REF!,"&gt;="&amp;B203,#REF!,"&lt;="&amp;EOMONTH(B203,0))</f>
        <v>#REF!</v>
      </c>
      <c r="AN241" s="1208" t="e">
        <f t="shared" si="107"/>
        <v>#REF!</v>
      </c>
      <c r="AO241" s="1208" t="e">
        <f ca="1">MINIFS(#REF!,#REF!,"&lt;&gt;0",#REF!,"&gt;="&amp;B203,#REF!,"&lt;="&amp;EOMONTH(B203,0))</f>
        <v>#NAME?</v>
      </c>
      <c r="AP241" s="1208" t="e">
        <f ca="1">MAXIFS(#REF!,#REF!,"&lt;&gt;0",#REF!,"&gt;="&amp;B203,#REF!,"&lt;="&amp;EOMONTH(B203,0))</f>
        <v>#NAME?</v>
      </c>
      <c r="AQ241" s="1285"/>
      <c r="AR241" s="1293"/>
      <c r="AS241" s="1293"/>
      <c r="AT241" s="1293"/>
      <c r="AU241" s="1293"/>
      <c r="AV241" s="1293"/>
      <c r="AW241" s="1293"/>
      <c r="AX241" s="1294"/>
      <c r="AY241" s="1295"/>
      <c r="AZ241" s="1095" t="e">
        <f t="shared" si="103"/>
        <v>#REF!</v>
      </c>
      <c r="BA241" s="2"/>
    </row>
    <row r="242" spans="1:53" ht="15.75" hidden="1" customHeight="1" outlineLevel="1">
      <c r="A242" s="1027"/>
      <c r="B242" s="1096"/>
      <c r="C242" s="1139" t="s">
        <v>303</v>
      </c>
      <c r="D242" s="1102"/>
      <c r="E242" s="1069"/>
      <c r="F242" s="1069"/>
      <c r="G242" s="1069"/>
      <c r="H242" s="1069"/>
      <c r="I242" s="1069"/>
      <c r="J242" s="1102"/>
      <c r="K242" s="1102"/>
      <c r="L242" s="1281"/>
      <c r="M242" s="1289"/>
      <c r="N242" s="1290"/>
      <c r="O242" s="1290"/>
      <c r="P242" s="1286"/>
      <c r="Q242" s="1283"/>
      <c r="R242" s="1286"/>
      <c r="S242" s="1286"/>
      <c r="T242" s="1290"/>
      <c r="U242" s="1290"/>
      <c r="V242" s="1285"/>
      <c r="W242" s="1083">
        <f>Parametres!$T$46</f>
        <v>10000</v>
      </c>
      <c r="X242" s="1142">
        <f>COUNTIFS('Degrémont sortie'!$BC$14:$BC$379,"&gt;0",'Degrémont sortie'!$A$14:$A$379,"&gt;="&amp;B203,'Degrémont sortie'!$A$14:$A$379,"&lt;="&amp;EOMONTH(B203,0))</f>
        <v>28</v>
      </c>
      <c r="Y242" s="1085">
        <f>SUMIFS('Degrémont sortie'!$BC$14:$BC$379,'Degrémont sortie'!$BC$14:$BC$379,"&lt;&gt;0",'Degrémont sortie'!$A$14:$A$379,"&gt;="&amp;B203,'Degrémont sortie'!$A$14:$A$379,"&lt;="&amp;EOMONTH(B203,0))</f>
        <v>2779.1336864601712</v>
      </c>
      <c r="Z242" s="1069">
        <f t="shared" si="102"/>
        <v>99.254774516434694</v>
      </c>
      <c r="AA242" s="1286" t="e">
        <f ca="1">MINIFS('Degrémont sortie'!$BC$14:$BC$379,'Degrémont sortie'!$BC$14:$BC$379,"&lt;&gt;0",'Degrémont sortie'!$A$14:$A$379,"&gt;="&amp;B203,'Degrémont sortie'!$A$14:$A$379,"&lt;="&amp;EOMONTH(B203,0))</f>
        <v>#NAME?</v>
      </c>
      <c r="AB242" s="1286" t="e">
        <f ca="1">MAXIFS('Degrémont sortie'!$BC$14:$BC$379,'Degrémont sortie'!$BC$14:$BC$379,"&lt;&gt;0",'Degrémont sortie'!$A$14:$A$379,"&gt;="&amp;B203,'Degrémont sortie'!$A$14:$A$379,"&lt;="&amp;EOMONTH(B203,0))</f>
        <v>#NAME?</v>
      </c>
      <c r="AC242" s="1291" t="s">
        <v>153</v>
      </c>
      <c r="AD242" s="1292" t="s">
        <v>153</v>
      </c>
      <c r="AE242" s="1285"/>
      <c r="AF242" s="1293"/>
      <c r="AG242" s="1293"/>
      <c r="AH242" s="1293"/>
      <c r="AI242" s="1293"/>
      <c r="AJ242" s="1293"/>
      <c r="AK242" s="1285"/>
      <c r="AL242" s="1293"/>
      <c r="AM242" s="1293"/>
      <c r="AN242" s="1293"/>
      <c r="AO242" s="1293"/>
      <c r="AP242" s="1293"/>
      <c r="AQ242" s="1285"/>
      <c r="AR242" s="1293"/>
      <c r="AS242" s="1293"/>
      <c r="AT242" s="1293"/>
      <c r="AU242" s="1293"/>
      <c r="AV242" s="1293"/>
      <c r="AW242" s="1293"/>
      <c r="AX242" s="1294"/>
      <c r="AY242" s="1295"/>
      <c r="AZ242" s="1095">
        <f t="shared" si="103"/>
        <v>28</v>
      </c>
      <c r="BA242" s="2"/>
    </row>
    <row r="243" spans="1:53" ht="15.75" hidden="1" customHeight="1" outlineLevel="1">
      <c r="A243" s="1027"/>
      <c r="B243" s="1096"/>
      <c r="C243" s="1139" t="s">
        <v>338</v>
      </c>
      <c r="D243" s="1102"/>
      <c r="E243" s="1069"/>
      <c r="F243" s="1069"/>
      <c r="G243" s="1069"/>
      <c r="H243" s="1069"/>
      <c r="I243" s="1069"/>
      <c r="J243" s="1102"/>
      <c r="K243" s="1102"/>
      <c r="L243" s="1281"/>
      <c r="M243" s="1289"/>
      <c r="N243" s="1290"/>
      <c r="O243" s="1290"/>
      <c r="P243" s="1286"/>
      <c r="Q243" s="1283"/>
      <c r="R243" s="1286"/>
      <c r="S243" s="1286"/>
      <c r="T243" s="1290"/>
      <c r="U243" s="1290"/>
      <c r="V243" s="1285"/>
      <c r="W243" s="1293"/>
      <c r="X243" s="1293"/>
      <c r="Y243" s="1286"/>
      <c r="Z243" s="1286"/>
      <c r="AA243" s="1286"/>
      <c r="AB243" s="1286"/>
      <c r="AC243" s="1293"/>
      <c r="AD243" s="1249"/>
      <c r="AE243" s="1285"/>
      <c r="AF243" s="1293"/>
      <c r="AG243" s="1293"/>
      <c r="AH243" s="1293"/>
      <c r="AI243" s="1293"/>
      <c r="AJ243" s="1293"/>
      <c r="AK243" s="1285"/>
      <c r="AL243" s="1293"/>
      <c r="AM243" s="1293"/>
      <c r="AN243" s="1293"/>
      <c r="AO243" s="1293"/>
      <c r="AP243" s="1293"/>
      <c r="AQ243" s="1285"/>
      <c r="AR243" s="1293"/>
      <c r="AS243" s="1293"/>
      <c r="AT243" s="1293"/>
      <c r="AU243" s="1293"/>
      <c r="AV243" s="1293"/>
      <c r="AW243" s="1293"/>
      <c r="AX243" s="1294"/>
      <c r="AY243" s="1295"/>
      <c r="AZ243" s="1095">
        <f t="shared" si="103"/>
        <v>0</v>
      </c>
      <c r="BA243" s="2"/>
    </row>
    <row r="244" spans="1:53" ht="15.75" hidden="1" customHeight="1" outlineLevel="1">
      <c r="A244" s="1027"/>
      <c r="B244" s="1096"/>
      <c r="C244" s="1139" t="s">
        <v>339</v>
      </c>
      <c r="D244" s="1122">
        <f>Parametres!$D$48</f>
        <v>30</v>
      </c>
      <c r="E244" s="1068" t="e">
        <f>COUNTIFS(#REF!,"&gt;0",#REF!,"&gt;="&amp;B203,#REF!,"&lt;="&amp;EOMONTH(B203,0))</f>
        <v>#REF!</v>
      </c>
      <c r="F244" s="1069" t="e">
        <f>SUMIFS(#REF!,#REF!,"&lt;&gt;0",#REF!,"&gt;="&amp;B203,#REF!,"&lt;="&amp;EOMONTH(B203,0))</f>
        <v>#REF!</v>
      </c>
      <c r="G244" s="1069" t="e">
        <f t="shared" ref="G244:G248" si="108">IF(E244=0,0,F244/E244)</f>
        <v>#REF!</v>
      </c>
      <c r="H244" s="1069" t="e">
        <f ca="1">MINIFS(#REF!,#REF!,"&lt;&gt;0",#REF!,"&gt;="&amp;B203,#REF!,"&lt;="&amp;EOMONTH(B203,0))</f>
        <v>#NAME?</v>
      </c>
      <c r="I244" s="1069" t="e">
        <f ca="1">MAXIFS(#REF!,#REF!,"&lt;&gt;0",#REF!,"&gt;="&amp;B203,#REF!,"&lt;="&amp;EOMONTH(B203,0))</f>
        <v>#NAME?</v>
      </c>
      <c r="J244" s="1114" t="e">
        <f>COUNTIFS(#REF!,"&gt;="&amp;D244,#REF!,"&gt;="&amp;B203,#REF!,"&lt;="&amp;EOMONTH(B203,0))</f>
        <v>#REF!</v>
      </c>
      <c r="K244" s="1341" t="e">
        <f t="shared" ref="K244:K248" si="109">J244/E244</f>
        <v>#REF!</v>
      </c>
      <c r="L244" s="1281"/>
      <c r="M244" s="1289"/>
      <c r="N244" s="1290"/>
      <c r="O244" s="1290"/>
      <c r="P244" s="1286"/>
      <c r="Q244" s="1283"/>
      <c r="R244" s="1286"/>
      <c r="S244" s="1286"/>
      <c r="T244" s="1290"/>
      <c r="U244" s="1290"/>
      <c r="V244" s="1285"/>
      <c r="W244" s="1293"/>
      <c r="X244" s="1293"/>
      <c r="Y244" s="1286"/>
      <c r="Z244" s="1286"/>
      <c r="AA244" s="1286"/>
      <c r="AB244" s="1286"/>
      <c r="AC244" s="1293"/>
      <c r="AD244" s="1249"/>
      <c r="AE244" s="1285"/>
      <c r="AF244" s="1293"/>
      <c r="AG244" s="1293"/>
      <c r="AH244" s="1293"/>
      <c r="AI244" s="1293"/>
      <c r="AJ244" s="1293"/>
      <c r="AK244" s="1285"/>
      <c r="AL244" s="1293"/>
      <c r="AM244" s="1293"/>
      <c r="AN244" s="1293"/>
      <c r="AO244" s="1293"/>
      <c r="AP244" s="1293"/>
      <c r="AQ244" s="1285"/>
      <c r="AR244" s="1293"/>
      <c r="AS244" s="1293"/>
      <c r="AT244" s="1293"/>
      <c r="AU244" s="1293"/>
      <c r="AV244" s="1293"/>
      <c r="AW244" s="1293"/>
      <c r="AX244" s="1294"/>
      <c r="AY244" s="1295"/>
      <c r="AZ244" s="1095" t="e">
        <f t="shared" si="103"/>
        <v>#REF!</v>
      </c>
      <c r="BA244" s="2"/>
    </row>
    <row r="245" spans="1:53" ht="15.75" hidden="1" customHeight="1" outlineLevel="1">
      <c r="A245" s="1027"/>
      <c r="B245" s="1096"/>
      <c r="C245" s="1302" t="s">
        <v>24</v>
      </c>
      <c r="D245" s="1122">
        <f>Parametres!$D$50</f>
        <v>4</v>
      </c>
      <c r="E245" s="1068" t="e">
        <f>COUNTIFS(#REF!,"&gt;0",#REF!,"&gt;="&amp;B203,#REF!,"&lt;="&amp;EOMONTH(B203,0))</f>
        <v>#REF!</v>
      </c>
      <c r="F245" s="1069" t="e">
        <f>SUMIFS(#REF!,#REF!,"&lt;&gt;0",#REF!,"&gt;="&amp;B203,#REF!,"&lt;="&amp;EOMONTH(B203,0))</f>
        <v>#REF!</v>
      </c>
      <c r="G245" s="1069" t="e">
        <f t="shared" si="108"/>
        <v>#REF!</v>
      </c>
      <c r="H245" s="1069" t="e">
        <f ca="1">MINIFS(#REF!,#REF!,"&lt;&gt;0",#REF!,"&gt;="&amp;B203,#REF!,"&lt;="&amp;EOMONTH(B203,0))</f>
        <v>#NAME?</v>
      </c>
      <c r="I245" s="1069" t="e">
        <f ca="1">MAXIFS(#REF!,#REF!,"&lt;&gt;0",#REF!,"&gt;="&amp;B203,#REF!,"&lt;="&amp;EOMONTH(B203,0))</f>
        <v>#NAME?</v>
      </c>
      <c r="J245" s="1114" t="e">
        <f>COUNTIFS(#REF!,"&gt;="&amp;D245,#REF!,"&gt;="&amp;B203,#REF!,"&lt;="&amp;EOMONTH(B203,0))</f>
        <v>#REF!</v>
      </c>
      <c r="K245" s="1341" t="e">
        <f t="shared" si="109"/>
        <v>#REF!</v>
      </c>
      <c r="L245" s="1281"/>
      <c r="M245" s="1289"/>
      <c r="N245" s="1290"/>
      <c r="O245" s="1290"/>
      <c r="P245" s="1286"/>
      <c r="Q245" s="1283"/>
      <c r="R245" s="1286"/>
      <c r="S245" s="1286"/>
      <c r="T245" s="1290"/>
      <c r="U245" s="1290"/>
      <c r="V245" s="1285"/>
      <c r="W245" s="1293"/>
      <c r="X245" s="1293"/>
      <c r="Y245" s="1286"/>
      <c r="Z245" s="1286"/>
      <c r="AA245" s="1286"/>
      <c r="AB245" s="1286"/>
      <c r="AC245" s="1293"/>
      <c r="AD245" s="1249"/>
      <c r="AE245" s="1285"/>
      <c r="AF245" s="1293"/>
      <c r="AG245" s="1293"/>
      <c r="AH245" s="1293"/>
      <c r="AI245" s="1293"/>
      <c r="AJ245" s="1293"/>
      <c r="AK245" s="1285"/>
      <c r="AL245" s="1293"/>
      <c r="AM245" s="1293"/>
      <c r="AN245" s="1293"/>
      <c r="AO245" s="1293"/>
      <c r="AP245" s="1293"/>
      <c r="AQ245" s="1285"/>
      <c r="AR245" s="1293"/>
      <c r="AS245" s="1293"/>
      <c r="AT245" s="1293"/>
      <c r="AU245" s="1293"/>
      <c r="AV245" s="1293"/>
      <c r="AW245" s="1293"/>
      <c r="AX245" s="1294"/>
      <c r="AY245" s="1295"/>
      <c r="AZ245" s="1095" t="e">
        <f t="shared" si="103"/>
        <v>#REF!</v>
      </c>
      <c r="BA245" s="2"/>
    </row>
    <row r="246" spans="1:53" ht="15.75" hidden="1" customHeight="1" outlineLevel="1">
      <c r="A246" s="1027"/>
      <c r="B246" s="1096"/>
      <c r="C246" s="1302" t="s">
        <v>168</v>
      </c>
      <c r="D246" s="1122" t="e">
        <f>#REF!</f>
        <v>#REF!</v>
      </c>
      <c r="E246" s="1068" t="e">
        <f>COUNTIFS(#REF!,"&gt;0",#REF!,"&gt;="&amp;B203,#REF!,"&lt;="&amp;EOMONTH(B203,0))</f>
        <v>#REF!</v>
      </c>
      <c r="F246" s="1069" t="e">
        <f>SUMIFS(#REF!,#REF!,"&lt;&gt;0",#REF!,"&gt;="&amp;B203,#REF!,"&lt;="&amp;EOMONTH(B203,0))</f>
        <v>#REF!</v>
      </c>
      <c r="G246" s="1069" t="e">
        <f t="shared" si="108"/>
        <v>#REF!</v>
      </c>
      <c r="H246" s="1069" t="e">
        <f ca="1">MINIFS(#REF!,#REF!,"&lt;&gt;0",#REF!,"&gt;="&amp;B203,#REF!,"&lt;="&amp;EOMONTH(B203,0))</f>
        <v>#NAME?</v>
      </c>
      <c r="I246" s="1069" t="e">
        <f ca="1">MAXIFS(#REF!,#REF!,"&lt;&gt;0",#REF!,"&gt;="&amp;B203,#REF!,"&lt;="&amp;EOMONTH(B203,0))</f>
        <v>#NAME?</v>
      </c>
      <c r="J246" s="1072" t="e">
        <f>COUNTIFS(#REF!,"&gt;="&amp;D246,#REF!,"&gt;="&amp;B203,#REF!,"&lt;="&amp;EOMONTH(B203,0))</f>
        <v>#REF!</v>
      </c>
      <c r="K246" s="1341" t="e">
        <f t="shared" si="109"/>
        <v>#REF!</v>
      </c>
      <c r="L246" s="1281"/>
      <c r="M246" s="1289"/>
      <c r="N246" s="1290"/>
      <c r="O246" s="1290"/>
      <c r="P246" s="1286"/>
      <c r="Q246" s="1283"/>
      <c r="R246" s="1286"/>
      <c r="S246" s="1286"/>
      <c r="T246" s="1290"/>
      <c r="U246" s="1290"/>
      <c r="V246" s="1285"/>
      <c r="W246" s="1293"/>
      <c r="X246" s="1293"/>
      <c r="Y246" s="1286"/>
      <c r="Z246" s="1286"/>
      <c r="AA246" s="1286"/>
      <c r="AB246" s="1286"/>
      <c r="AC246" s="1293"/>
      <c r="AD246" s="1249"/>
      <c r="AE246" s="1285"/>
      <c r="AF246" s="1293"/>
      <c r="AG246" s="1293"/>
      <c r="AH246" s="1293"/>
      <c r="AI246" s="1293"/>
      <c r="AJ246" s="1293"/>
      <c r="AK246" s="1285"/>
      <c r="AL246" s="1293"/>
      <c r="AM246" s="1293"/>
      <c r="AN246" s="1293"/>
      <c r="AO246" s="1293"/>
      <c r="AP246" s="1293"/>
      <c r="AQ246" s="1285"/>
      <c r="AR246" s="1293"/>
      <c r="AS246" s="1293"/>
      <c r="AT246" s="1293"/>
      <c r="AU246" s="1293"/>
      <c r="AV246" s="1293"/>
      <c r="AW246" s="1293"/>
      <c r="AX246" s="1294"/>
      <c r="AY246" s="1295"/>
      <c r="AZ246" s="1095" t="e">
        <f t="shared" si="103"/>
        <v>#REF!</v>
      </c>
      <c r="BA246" s="2"/>
    </row>
    <row r="247" spans="1:53" ht="15.75" hidden="1" customHeight="1" outlineLevel="1">
      <c r="A247" s="1027"/>
      <c r="B247" s="1096"/>
      <c r="C247" s="1302" t="s">
        <v>25</v>
      </c>
      <c r="D247" s="1122">
        <f>Parametres!$D$51</f>
        <v>1.5</v>
      </c>
      <c r="E247" s="1068" t="e">
        <f>COUNTIFS(#REF!,"&gt;0",#REF!,"&gt;="&amp;B203,#REF!,"&lt;="&amp;EOMONTH(B203,0))</f>
        <v>#REF!</v>
      </c>
      <c r="F247" s="1069" t="e">
        <f>SUMIFS(#REF!,#REF!,"&lt;&gt;0",#REF!,"&gt;="&amp;B203,#REF!,"&lt;="&amp;EOMONTH(B203,0))</f>
        <v>#REF!</v>
      </c>
      <c r="G247" s="1069" t="e">
        <f t="shared" si="108"/>
        <v>#REF!</v>
      </c>
      <c r="H247" s="1069" t="e">
        <f ca="1">MINIFS(#REF!,#REF!,"&lt;&gt;0",#REF!,"&gt;="&amp;B203,#REF!,"&lt;="&amp;EOMONTH(B203,0))</f>
        <v>#NAME?</v>
      </c>
      <c r="I247" s="1069" t="e">
        <f ca="1">MAXIFS(#REF!,#REF!,"&lt;&gt;0",#REF!,"&gt;="&amp;B203,#REF!,"&lt;="&amp;EOMONTH(B203,0))</f>
        <v>#NAME?</v>
      </c>
      <c r="J247" s="1114" t="e">
        <f>COUNTIFS(#REF!,"&gt;="&amp;D247,#REF!,"&gt;="&amp;B203,#REF!,"&lt;="&amp;EOMONTH(B203,0))</f>
        <v>#REF!</v>
      </c>
      <c r="K247" s="1341" t="e">
        <f t="shared" si="109"/>
        <v>#REF!</v>
      </c>
      <c r="L247" s="1281"/>
      <c r="M247" s="1289"/>
      <c r="N247" s="1290"/>
      <c r="O247" s="1290"/>
      <c r="P247" s="1286"/>
      <c r="Q247" s="1283"/>
      <c r="R247" s="1286"/>
      <c r="S247" s="1286"/>
      <c r="T247" s="1290"/>
      <c r="U247" s="1290"/>
      <c r="V247" s="1285"/>
      <c r="W247" s="1293"/>
      <c r="X247" s="1293"/>
      <c r="Y247" s="1286"/>
      <c r="Z247" s="1286"/>
      <c r="AA247" s="1286"/>
      <c r="AB247" s="1286"/>
      <c r="AC247" s="1293"/>
      <c r="AD247" s="1249"/>
      <c r="AE247" s="1285"/>
      <c r="AF247" s="1293"/>
      <c r="AG247" s="1293"/>
      <c r="AH247" s="1293"/>
      <c r="AI247" s="1293"/>
      <c r="AJ247" s="1293"/>
      <c r="AK247" s="1285"/>
      <c r="AL247" s="1293"/>
      <c r="AM247" s="1293"/>
      <c r="AN247" s="1293"/>
      <c r="AO247" s="1293"/>
      <c r="AP247" s="1293"/>
      <c r="AQ247" s="1285"/>
      <c r="AR247" s="1293"/>
      <c r="AS247" s="1293"/>
      <c r="AT247" s="1293"/>
      <c r="AU247" s="1293"/>
      <c r="AV247" s="1293"/>
      <c r="AW247" s="1293"/>
      <c r="AX247" s="1294"/>
      <c r="AY247" s="1295"/>
      <c r="AZ247" s="1095" t="e">
        <f t="shared" si="103"/>
        <v>#REF!</v>
      </c>
      <c r="BA247" s="2"/>
    </row>
    <row r="248" spans="1:53" ht="15.75" hidden="1" customHeight="1" outlineLevel="1">
      <c r="A248" s="1027"/>
      <c r="B248" s="1332"/>
      <c r="C248" s="1139" t="s">
        <v>47</v>
      </c>
      <c r="D248" s="1122">
        <f>Parametres!$D$52</f>
        <v>2</v>
      </c>
      <c r="E248" s="1068" t="e">
        <f>COUNTIFS(#REF!,"&gt;0",#REF!,"&gt;="&amp;B203,#REF!,"&lt;="&amp;EOMONTH(B203,0))</f>
        <v>#REF!</v>
      </c>
      <c r="F248" s="1069" t="e">
        <f>SUMIFS(#REF!,#REF!,"&lt;&gt;0",#REF!,"&gt;="&amp;B203,#REF!,"&lt;="&amp;EOMONTH(B203,0))</f>
        <v>#REF!</v>
      </c>
      <c r="G248" s="1069" t="e">
        <f t="shared" si="108"/>
        <v>#REF!</v>
      </c>
      <c r="H248" s="1069" t="e">
        <f ca="1">MINIFS(#REF!,#REF!,"&lt;&gt;0",#REF!,"&gt;="&amp;B203,#REF!,"&lt;="&amp;EOMONTH(B203,0))</f>
        <v>#NAME?</v>
      </c>
      <c r="I248" s="1069" t="e">
        <f ca="1">MAXIFS(#REF!,#REF!,"&lt;&gt;0",#REF!,"&gt;="&amp;B203,#REF!,"&lt;="&amp;EOMONTH(B203,0))</f>
        <v>#NAME?</v>
      </c>
      <c r="J248" s="1072" t="e">
        <f>COUNTIFS(#REF!,"&gt;="&amp;D248,#REF!,"&gt;="&amp;B203,#REF!,"&lt;="&amp;EOMONTH(B203,0))</f>
        <v>#REF!</v>
      </c>
      <c r="K248" s="1341" t="e">
        <f t="shared" si="109"/>
        <v>#REF!</v>
      </c>
      <c r="L248" s="1281"/>
      <c r="M248" s="1289"/>
      <c r="N248" s="1144">
        <f>Parametres!$L$52</f>
        <v>90</v>
      </c>
      <c r="O248" s="1077">
        <f>COUNTIFS('Degrémont Entrée'!$AY$14:$AY$379,"&gt;0",'Degrémont Entrée'!$A$14:$A$379,"&gt;="&amp;B203,'Degrémont Entrée'!$A$14:$A$379,"&lt;="&amp;EOMONTH(B203,0))</f>
        <v>4</v>
      </c>
      <c r="P248" s="1078">
        <f>SUMIFS('Degrémont Entrée'!$AY$14:$AY$379,'Degrémont Entrée'!$AY$14:$AY$379,"&lt;&gt;0",'Degrémont Entrée'!$A$14:$A$379,"&gt;="&amp;B203,'Degrémont Entrée'!$A$14:$A$379,"&lt;="&amp;EOMONTH(B203,0))</f>
        <v>1297.8799999999999</v>
      </c>
      <c r="Q248" s="1283">
        <f>IF(O248=0,0,P248/O248)</f>
        <v>324.46999999999997</v>
      </c>
      <c r="R248" s="1286" t="e">
        <f ca="1">MINIFS('Degrémont Entrée'!$AY$14:$AY$379,'Degrémont Entrée'!$AY$14:$AY$379,"&lt;&gt;0",'Degrémont Entrée'!$A$14:$A$379,"&gt;="&amp;B203,'Degrémont Entrée'!$A$14:$A$379,"&lt;="&amp;EOMONTH(B203,0))</f>
        <v>#NAME?</v>
      </c>
      <c r="S248" s="1286" t="e">
        <f ca="1">MAXIFS('Degrémont Entrée'!$AY$14:$AY$379,'Degrémont Entrée'!$AY$14:$AY$379,"&lt;&gt;0",'Degrémont Entrée'!$A$14:$A$379,"&gt;="&amp;B203,'Degrémont Entrée'!$A$14:$A$379,"&lt;="&amp;EOMONTH(B203,0))</f>
        <v>#NAME?</v>
      </c>
      <c r="T248" s="1141">
        <f>COUNTIFS('Degrémont Entrée'!$AY$14:$AY$379,"&gt;="&amp;N248,'Degrémont Entrée'!$A$14:$A$379,"&gt;="&amp;B203,'Degrémont Entrée'!$A$14:$A$379,"&lt;="&amp;EOMONTH(B203,0))</f>
        <v>4</v>
      </c>
      <c r="U248" s="1081">
        <f>T248/O248</f>
        <v>1</v>
      </c>
      <c r="V248" s="1285"/>
      <c r="W248" s="1083">
        <f>Parametres!$T$52</f>
        <v>0.64</v>
      </c>
      <c r="X248" s="1142">
        <f>COUNTIFS('Degrémont sortie'!$AS$14:$AS$379,"&gt;0",'Degrémont sortie'!$A$14:$A$379,"&gt;="&amp;B203,'Degrémont sortie'!$A$14:$A$379,"&lt;="&amp;EOMONTH(B203,0))</f>
        <v>7</v>
      </c>
      <c r="Y248" s="1085">
        <f>SUMIFS('Degrémont sortie'!$AS$14:$AS$379,'Degrémont sortie'!$AS$14:$AS$379,"&lt;&gt;0",'Degrémont sortie'!$A$14:$A$379,"&gt;="&amp;B203,'Degrémont sortie'!$A$14:$A$379,"&lt;="&amp;EOMONTH(B203,0))</f>
        <v>26.62</v>
      </c>
      <c r="Z248" s="1069">
        <f>IF(X248=0,0,Y248/X248)</f>
        <v>3.8028571428571429</v>
      </c>
      <c r="AA248" s="1286" t="e">
        <f ca="1">MINIFS('Degrémont sortie'!$AS$14:$AS$379,'Degrémont sortie'!$AS$14:$AS$379,"&lt;&gt;0",'Degrémont sortie'!$A$14:$A$379,"&gt;="&amp;B203,'Degrémont sortie'!$A$14:$A$379,"&lt;="&amp;EOMONTH(B203,0))</f>
        <v>#NAME?</v>
      </c>
      <c r="AB248" s="1286" t="e">
        <f ca="1">MAXIFS('Degrémont sortie'!$AS$14:$AS$379,'Degrémont sortie'!$AS$14:$AS$379,"&lt;&gt;0",'Degrémont sortie'!$A$14:$A$379,"&gt;="&amp;B203,'Degrémont sortie'!$A$14:$A$379,"&lt;="&amp;EOMONTH(B203,0))</f>
        <v>#NAME?</v>
      </c>
      <c r="AC248" s="1141">
        <f>COUNTIFS('Degrémont sortie'!$AS$14:$AS$379,"&gt;="&amp;W248,'Degrémont sortie'!$A$14:$A$379,"&gt;="&amp;B203,'Degrémont sortie'!$A$14:$A$379,"&lt;="&amp;EOMONTH(B203,0))</f>
        <v>4</v>
      </c>
      <c r="AD248" s="1087">
        <f>AC248/X248</f>
        <v>0.5714285714285714</v>
      </c>
      <c r="AE248" s="1285"/>
      <c r="AF248" s="1293"/>
      <c r="AG248" s="1293"/>
      <c r="AH248" s="1293"/>
      <c r="AI248" s="1293"/>
      <c r="AJ248" s="1293"/>
      <c r="AK248" s="1285"/>
      <c r="AL248" s="1293"/>
      <c r="AM248" s="1293"/>
      <c r="AN248" s="1293"/>
      <c r="AO248" s="1293"/>
      <c r="AP248" s="1293"/>
      <c r="AQ248" s="1285"/>
      <c r="AR248" s="1293"/>
      <c r="AS248" s="1293"/>
      <c r="AT248" s="1293"/>
      <c r="AU248" s="1293"/>
      <c r="AV248" s="1293"/>
      <c r="AW248" s="1293"/>
      <c r="AX248" s="1294"/>
      <c r="AY248" s="1295"/>
      <c r="AZ248" s="1095" t="e">
        <f t="shared" si="103"/>
        <v>#REF!</v>
      </c>
      <c r="BA248" s="2"/>
    </row>
    <row r="249" spans="1:53" ht="15.75" customHeight="1" collapsed="1">
      <c r="A249" s="1027"/>
      <c r="B249" s="1033"/>
      <c r="C249" s="2"/>
      <c r="D249" s="2"/>
      <c r="E249" s="1034"/>
      <c r="F249" s="1034"/>
      <c r="G249" s="1035"/>
      <c r="H249" s="1034"/>
      <c r="I249" s="1034"/>
      <c r="J249" s="2"/>
      <c r="K249" s="2"/>
      <c r="L249" s="2"/>
      <c r="M249" s="2"/>
      <c r="N249" s="2"/>
      <c r="O249" s="2"/>
      <c r="P249" s="1034"/>
      <c r="Q249" s="1034"/>
      <c r="R249" s="1034"/>
      <c r="S249" s="1034"/>
      <c r="T249" s="2"/>
      <c r="U249" s="2"/>
      <c r="V249" s="2"/>
      <c r="W249" s="2"/>
      <c r="X249" s="2"/>
      <c r="Y249" s="1034"/>
      <c r="Z249" s="1034"/>
      <c r="AA249" s="1034"/>
      <c r="AB249" s="1034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</row>
    <row r="250" spans="1:53" ht="15.75" hidden="1" customHeight="1" outlineLevel="1">
      <c r="A250" s="1027"/>
      <c r="B250" s="1033"/>
      <c r="C250" s="2"/>
      <c r="D250" s="1039"/>
      <c r="E250" s="1555" t="s">
        <v>283</v>
      </c>
      <c r="F250" s="1420"/>
      <c r="G250" s="1420"/>
      <c r="H250" s="1420"/>
      <c r="I250" s="1420"/>
      <c r="J250" s="1420"/>
      <c r="K250" s="1420"/>
      <c r="L250" s="1421"/>
      <c r="M250" s="1045"/>
      <c r="N250" s="1333"/>
      <c r="O250" s="1550" t="s">
        <v>288</v>
      </c>
      <c r="P250" s="1420"/>
      <c r="Q250" s="1420"/>
      <c r="R250" s="1420"/>
      <c r="S250" s="1420"/>
      <c r="T250" s="1421"/>
      <c r="U250" s="1334"/>
      <c r="V250" s="1046"/>
      <c r="W250" s="1335"/>
      <c r="X250" s="1549" t="s">
        <v>289</v>
      </c>
      <c r="Y250" s="1517"/>
      <c r="Z250" s="1517"/>
      <c r="AA250" s="1517"/>
      <c r="AB250" s="1517"/>
      <c r="AC250" s="1514"/>
      <c r="AD250" s="1335"/>
      <c r="AE250" s="1046"/>
      <c r="AF250" s="1549" t="s">
        <v>199</v>
      </c>
      <c r="AG250" s="1517"/>
      <c r="AH250" s="1517"/>
      <c r="AI250" s="1517"/>
      <c r="AJ250" s="1514"/>
      <c r="AK250" s="1046"/>
      <c r="AL250" s="1549" t="s">
        <v>200</v>
      </c>
      <c r="AM250" s="1517"/>
      <c r="AN250" s="1517"/>
      <c r="AO250" s="1517"/>
      <c r="AP250" s="1514"/>
      <c r="AQ250" s="1046"/>
      <c r="AR250" s="1335"/>
      <c r="AS250" s="1549" t="s">
        <v>290</v>
      </c>
      <c r="AT250" s="1517"/>
      <c r="AU250" s="1517"/>
      <c r="AV250" s="1517"/>
      <c r="AW250" s="1517"/>
      <c r="AX250" s="1514"/>
      <c r="AY250" s="1027"/>
      <c r="AZ250" s="2"/>
      <c r="BA250" s="2"/>
    </row>
    <row r="251" spans="1:53" ht="15.75" hidden="1" customHeight="1" outlineLevel="1">
      <c r="A251" s="1027"/>
      <c r="B251" s="1033"/>
      <c r="C251" s="2"/>
      <c r="D251" s="1343" t="s">
        <v>291</v>
      </c>
      <c r="E251" s="1048" t="s">
        <v>292</v>
      </c>
      <c r="F251" s="1049" t="s">
        <v>293</v>
      </c>
      <c r="G251" s="1050" t="s">
        <v>294</v>
      </c>
      <c r="H251" s="1049" t="s">
        <v>295</v>
      </c>
      <c r="I251" s="1051" t="s">
        <v>296</v>
      </c>
      <c r="J251" s="1063" t="s">
        <v>297</v>
      </c>
      <c r="K251" s="1337" t="s">
        <v>216</v>
      </c>
      <c r="L251" s="1338" t="s">
        <v>298</v>
      </c>
      <c r="M251" s="1055"/>
      <c r="N251" s="1056" t="s">
        <v>291</v>
      </c>
      <c r="O251" s="1057" t="s">
        <v>292</v>
      </c>
      <c r="P251" s="1051" t="s">
        <v>293</v>
      </c>
      <c r="Q251" s="1058" t="s">
        <v>294</v>
      </c>
      <c r="R251" s="1051" t="s">
        <v>295</v>
      </c>
      <c r="S251" s="1051" t="s">
        <v>296</v>
      </c>
      <c r="T251" s="1059" t="s">
        <v>299</v>
      </c>
      <c r="U251" s="1060" t="s">
        <v>216</v>
      </c>
      <c r="V251" s="1055"/>
      <c r="W251" s="1056" t="s">
        <v>291</v>
      </c>
      <c r="X251" s="1057" t="s">
        <v>292</v>
      </c>
      <c r="Y251" s="1051" t="s">
        <v>293</v>
      </c>
      <c r="Z251" s="1058" t="s">
        <v>294</v>
      </c>
      <c r="AA251" s="1051" t="s">
        <v>295</v>
      </c>
      <c r="AB251" s="1051" t="s">
        <v>296</v>
      </c>
      <c r="AC251" s="1059" t="s">
        <v>299</v>
      </c>
      <c r="AD251" s="1060" t="s">
        <v>216</v>
      </c>
      <c r="AE251" s="1055"/>
      <c r="AF251" s="1057" t="s">
        <v>292</v>
      </c>
      <c r="AG251" s="1061" t="s">
        <v>293</v>
      </c>
      <c r="AH251" s="1062" t="s">
        <v>294</v>
      </c>
      <c r="AI251" s="1061" t="s">
        <v>295</v>
      </c>
      <c r="AJ251" s="1061" t="s">
        <v>296</v>
      </c>
      <c r="AK251" s="1055"/>
      <c r="AL251" s="1057" t="s">
        <v>292</v>
      </c>
      <c r="AM251" s="1061" t="s">
        <v>293</v>
      </c>
      <c r="AN251" s="1062" t="s">
        <v>294</v>
      </c>
      <c r="AO251" s="1061" t="s">
        <v>295</v>
      </c>
      <c r="AP251" s="1061" t="s">
        <v>296</v>
      </c>
      <c r="AQ251" s="1055"/>
      <c r="AR251" s="1056" t="s">
        <v>291</v>
      </c>
      <c r="AS251" s="1057" t="s">
        <v>292</v>
      </c>
      <c r="AT251" s="1061" t="s">
        <v>293</v>
      </c>
      <c r="AU251" s="1062" t="s">
        <v>294</v>
      </c>
      <c r="AV251" s="1061" t="s">
        <v>295</v>
      </c>
      <c r="AW251" s="1061" t="s">
        <v>296</v>
      </c>
      <c r="AX251" s="1059" t="s">
        <v>299</v>
      </c>
      <c r="AY251" s="1340" t="s">
        <v>216</v>
      </c>
      <c r="AZ251" s="1065" t="s">
        <v>300</v>
      </c>
      <c r="BA251" s="2"/>
    </row>
    <row r="252" spans="1:53" ht="15.75" hidden="1" customHeight="1" outlineLevel="1">
      <c r="A252" s="1027"/>
      <c r="B252" s="54">
        <v>43617</v>
      </c>
      <c r="C252" s="1066" t="s">
        <v>43</v>
      </c>
      <c r="D252" s="1067">
        <f>Parametres!$D$5</f>
        <v>5</v>
      </c>
      <c r="E252" s="1068" t="e">
        <f>COUNTIFS(#REF!,"&gt;0",#REF!,"&gt;="&amp;B252,#REF!,"&lt;="&amp;EOMONTH(B252,0))</f>
        <v>#REF!</v>
      </c>
      <c r="F252" s="1069" t="e">
        <f>SUMIFS(#REF!,#REF!,"&lt;&gt;0",#REF!,"&gt;="&amp;B252,#REF!,"&lt;="&amp;EOMONTH(B252,0))</f>
        <v>#REF!</v>
      </c>
      <c r="G252" s="1069" t="e">
        <f t="shared" ref="G252:G288" si="110">IF(E252=0,0,F252/E252)</f>
        <v>#REF!</v>
      </c>
      <c r="H252" s="1070" t="e">
        <f ca="1">MINIFS(#REF!,#REF!,"&lt;&gt;0",#REF!,"&gt;="&amp;B252,#REF!,"&lt;="&amp;EOMONTH(B252,0))</f>
        <v>#NAME?</v>
      </c>
      <c r="I252" s="1071" t="e">
        <f ca="1">MAXIFS(#REF!,#REF!,"&lt;&gt;0",#REF!,"&gt;="&amp;B252,#REF!,"&lt;="&amp;EOMONTH(B252,0))</f>
        <v>#NAME?</v>
      </c>
      <c r="J252" s="1072" t="e">
        <f>COUNTIFS(#REF!,"&gt;="&amp;D252,#REF!,"&gt;="&amp;B252,#REF!,"&lt;="&amp;EOMONTH(B252,0))</f>
        <v>#REF!</v>
      </c>
      <c r="K252" s="1341" t="e">
        <f t="shared" ref="K252:K265" si="111">J252/E252</f>
        <v>#REF!</v>
      </c>
      <c r="L252" s="1074"/>
      <c r="M252" s="1075"/>
      <c r="N252" s="1076">
        <f>Parametres!$L$5</f>
        <v>50</v>
      </c>
      <c r="O252" s="1077">
        <f>COUNTIFS('Degrémont Entrée'!$AM$14:$AM$379,"&gt;0",'Degrémont Entrée'!$A$14:$A$379,"&gt;="&amp;B252,'Degrémont Entrée'!$A$14:$A$379,"&lt;="&amp;EOMONTH(B252,0))</f>
        <v>2</v>
      </c>
      <c r="P252" s="1078">
        <f>SUMIFS('Degrémont Entrée'!$AM$14:$AM$379,'Degrémont Entrée'!$AM$14:$AM$379,"&lt;&gt;0",'Degrémont Entrée'!$A$14:$A$379,"&gt;="&amp;B252,'Degrémont Entrée'!$A$14:$A$379,"&lt;="&amp;EOMONTH(B252,0))</f>
        <v>41</v>
      </c>
      <c r="Q252" s="1078">
        <f>IF(O252=0,0,P252/O252)</f>
        <v>20.5</v>
      </c>
      <c r="R252" s="1079" t="e">
        <f ca="1">MINIFS('Degrémont Entrée'!$AM$14:$AM$379,'Degrémont Entrée'!$AM$14:$AM$379,"&lt;&gt;0",'Degrémont Entrée'!$A$14:$A$379,"&gt;="&amp;B252,'Degrémont Entrée'!$A$14:$A$379,"&lt;="&amp;EOMONTH(B252,0))</f>
        <v>#NAME?</v>
      </c>
      <c r="S252" s="1078" t="e">
        <f ca="1">MAXIFS('Degrémont Entrée'!$AM$14:$AM$379,'Degrémont Entrée'!$AM$14:$AM$379,"&lt;&gt;0",'Degrémont Entrée'!$A$14:$A$379,"&gt;="&amp;B252,'Degrémont Entrée'!$A$14:$A$379,"&lt;="&amp;EOMONTH(B252,0))</f>
        <v>#NAME?</v>
      </c>
      <c r="T252" s="1080">
        <f>COUNTIFS('Degrémont Entrée'!$AM$14:$AM$379,"&gt;="&amp;N252,'Degrémont Entrée'!$A$14:$A$379,"&gt;="&amp;B252,'Degrémont Entrée'!$A$14:$A$379,"&lt;="&amp;EOMONTH(B252,0))</f>
        <v>0</v>
      </c>
      <c r="U252" s="1081">
        <f>T252/O252</f>
        <v>0</v>
      </c>
      <c r="V252" s="1082"/>
      <c r="W252" s="1083">
        <f>Parametres!$T$5</f>
        <v>3</v>
      </c>
      <c r="X252" s="1084">
        <f>COUNTIFS('Degrémont sortie'!$AG$14:$AG$379,"&gt;0",'Degrémont sortie'!$A$14:$A$379,"&gt;="&amp;B252,'Degrémont sortie'!$A$14:$A$379,"&lt;="&amp;EOMONTH(B252,0))</f>
        <v>4</v>
      </c>
      <c r="Y252" s="1085">
        <f>SUMIFS('Degrémont sortie'!$AG$14:$AG$379,'Degrémont sortie'!$AG$14:$AG$379,"&lt;&gt;0",'Degrémont sortie'!$A$14:$A$379,"&gt;="&amp;B252,'Degrémont sortie'!$A$14:$A$379,"&lt;="&amp;EOMONTH(B252,0))</f>
        <v>1.81</v>
      </c>
      <c r="Z252" s="1085">
        <f>IF(X252=0,0,Y252/X252)</f>
        <v>0.45250000000000001</v>
      </c>
      <c r="AA252" s="1085" t="e">
        <f ca="1">MINIFS('Degrémont sortie'!$AG$14:$AG$379,'Degrémont sortie'!$AG$14:$AG$379,"&lt;&gt;0",'Degrémont sortie'!$A$14:$A$379,"&gt;="&amp;B252,'Degrémont sortie'!$A$14:$A$379,"&lt;="&amp;EOMONTH(B252,0))</f>
        <v>#NAME?</v>
      </c>
      <c r="AB252" s="1085" t="e">
        <f ca="1">MAXIFS('Degrémont sortie'!$AG$14:$AG$379,'Degrémont sortie'!$AG$14:$AG$379,"&lt;&gt;0",'Degrémont sortie'!$A$14:$A$379,"&gt;="&amp;B252,'Degrémont sortie'!$A$14:$A$379,"&lt;="&amp;EOMONTH(B252,0))</f>
        <v>#NAME?</v>
      </c>
      <c r="AC252" s="1086">
        <f>COUNTIFS('Degrémont sortie'!$AG$14:$AG$379,"&gt;="&amp;W252,'Degrémont sortie'!$A$14:$A$379,"&gt;="&amp;B252,'Degrémont sortie'!$A$14:$A$379,"&lt;="&amp;EOMONTH(B252,0))</f>
        <v>0</v>
      </c>
      <c r="AD252" s="1087">
        <f>AC252/X252</f>
        <v>0</v>
      </c>
      <c r="AE252" s="1088"/>
      <c r="AF252" s="1089"/>
      <c r="AG252" s="1090"/>
      <c r="AH252" s="1090"/>
      <c r="AI252" s="1090"/>
      <c r="AJ252" s="1090"/>
      <c r="AK252" s="1088"/>
      <c r="AL252" s="1089"/>
      <c r="AM252" s="1090"/>
      <c r="AN252" s="1090"/>
      <c r="AO252" s="1090"/>
      <c r="AP252" s="1090"/>
      <c r="AQ252" s="1088"/>
      <c r="AR252" s="1091"/>
      <c r="AS252" s="1089"/>
      <c r="AT252" s="1090"/>
      <c r="AU252" s="1090"/>
      <c r="AV252" s="1090"/>
      <c r="AW252" s="1092"/>
      <c r="AX252" s="1093"/>
      <c r="AY252" s="1094"/>
      <c r="AZ252" s="1095" t="e">
        <f t="shared" ref="AZ252:AZ283" si="112">SUM(E252+O252+X252+AF252+AL252+AS252)</f>
        <v>#REF!</v>
      </c>
      <c r="BA252" s="2"/>
    </row>
    <row r="253" spans="1:53" ht="15.75" hidden="1" customHeight="1" outlineLevel="1">
      <c r="A253" s="1027"/>
      <c r="B253" s="1096"/>
      <c r="C253" s="1097" t="s">
        <v>16</v>
      </c>
      <c r="D253" s="1067">
        <f>Parametres!$D$6</f>
        <v>10000000</v>
      </c>
      <c r="E253" s="1068" t="e">
        <f>COUNTIFS(#REF!,"&gt;0",#REF!,"&gt;="&amp;B252,#REF!,"&lt;="&amp;EOMONTH(B252,0))</f>
        <v>#REF!</v>
      </c>
      <c r="F253" s="1069" t="e">
        <f>SUMIFS(#REF!,#REF!,"&lt;&gt;0",#REF!,"&gt;="&amp;B252,#REF!,"&lt;="&amp;EOMONTH(B252,0))</f>
        <v>#REF!</v>
      </c>
      <c r="G253" s="1098" t="e">
        <f t="shared" si="110"/>
        <v>#REF!</v>
      </c>
      <c r="H253" s="1070" t="e">
        <f ca="1">MINIFS(#REF!,#REF!,"&lt;&gt;0",#REF!,"&gt;="&amp;B252,#REF!,"&lt;="&amp;EOMONTH(B252,0))</f>
        <v>#NAME?</v>
      </c>
      <c r="I253" s="1069" t="e">
        <f ca="1">MAXIFS(#REF!,#REF!,"&lt;&gt;0",#REF!,"&gt;="&amp;B252,#REF!,"&lt;="&amp;EOMONTH(B252,0))</f>
        <v>#NAME?</v>
      </c>
      <c r="J253" s="1072" t="e">
        <f>COUNTIFS(#REF!,"&gt;="&amp;D253,#REF!,"&gt;="&amp;B252,#REF!,"&lt;="&amp;EOMONTH(B252,0))</f>
        <v>#REF!</v>
      </c>
      <c r="K253" s="1341" t="e">
        <f t="shared" si="111"/>
        <v>#REF!</v>
      </c>
      <c r="L253" s="1099"/>
      <c r="M253" s="1082"/>
      <c r="N253" s="1100"/>
      <c r="O253" s="1100"/>
      <c r="P253" s="1078"/>
      <c r="Q253" s="1078"/>
      <c r="R253" s="1078"/>
      <c r="S253" s="1078"/>
      <c r="T253" s="1101"/>
      <c r="U253" s="1101"/>
      <c r="V253" s="1082"/>
      <c r="W253" s="1102"/>
      <c r="X253" s="1102"/>
      <c r="Y253" s="1069"/>
      <c r="Z253" s="1069"/>
      <c r="AA253" s="1069"/>
      <c r="AB253" s="1069"/>
      <c r="AC253" s="1103"/>
      <c r="AD253" s="1104"/>
      <c r="AE253" s="1082"/>
      <c r="AF253" s="1105"/>
      <c r="AG253" s="1106"/>
      <c r="AH253" s="1106"/>
      <c r="AI253" s="1106"/>
      <c r="AJ253" s="1106"/>
      <c r="AK253" s="1107"/>
      <c r="AL253" s="1108"/>
      <c r="AM253" s="1109"/>
      <c r="AN253" s="1109"/>
      <c r="AO253" s="1109"/>
      <c r="AP253" s="1109"/>
      <c r="AQ253" s="1107"/>
      <c r="AR253" s="1110"/>
      <c r="AS253" s="1105"/>
      <c r="AT253" s="1109"/>
      <c r="AU253" s="1109"/>
      <c r="AV253" s="1109"/>
      <c r="AW253" s="1111"/>
      <c r="AX253" s="1112"/>
      <c r="AY253" s="1094"/>
      <c r="AZ253" s="1095" t="e">
        <f t="shared" si="112"/>
        <v>#REF!</v>
      </c>
      <c r="BA253" s="2"/>
    </row>
    <row r="254" spans="1:53" ht="15.75" hidden="1" customHeight="1" outlineLevel="1">
      <c r="A254" s="1027"/>
      <c r="B254" s="1096"/>
      <c r="C254" s="1097" t="s">
        <v>17</v>
      </c>
      <c r="D254" s="1067">
        <f>Parametres!$D$7</f>
        <v>0.8</v>
      </c>
      <c r="E254" s="1068" t="e">
        <f>COUNTIFS(#REF!,"&gt;0",#REF!,"&gt;="&amp;B252,#REF!,"&lt;="&amp;EOMONTH(B252,0))</f>
        <v>#REF!</v>
      </c>
      <c r="F254" s="1069" t="e">
        <f>SUMIFS(#REF!,#REF!,"&lt;&gt;0",#REF!,"&gt;="&amp;B252,#REF!,"&lt;="&amp;EOMONTH(B252,0))</f>
        <v>#REF!</v>
      </c>
      <c r="G254" s="1098" t="e">
        <f t="shared" si="110"/>
        <v>#REF!</v>
      </c>
      <c r="H254" s="1113" t="e">
        <f ca="1">MINIFS(#REF!,#REF!,"&lt;&gt;0",#REF!,"&gt;="&amp;B252,#REF!,"&lt;="&amp;EOMONTH(B252,0))</f>
        <v>#NAME?</v>
      </c>
      <c r="I254" s="1078" t="e">
        <f ca="1">MAXIFS(#REF!,#REF!,"&lt;&gt;0",#REF!,"&gt;="&amp;B252,#REF!,"&lt;="&amp;EOMONTH(B252,0))</f>
        <v>#NAME?</v>
      </c>
      <c r="J254" s="1114" t="e">
        <f>COUNTIFS(#REF!,"&gt;="&amp;D254,#REF!,"&gt;="&amp;B252,#REF!,"&lt;="&amp;EOMONTH(B252,0))</f>
        <v>#REF!</v>
      </c>
      <c r="K254" s="1341" t="e">
        <f t="shared" si="111"/>
        <v>#REF!</v>
      </c>
      <c r="L254" s="1115"/>
      <c r="M254" s="1082"/>
      <c r="N254" s="1100"/>
      <c r="O254" s="1100"/>
      <c r="P254" s="1078"/>
      <c r="Q254" s="1078"/>
      <c r="R254" s="1078"/>
      <c r="S254" s="1078"/>
      <c r="T254" s="1101"/>
      <c r="U254" s="1101"/>
      <c r="V254" s="1082"/>
      <c r="W254" s="1102"/>
      <c r="X254" s="1102"/>
      <c r="Y254" s="1069"/>
      <c r="Z254" s="1069"/>
      <c r="AA254" s="1069"/>
      <c r="AB254" s="1069"/>
      <c r="AC254" s="1103"/>
      <c r="AD254" s="1104"/>
      <c r="AE254" s="1082"/>
      <c r="AF254" s="1116"/>
      <c r="AG254" s="1117"/>
      <c r="AH254" s="1117"/>
      <c r="AI254" s="1117"/>
      <c r="AJ254" s="1117"/>
      <c r="AK254" s="1082"/>
      <c r="AL254" s="1105"/>
      <c r="AM254" s="1106"/>
      <c r="AN254" s="1106"/>
      <c r="AO254" s="1106"/>
      <c r="AP254" s="1106"/>
      <c r="AQ254" s="1082"/>
      <c r="AR254" s="1118"/>
      <c r="AS254" s="1116"/>
      <c r="AT254" s="1106"/>
      <c r="AU254" s="1106"/>
      <c r="AV254" s="1106"/>
      <c r="AW254" s="1119"/>
      <c r="AX254" s="1120"/>
      <c r="AY254" s="1094"/>
      <c r="AZ254" s="1095" t="e">
        <f t="shared" si="112"/>
        <v>#REF!</v>
      </c>
      <c r="BA254" s="2"/>
    </row>
    <row r="255" spans="1:53" ht="15.75" hidden="1" customHeight="1" outlineLevel="1">
      <c r="A255" s="1027"/>
      <c r="B255" s="1096"/>
      <c r="C255" s="1121" t="s">
        <v>18</v>
      </c>
      <c r="D255" s="1122">
        <f>Parametres!$D$8</f>
        <v>0.05</v>
      </c>
      <c r="E255" s="1068" t="e">
        <f>COUNTIFS(#REF!,"&gt;0",#REF!,"&gt;="&amp;B252,#REF!,"&lt;="&amp;EOMONTH(B252,0))</f>
        <v>#REF!</v>
      </c>
      <c r="F255" s="1069" t="e">
        <f>SUMIFS(#REF!,#REF!,"&lt;&gt;0",#REF!,"&gt;="&amp;B252,#REF!,"&lt;="&amp;EOMONTH(B252,0))</f>
        <v>#REF!</v>
      </c>
      <c r="G255" s="1098" t="e">
        <f t="shared" si="110"/>
        <v>#REF!</v>
      </c>
      <c r="H255" s="1113" t="e">
        <f ca="1">MINIFS(#REF!,#REF!,"&lt;&gt;0",#REF!,"&gt;="&amp;B252,#REF!,"&lt;="&amp;EOMONTH(B252,0))</f>
        <v>#NAME?</v>
      </c>
      <c r="I255" s="1078" t="e">
        <f ca="1">MAXIFS(#REF!,#REF!,"&lt;&gt;0",#REF!,"&gt;="&amp;B252,#REF!,"&lt;="&amp;EOMONTH(B252,0))</f>
        <v>#NAME?</v>
      </c>
      <c r="J255" s="1072" t="e">
        <f>COUNTIFS(#REF!,"&gt;="&amp;D255,#REF!,"&gt;="&amp;B252,#REF!,"&lt;="&amp;EOMONTH(B252,0))</f>
        <v>#REF!</v>
      </c>
      <c r="K255" s="1341" t="e">
        <f t="shared" si="111"/>
        <v>#REF!</v>
      </c>
      <c r="L255" s="1115"/>
      <c r="M255" s="1082"/>
      <c r="N255" s="1100"/>
      <c r="O255" s="1100"/>
      <c r="P255" s="1078"/>
      <c r="Q255" s="1078"/>
      <c r="R255" s="1078"/>
      <c r="S255" s="1078"/>
      <c r="T255" s="1101"/>
      <c r="U255" s="1101"/>
      <c r="V255" s="1082"/>
      <c r="W255" s="1102"/>
      <c r="X255" s="1102"/>
      <c r="Y255" s="1069"/>
      <c r="Z255" s="1069"/>
      <c r="AA255" s="1069"/>
      <c r="AB255" s="1069"/>
      <c r="AC255" s="1103"/>
      <c r="AD255" s="1104"/>
      <c r="AE255" s="1107"/>
      <c r="AF255" s="1108"/>
      <c r="AG255" s="1109"/>
      <c r="AH255" s="1109"/>
      <c r="AI255" s="1109"/>
      <c r="AJ255" s="1109"/>
      <c r="AK255" s="1123"/>
      <c r="AL255" s="1108"/>
      <c r="AM255" s="1109"/>
      <c r="AN255" s="1109"/>
      <c r="AO255" s="1109"/>
      <c r="AP255" s="1109"/>
      <c r="AQ255" s="1123"/>
      <c r="AR255" s="1124"/>
      <c r="AS255" s="1108"/>
      <c r="AT255" s="1109"/>
      <c r="AU255" s="1109"/>
      <c r="AV255" s="1109"/>
      <c r="AW255" s="1111"/>
      <c r="AX255" s="1112"/>
      <c r="AY255" s="1094"/>
      <c r="AZ255" s="1095" t="e">
        <f t="shared" si="112"/>
        <v>#REF!</v>
      </c>
      <c r="BA255" s="2"/>
    </row>
    <row r="256" spans="1:53" ht="15.75" hidden="1" customHeight="1" outlineLevel="1">
      <c r="A256" s="1027"/>
      <c r="B256" s="1096"/>
      <c r="C256" s="1097" t="s">
        <v>11</v>
      </c>
      <c r="D256" s="1067">
        <f>Parametres!$D$9</f>
        <v>0.2</v>
      </c>
      <c r="E256" s="1068" t="e">
        <f>COUNTIFS(#REF!,"&gt;0",#REF!,"&gt;="&amp;B252,#REF!,"&lt;="&amp;EOMONTH(B252,0))</f>
        <v>#REF!</v>
      </c>
      <c r="F256" s="1069" t="e">
        <f>SUMIFS(#REF!,#REF!,"&lt;&gt;0",#REF!,"&gt;="&amp;B252,#REF!,"&lt;="&amp;EOMONTH(B252,0))</f>
        <v>#REF!</v>
      </c>
      <c r="G256" s="1098" t="e">
        <f t="shared" si="110"/>
        <v>#REF!</v>
      </c>
      <c r="H256" s="1113" t="e">
        <f ca="1">MINIFS(#REF!,#REF!,"&lt;&gt;0",#REF!,"&gt;="&amp;B252,#REF!,"&lt;="&amp;EOMONTH(B252,0))</f>
        <v>#NAME?</v>
      </c>
      <c r="I256" s="1078" t="e">
        <f ca="1">MAXIFS(#REF!,#REF!,"&lt;&gt;0",#REF!,"&gt;="&amp;B252,#REF!,"&lt;="&amp;EOMONTH(B252,0))</f>
        <v>#NAME?</v>
      </c>
      <c r="J256" s="1072" t="e">
        <f>COUNTIFS(#REF!,"&gt;="&amp;D256,#REF!,"&gt;="&amp;B252,#REF!,"&lt;="&amp;EOMONTH(B252,0))</f>
        <v>#REF!</v>
      </c>
      <c r="K256" s="1341" t="e">
        <f t="shared" si="111"/>
        <v>#REF!</v>
      </c>
      <c r="L256" s="1115"/>
      <c r="M256" s="1082"/>
      <c r="N256" s="1100"/>
      <c r="O256" s="1100"/>
      <c r="P256" s="1078"/>
      <c r="Q256" s="1078"/>
      <c r="R256" s="1078"/>
      <c r="S256" s="1078"/>
      <c r="T256" s="1101"/>
      <c r="U256" s="1101"/>
      <c r="V256" s="1082"/>
      <c r="W256" s="1102"/>
      <c r="X256" s="1102"/>
      <c r="Y256" s="1069"/>
      <c r="Z256" s="1069"/>
      <c r="AA256" s="1069"/>
      <c r="AB256" s="1069"/>
      <c r="AC256" s="1103"/>
      <c r="AD256" s="1104"/>
      <c r="AE256" s="1075"/>
      <c r="AF256" s="1125"/>
      <c r="AG256" s="1126"/>
      <c r="AH256" s="1126"/>
      <c r="AI256" s="1126"/>
      <c r="AJ256" s="1126"/>
      <c r="AK256" s="1107"/>
      <c r="AL256" s="1125"/>
      <c r="AM256" s="1126"/>
      <c r="AN256" s="1126"/>
      <c r="AO256" s="1126"/>
      <c r="AP256" s="1126"/>
      <c r="AQ256" s="1107"/>
      <c r="AR256" s="1110"/>
      <c r="AS256" s="1125"/>
      <c r="AT256" s="1126"/>
      <c r="AU256" s="1126"/>
      <c r="AV256" s="1126"/>
      <c r="AW256" s="1127"/>
      <c r="AX256" s="1128"/>
      <c r="AY256" s="1094"/>
      <c r="AZ256" s="1095" t="e">
        <f t="shared" si="112"/>
        <v>#REF!</v>
      </c>
      <c r="BA256" s="2"/>
    </row>
    <row r="257" spans="1:53" ht="15.75" hidden="1" customHeight="1" outlineLevel="1">
      <c r="A257" s="1027"/>
      <c r="B257" s="1096"/>
      <c r="C257" s="1097" t="s">
        <v>12</v>
      </c>
      <c r="D257" s="1067">
        <f>Parametres!$D$10</f>
        <v>10000000</v>
      </c>
      <c r="E257" s="1068" t="e">
        <f>COUNTIFS(#REF!,"&gt;0",#REF!,"&gt;="&amp;B252,#REF!,"&lt;="&amp;EOMONTH(B252,0))</f>
        <v>#REF!</v>
      </c>
      <c r="F257" s="1069" t="e">
        <f>SUMIFS(#REF!,#REF!,"&lt;&gt;0",#REF!,"&gt;="&amp;B252,#REF!,"&lt;="&amp;EOMONTH(B252,0))</f>
        <v>#REF!</v>
      </c>
      <c r="G257" s="1098" t="e">
        <f t="shared" si="110"/>
        <v>#REF!</v>
      </c>
      <c r="H257" s="1113" t="e">
        <f ca="1">MINIFS(#REF!,#REF!,"&lt;&gt;0",#REF!,"&gt;="&amp;B252,#REF!,"&lt;="&amp;EOMONTH(B252,0))</f>
        <v>#NAME?</v>
      </c>
      <c r="I257" s="1078" t="e">
        <f ca="1">MAXIFS(#REF!,#REF!,"&lt;&gt;0",#REF!,"&gt;="&amp;B252,#REF!,"&lt;="&amp;EOMONTH(B252,0))</f>
        <v>#NAME?</v>
      </c>
      <c r="J257" s="1072" t="e">
        <f>COUNTIFS(#REF!,"&gt;="&amp;D257,#REF!,"&gt;="&amp;B252,#REF!,"&lt;="&amp;EOMONTH(B252,0))</f>
        <v>#REF!</v>
      </c>
      <c r="K257" s="1341" t="e">
        <f t="shared" si="111"/>
        <v>#REF!</v>
      </c>
      <c r="L257" s="1115"/>
      <c r="M257" s="1082"/>
      <c r="N257" s="1100"/>
      <c r="O257" s="1100"/>
      <c r="P257" s="1078"/>
      <c r="Q257" s="1078"/>
      <c r="R257" s="1078"/>
      <c r="S257" s="1078"/>
      <c r="T257" s="1101"/>
      <c r="U257" s="1101"/>
      <c r="V257" s="1082"/>
      <c r="W257" s="1129"/>
      <c r="X257" s="1129"/>
      <c r="Y257" s="1069"/>
      <c r="Z257" s="1069"/>
      <c r="AA257" s="1069"/>
      <c r="AB257" s="1069"/>
      <c r="AC257" s="1130"/>
      <c r="AD257" s="1131"/>
      <c r="AE257" s="1082"/>
      <c r="AF257" s="1105"/>
      <c r="AG257" s="1106"/>
      <c r="AH257" s="1106"/>
      <c r="AI257" s="1106"/>
      <c r="AJ257" s="1106"/>
      <c r="AK257" s="1132"/>
      <c r="AL257" s="1105"/>
      <c r="AM257" s="1106"/>
      <c r="AN257" s="1106"/>
      <c r="AO257" s="1106"/>
      <c r="AP257" s="1106"/>
      <c r="AQ257" s="1133"/>
      <c r="AR257" s="1134"/>
      <c r="AS257" s="1135"/>
      <c r="AT257" s="1106"/>
      <c r="AU257" s="1106"/>
      <c r="AV257" s="1106"/>
      <c r="AW257" s="1119"/>
      <c r="AX257" s="1120"/>
      <c r="AY257" s="1094"/>
      <c r="AZ257" s="1095" t="e">
        <f t="shared" si="112"/>
        <v>#REF!</v>
      </c>
      <c r="BA257" s="2"/>
    </row>
    <row r="258" spans="1:53" ht="15.75" hidden="1" customHeight="1" outlineLevel="1">
      <c r="A258" s="1027"/>
      <c r="B258" s="1096"/>
      <c r="C258" s="1097" t="s">
        <v>19</v>
      </c>
      <c r="D258" s="1067">
        <f>Parametres!$D$11</f>
        <v>1.5</v>
      </c>
      <c r="E258" s="1068" t="e">
        <f>COUNTIFS(#REF!,"&gt;0",#REF!,"&gt;="&amp;B252,#REF!,"&lt;="&amp;EOMONTH(B252,0))</f>
        <v>#REF!</v>
      </c>
      <c r="F258" s="1069" t="e">
        <f>SUMIFS(#REF!,#REF!,"&lt;&gt;0",#REF!,"&gt;="&amp;B252,#REF!,"&lt;="&amp;EOMONTH(B252,0))</f>
        <v>#REF!</v>
      </c>
      <c r="G258" s="1098" t="e">
        <f t="shared" si="110"/>
        <v>#REF!</v>
      </c>
      <c r="H258" s="1113" t="e">
        <f ca="1">MINIFS(#REF!,#REF!,"&lt;&gt;0",#REF!,"&gt;="&amp;B252,#REF!,"&lt;="&amp;EOMONTH(B252,0))</f>
        <v>#NAME?</v>
      </c>
      <c r="I258" s="1078" t="e">
        <f ca="1">MAXIFS(#REF!,#REF!,"&lt;&gt;0",#REF!,"&gt;="&amp;B252,#REF!,"&lt;="&amp;EOMONTH(B252,0))</f>
        <v>#NAME?</v>
      </c>
      <c r="J258" s="1072" t="e">
        <f>COUNTIFS(#REF!,"&gt;="&amp;D258,#REF!,"&gt;="&amp;B252,#REF!,"&lt;="&amp;EOMONTH(B252,0))</f>
        <v>#REF!</v>
      </c>
      <c r="K258" s="1341" t="e">
        <f t="shared" si="111"/>
        <v>#REF!</v>
      </c>
      <c r="L258" s="1115"/>
      <c r="M258" s="1082"/>
      <c r="N258" s="1100"/>
      <c r="O258" s="1100"/>
      <c r="P258" s="1078"/>
      <c r="Q258" s="1078"/>
      <c r="R258" s="1078"/>
      <c r="S258" s="1078"/>
      <c r="T258" s="1101"/>
      <c r="U258" s="1101"/>
      <c r="V258" s="1082"/>
      <c r="W258" s="1129"/>
      <c r="X258" s="1129"/>
      <c r="Y258" s="1069"/>
      <c r="Z258" s="1069"/>
      <c r="AA258" s="1069"/>
      <c r="AB258" s="1069"/>
      <c r="AC258" s="1130"/>
      <c r="AD258" s="1131"/>
      <c r="AE258" s="1082"/>
      <c r="AF258" s="1105"/>
      <c r="AG258" s="1106"/>
      <c r="AH258" s="1106"/>
      <c r="AI258" s="1106"/>
      <c r="AJ258" s="1106"/>
      <c r="AK258" s="1082"/>
      <c r="AL258" s="1136"/>
      <c r="AM258" s="1137"/>
      <c r="AN258" s="1137"/>
      <c r="AO258" s="1137"/>
      <c r="AP258" s="1137"/>
      <c r="AQ258" s="1082"/>
      <c r="AR258" s="1118"/>
      <c r="AS258" s="1105"/>
      <c r="AT258" s="1106"/>
      <c r="AU258" s="1106"/>
      <c r="AV258" s="1106"/>
      <c r="AW258" s="1138"/>
      <c r="AX258" s="1120"/>
      <c r="AY258" s="1094"/>
      <c r="AZ258" s="1095" t="e">
        <f t="shared" si="112"/>
        <v>#REF!</v>
      </c>
      <c r="BA258" s="2"/>
    </row>
    <row r="259" spans="1:53" ht="15.75" hidden="1" customHeight="1" outlineLevel="1">
      <c r="A259" s="1027"/>
      <c r="B259" s="1096"/>
      <c r="C259" s="1139" t="s">
        <v>42</v>
      </c>
      <c r="D259" s="1122">
        <f>Parametres!$D$12</f>
        <v>0.1</v>
      </c>
      <c r="E259" s="1068" t="e">
        <f>COUNTIFS(#REF!,"&gt;0",#REF!,"&gt;="&amp;B252,#REF!,"&lt;="&amp;EOMONTH(B252,0))</f>
        <v>#REF!</v>
      </c>
      <c r="F259" s="1069" t="e">
        <f>SUMIFS(#REF!,#REF!,"&lt;&gt;0",#REF!,"&gt;="&amp;B252,#REF!,"&lt;="&amp;EOMONTH(B252,0))</f>
        <v>#REF!</v>
      </c>
      <c r="G259" s="1098" t="e">
        <f t="shared" si="110"/>
        <v>#REF!</v>
      </c>
      <c r="H259" s="1113" t="e">
        <f ca="1">MINIFS(#REF!,#REF!,"&lt;&gt;0",#REF!,"&gt;="&amp;B252,#REF!,"&lt;="&amp;EOMONTH(B252,0))</f>
        <v>#NAME?</v>
      </c>
      <c r="I259" s="1078" t="e">
        <f ca="1">MAXIFS(#REF!,#REF!,"&lt;&gt;0",#REF!,"&gt;="&amp;B252,#REF!,"&lt;="&amp;EOMONTH(B252,0))</f>
        <v>#NAME?</v>
      </c>
      <c r="J259" s="1114" t="e">
        <f>COUNTIFS(#REF!,"&gt;="&amp;D259,#REF!,"&gt;="&amp;B252,#REF!,"&lt;="&amp;EOMONTH(B252,0))</f>
        <v>#REF!</v>
      </c>
      <c r="K259" s="1341" t="e">
        <f t="shared" si="111"/>
        <v>#REF!</v>
      </c>
      <c r="L259" s="1115"/>
      <c r="M259" s="1082"/>
      <c r="N259" s="1076">
        <f>Parametres!$L$12</f>
        <v>100000</v>
      </c>
      <c r="O259" s="1077">
        <f>COUNTIFS('Degrémont Entrée'!$AG$14:$AG$379,"&gt;0",'Degrémont Entrée'!$A$14:$A$379,"&gt;="&amp;B252,'Degrémont Entrée'!$A$14:$A$379,"&lt;="&amp;EOMONTH(B252,0))</f>
        <v>17</v>
      </c>
      <c r="P259" s="1078">
        <f>SUMIFS('Degrémont Entrée'!$AG$14:$AG$379,'Degrémont Entrée'!$AG$14:$AG$379,"&lt;&gt;0",'Degrémont Entrée'!$A$14:$A$379,"&gt;="&amp;B252,'Degrémont Entrée'!$A$14:$A$379,"&lt;="&amp;EOMONTH(B252,0))</f>
        <v>0.17</v>
      </c>
      <c r="Q259" s="1078">
        <f>IF(O259=0,0,P259/O259)</f>
        <v>0.01</v>
      </c>
      <c r="R259" s="1078" t="e">
        <f ca="1">MINIFS('Degrémont Entrée'!$AG$14:$AG$379,'Degrémont Entrée'!$AG$14:$AG$379,"&lt;&gt;0",'Degrémont Entrée'!$A$14:$A$379,"&gt;="&amp;B252,'Degrémont Entrée'!$A$14:$A$379,"&lt;="&amp;EOMONTH(B252,0))</f>
        <v>#NAME?</v>
      </c>
      <c r="S259" s="1078" t="e">
        <f ca="1">MAXIFS('Degrémont Entrée'!$AG$14:$AG$379,'Degrémont Entrée'!$AG$14:$AG$379,"&lt;&gt;0",'Degrémont Entrée'!$A$14:$A$379,"&gt;="&amp;B252,'Degrémont Entrée'!$A$14:$A$379,"&lt;="&amp;EOMONTH(B252,0))</f>
        <v>#NAME?</v>
      </c>
      <c r="T259" s="1140" t="s">
        <v>153</v>
      </c>
      <c r="U259" s="1140" t="s">
        <v>153</v>
      </c>
      <c r="V259" s="1082"/>
      <c r="W259" s="1083">
        <f>Parametres!$T$12</f>
        <v>0.1</v>
      </c>
      <c r="X259" s="1142">
        <f>COUNTIFS('Degrémont sortie'!$AA$14:$AA$379,"&gt;0",'Degrémont sortie'!$A$14:$A$379,"&gt;="&amp;B252,'Degrémont sortie'!$A$14:$A$379,"&lt;="&amp;EOMONTH(B252,0))</f>
        <v>19</v>
      </c>
      <c r="Y259" s="1085">
        <f>SUMIFS('Degrémont sortie'!$AA$14:$AA$379,'Degrémont sortie'!$AA$14:$AA$379,"&lt;&gt;0",'Degrémont sortie'!$A$14:$A$379,"&gt;="&amp;B252,'Degrémont sortie'!$A$14:$A$379,"&lt;="&amp;EOMONTH(B252,0))</f>
        <v>0.19000000000000003</v>
      </c>
      <c r="Z259" s="1069">
        <f t="shared" ref="Z259:Z261" si="113">IF(X259=0,0,Y259/X259)</f>
        <v>1.0000000000000002E-2</v>
      </c>
      <c r="AA259" s="1069" t="e">
        <f ca="1">MINIFS('Degrémont sortie'!$AA$14:$AA$379,'Degrémont sortie'!$AA$14:$AA$379,"&lt;&gt;0",'Degrémont sortie'!$A$14:$A$379,"&gt;="&amp;B252,'Degrémont sortie'!$A$14:$A$379,"&lt;="&amp;EOMONTH(B252,0))</f>
        <v>#NAME?</v>
      </c>
      <c r="AB259" s="1069" t="e">
        <f ca="1">MAXIFS('Degrémont sortie'!$AA$14:$AA$379,'Degrémont sortie'!$AA$14:$AA$379,"&lt;&gt;0",'Degrémont sortie'!$A$14:$A$379,"&gt;="&amp;B252,'Degrémont sortie'!$A$14:$A$379,"&lt;="&amp;EOMONTH(B252,0))</f>
        <v>#NAME?</v>
      </c>
      <c r="AC259" s="1142">
        <f>COUNTIFS('Degrémont sortie'!$AA$14:$AA$379,"&gt;="&amp;W259,'Degrémont sortie'!$A$14:$A$379,"&gt;="&amp;B252,'Degrémont sortie'!$A$14:$A$379,"&lt;="&amp;EOMONTH(B252,0))</f>
        <v>0</v>
      </c>
      <c r="AD259" s="1087">
        <f t="shared" ref="AD259:AD261" si="114">AC259/X259</f>
        <v>0</v>
      </c>
      <c r="AE259" s="1082"/>
      <c r="AF259" s="1105"/>
      <c r="AG259" s="1106"/>
      <c r="AH259" s="1106"/>
      <c r="AI259" s="1106"/>
      <c r="AJ259" s="1106"/>
      <c r="AK259" s="1082"/>
      <c r="AL259" s="1116"/>
      <c r="AM259" s="1117"/>
      <c r="AN259" s="1117"/>
      <c r="AO259" s="1117"/>
      <c r="AP259" s="1117"/>
      <c r="AQ259" s="1082"/>
      <c r="AR259" s="1118"/>
      <c r="AS259" s="1105"/>
      <c r="AT259" s="1106"/>
      <c r="AU259" s="1106"/>
      <c r="AV259" s="1106"/>
      <c r="AW259" s="1119"/>
      <c r="AX259" s="1120"/>
      <c r="AY259" s="1094"/>
      <c r="AZ259" s="1095" t="e">
        <f t="shared" si="112"/>
        <v>#REF!</v>
      </c>
      <c r="BA259" s="2"/>
    </row>
    <row r="260" spans="1:53" ht="15.75" hidden="1" customHeight="1" outlineLevel="1">
      <c r="A260" s="1027"/>
      <c r="B260" s="1096"/>
      <c r="C260" s="1139" t="s">
        <v>286</v>
      </c>
      <c r="D260" s="1122">
        <f>Parametres!$D$13</f>
        <v>0.5</v>
      </c>
      <c r="E260" s="1068" t="e">
        <f>COUNTIFS(#REF!,"&gt;0",#REF!,"&gt;="&amp;B252,#REF!,"&lt;="&amp;EOMONTH(B252,0))</f>
        <v>#REF!</v>
      </c>
      <c r="F260" s="1069" t="e">
        <f>SUMIFS(#REF!,#REF!,"&lt;&gt;0",#REF!,"&gt;="&amp;B252,#REF!,"&lt;="&amp;EOMONTH(B252,0))</f>
        <v>#REF!</v>
      </c>
      <c r="G260" s="1098" t="e">
        <f t="shared" si="110"/>
        <v>#REF!</v>
      </c>
      <c r="H260" s="1113" t="e">
        <f ca="1">MINIFS(#REF!,#REF!,"&lt;&gt;0",#REF!,"&gt;="&amp;B252,#REF!,"&lt;="&amp;EOMONTH(B252,0))</f>
        <v>#NAME?</v>
      </c>
      <c r="I260" s="1078" t="e">
        <f ca="1">MAXIFS(#REF!,#REF!,"&lt;&gt;0",#REF!,"&gt;="&amp;B252,#REF!,"&lt;="&amp;EOMONTH(B252,0))</f>
        <v>#NAME?</v>
      </c>
      <c r="J260" s="1114" t="e">
        <f>COUNTIFS(#REF!,"&gt;="&amp;D260,#REF!,"&gt;="&amp;B252,#REF!,"&lt;="&amp;EOMONTH(B252,0))</f>
        <v>#REF!</v>
      </c>
      <c r="K260" s="1341" t="e">
        <f t="shared" si="111"/>
        <v>#REF!</v>
      </c>
      <c r="L260" s="1115"/>
      <c r="M260" s="1082"/>
      <c r="N260" s="1129"/>
      <c r="O260" s="1129"/>
      <c r="P260" s="1069"/>
      <c r="Q260" s="1069"/>
      <c r="R260" s="1069"/>
      <c r="S260" s="1069"/>
      <c r="T260" s="1143"/>
      <c r="U260" s="1143"/>
      <c r="V260" s="1132"/>
      <c r="W260" s="1083">
        <f>Parametres!$T$13</f>
        <v>0.08</v>
      </c>
      <c r="X260" s="1142">
        <f>COUNTIFS('Degrémont sortie'!$AD$14:$AD$379,"&gt;0",'Degrémont sortie'!$A$14:$A$379,"&gt;="&amp;B252,'Degrémont sortie'!$A$14:$A$379,"&lt;="&amp;EOMONTH(B252,0))</f>
        <v>0</v>
      </c>
      <c r="Y260" s="1085">
        <f>SUMIFS('Degrémont sortie'!$AD$14:$AD$379,'Degrémont sortie'!$AD$14:$AD$379,"&lt;&gt;0",'Degrémont sortie'!$A$14:$A$379,"&gt;="&amp;B252,'Degrémont sortie'!$A$14:$A$379,"&lt;="&amp;EOMONTH(B252,0))</f>
        <v>0</v>
      </c>
      <c r="Z260" s="1069">
        <f t="shared" si="113"/>
        <v>0</v>
      </c>
      <c r="AA260" s="1069" t="e">
        <f ca="1">MINIFS('Degrémont sortie'!$AD$14:$AD$379,'Degrémont sortie'!$AD$14:$AD$379,"&lt;&gt;0",'Degrémont sortie'!$A$14:$A$379,"&gt;="&amp;B252,'Degrémont sortie'!$A$14:$A$379,"&lt;="&amp;EOMONTH(B252,0))</f>
        <v>#NAME?</v>
      </c>
      <c r="AB260" s="1069" t="e">
        <f ca="1">MAXIFS('Degrémont sortie'!$AD$14:$AD$379,'Degrémont sortie'!$AD$14:$AD$379,"&lt;&gt;0",'Degrémont sortie'!$A$14:$A$379,"&gt;="&amp;B252,'Degrémont sortie'!$A$14:$A$379,"&lt;="&amp;EOMONTH(B252,0))</f>
        <v>#NAME?</v>
      </c>
      <c r="AC260" s="1142">
        <f>COUNTIFS('Degrémont sortie'!$AD$14:$AD$379,"&gt;="&amp;W260,'Degrémont sortie'!$A$14:$A$379,"&gt;="&amp;B252,'Degrémont sortie'!$A$14:$A$379,"&lt;="&amp;EOMONTH(B252,0))</f>
        <v>0</v>
      </c>
      <c r="AD260" s="1087" t="e">
        <f t="shared" si="114"/>
        <v>#DIV/0!</v>
      </c>
      <c r="AE260" s="1132"/>
      <c r="AF260" s="1105"/>
      <c r="AG260" s="1106"/>
      <c r="AH260" s="1106"/>
      <c r="AI260" s="1106"/>
      <c r="AJ260" s="1106"/>
      <c r="AK260" s="1132"/>
      <c r="AL260" s="1105"/>
      <c r="AM260" s="1106"/>
      <c r="AN260" s="1106"/>
      <c r="AO260" s="1106"/>
      <c r="AP260" s="1106"/>
      <c r="AQ260" s="1133"/>
      <c r="AR260" s="1134"/>
      <c r="AS260" s="1135"/>
      <c r="AT260" s="1106"/>
      <c r="AU260" s="1106"/>
      <c r="AV260" s="1106"/>
      <c r="AW260" s="1119"/>
      <c r="AX260" s="1120"/>
      <c r="AY260" s="1094"/>
      <c r="AZ260" s="1095" t="e">
        <f t="shared" si="112"/>
        <v>#REF!</v>
      </c>
      <c r="BA260" s="2"/>
    </row>
    <row r="261" spans="1:53" ht="15.75" hidden="1" customHeight="1" outlineLevel="1">
      <c r="A261" s="1027"/>
      <c r="B261" s="1096"/>
      <c r="C261" s="1139" t="s">
        <v>45</v>
      </c>
      <c r="D261" s="1122">
        <f>Parametres!$D$14</f>
        <v>0.5</v>
      </c>
      <c r="E261" s="1068" t="e">
        <f>COUNTIFS(#REF!,"&gt;0",#REF!,"&gt;="&amp;B252,#REF!,"&lt;="&amp;EOMONTH(B252,0))</f>
        <v>#REF!</v>
      </c>
      <c r="F261" s="1069" t="e">
        <f>SUMIFS(#REF!,#REF!,"&lt;&gt;0",#REF!,"&gt;="&amp;B252,#REF!,"&lt;="&amp;EOMONTH(B252,0))</f>
        <v>#REF!</v>
      </c>
      <c r="G261" s="1098" t="e">
        <f t="shared" si="110"/>
        <v>#REF!</v>
      </c>
      <c r="H261" s="1070" t="e">
        <f ca="1">MINIFS(#REF!,#REF!,"&lt;&gt;0",#REF!,"&gt;="&amp;B252,#REF!,"&lt;="&amp;EOMONTH(B252,0))</f>
        <v>#NAME?</v>
      </c>
      <c r="I261" s="1078" t="e">
        <f ca="1">MAXIFS(#REF!,#REF!,"&lt;&gt;0",#REF!,"&gt;="&amp;B252,#REF!,"&lt;="&amp;EOMONTH(B252,0))</f>
        <v>#NAME?</v>
      </c>
      <c r="J261" s="1114" t="e">
        <f>COUNTIFS(#REF!,"&gt;="&amp;D261,#REF!,"&gt;="&amp;B252,#REF!,"&lt;="&amp;EOMONTH(B252,0))</f>
        <v>#REF!</v>
      </c>
      <c r="K261" s="1341" t="e">
        <f t="shared" si="111"/>
        <v>#REF!</v>
      </c>
      <c r="L261" s="1115"/>
      <c r="M261" s="1082"/>
      <c r="N261" s="1144">
        <f>Parametres!$L$14</f>
        <v>3</v>
      </c>
      <c r="O261" s="1077">
        <f>COUNTIFS('Degrémont Entrée'!$AS$14:$AS$379,"&gt;0",'Degrémont Entrée'!$A$14:$A$379,"&gt;="&amp;B252,'Degrémont Entrée'!$A$14:$A$379,"&lt;="&amp;EOMONTH(B252,0))</f>
        <v>4</v>
      </c>
      <c r="P261" s="1078">
        <f>SUMIFS('Degrémont Entrée'!$AS$14:$AS$379,'Degrémont Entrée'!$AS$14:$AS$379,"&lt;&gt;0",'Degrémont Entrée'!$A$14:$A$379,"&gt;="&amp;B252,'Degrémont Entrée'!$A$14:$A$379,"&lt;="&amp;EOMONTH(B252,0))</f>
        <v>1.02</v>
      </c>
      <c r="Q261" s="1078">
        <f>IF(O261=0,0,P261/O261)</f>
        <v>0.255</v>
      </c>
      <c r="R261" s="1069" t="e">
        <f ca="1">MINIFS('Degrémont Entrée'!$AS$14:$AS$379,'Degrémont Entrée'!$AS$14:$AS$379,"&lt;&gt;0",'Degrémont Entrée'!$A$14:$A$379,"&gt;="&amp;B252,'Degrémont Entrée'!$A$14:$A$379,"&lt;="&amp;EOMONTH(B252,0))</f>
        <v>#NAME?</v>
      </c>
      <c r="S261" s="1069" t="e">
        <f ca="1">MAXIFS('Degrémont Entrée'!$AS$14:$AS$379,'Degrémont Entrée'!$AS$14:$AS$379,"&lt;&gt;0",'Degrémont Entrée'!$A$14:$A$379,"&gt;="&amp;B252,'Degrémont Entrée'!$A$14:$A$379,"&lt;="&amp;EOMONTH(B252,0))</f>
        <v>#NAME?</v>
      </c>
      <c r="T261" s="1145">
        <f>COUNTIFS('Degrémont Entrée'!$AS$14:$AS$379,"&gt;="&amp;N261,'Degrémont Entrée'!$A$14:$A$379,"&gt;="&amp;B252,'Degrémont Entrée'!$A$14:$A$379,"&lt;="&amp;EOMONTH(B252,0))</f>
        <v>0</v>
      </c>
      <c r="U261" s="1081">
        <f>T261/O261</f>
        <v>0</v>
      </c>
      <c r="V261" s="1132"/>
      <c r="W261" s="1083">
        <f>Parametres!$T$14</f>
        <v>0.12</v>
      </c>
      <c r="X261" s="1142">
        <f>COUNTIFS('Degrémont sortie'!$AM$14:$AM$379,"&gt;0",'Degrémont sortie'!$A$14:$A$379,"&gt;="&amp;B252,'Degrémont sortie'!$A$14:$A$379,"&lt;="&amp;EOMONTH(B252,0))</f>
        <v>4</v>
      </c>
      <c r="Y261" s="1085">
        <f>SUMIFS('Degrémont sortie'!$AM$14:$AM$379,'Degrémont sortie'!$AM$14:$AM$379,"&lt;&gt;0",'Degrémont sortie'!$A$14:$A$379,"&gt;="&amp;B252,'Degrémont sortie'!$A$14:$A$379,"&lt;="&amp;EOMONTH(B252,0))</f>
        <v>0.47</v>
      </c>
      <c r="Z261" s="1069">
        <f t="shared" si="113"/>
        <v>0.11749999999999999</v>
      </c>
      <c r="AA261" s="1069" t="e">
        <f ca="1">MINIFS('Degrémont sortie'!$AM$14:$AM$379,'Degrémont sortie'!$AM$14:$AM$379,"&lt;&gt;0",'Degrémont sortie'!$A$14:$A$379,"&gt;="&amp;B252,'Degrémont sortie'!$A$14:$A$379,"&lt;="&amp;EOMONTH(B252,0))</f>
        <v>#NAME?</v>
      </c>
      <c r="AB261" s="1069" t="e">
        <f ca="1">MAXIFS('Degrémont sortie'!$AM$14:$AM$379,'Degrémont sortie'!$AM$14:$AM$379,"&lt;&gt;0",'Degrémont sortie'!$A$14:$A$379,"&gt;="&amp;B252,'Degrémont sortie'!$A$14:$A$379,"&lt;="&amp;EOMONTH(B252,0))</f>
        <v>#NAME?</v>
      </c>
      <c r="AC261" s="1142">
        <f>COUNTIFS('Degrémont sortie'!$AM$14:$AM$379,"&gt;="&amp;W261,'Degrémont sortie'!$A$14:$A$379,"&gt;="&amp;B252,'Degrémont sortie'!$A$14:$A$379,"&lt;="&amp;EOMONTH(B252,0))</f>
        <v>3</v>
      </c>
      <c r="AD261" s="1087">
        <f t="shared" si="114"/>
        <v>0.75</v>
      </c>
      <c r="AE261" s="1132"/>
      <c r="AF261" s="1105"/>
      <c r="AG261" s="1106"/>
      <c r="AH261" s="1106"/>
      <c r="AI261" s="1106"/>
      <c r="AJ261" s="1106"/>
      <c r="AK261" s="1132"/>
      <c r="AL261" s="1105"/>
      <c r="AM261" s="1106"/>
      <c r="AN261" s="1106"/>
      <c r="AO261" s="1106"/>
      <c r="AP261" s="1106"/>
      <c r="AQ261" s="1132"/>
      <c r="AR261" s="1148"/>
      <c r="AS261" s="1105"/>
      <c r="AT261" s="1106"/>
      <c r="AU261" s="1106"/>
      <c r="AV261" s="1106"/>
      <c r="AW261" s="1138"/>
      <c r="AX261" s="1120"/>
      <c r="AY261" s="1094"/>
      <c r="AZ261" s="1095" t="e">
        <f t="shared" si="112"/>
        <v>#REF!</v>
      </c>
      <c r="BA261" s="2"/>
    </row>
    <row r="262" spans="1:53" ht="15.75" hidden="1" customHeight="1" outlineLevel="1">
      <c r="A262" s="1027"/>
      <c r="B262" s="1096"/>
      <c r="C262" s="1121" t="s">
        <v>20</v>
      </c>
      <c r="D262" s="1122">
        <f>Parametres!$D$15</f>
        <v>0.1</v>
      </c>
      <c r="E262" s="1068" t="e">
        <f>COUNTIFS(#REF!,"&gt;0",#REF!,"&gt;="&amp;B252,#REF!,"&lt;="&amp;EOMONTH(B252,0))</f>
        <v>#REF!</v>
      </c>
      <c r="F262" s="1069" t="e">
        <f>SUMIFS(#REF!,#REF!,"&lt;&gt;0",#REF!,"&gt;="&amp;B252,#REF!,"&lt;="&amp;EOMONTH(B252,0))</f>
        <v>#REF!</v>
      </c>
      <c r="G262" s="1098" t="e">
        <f t="shared" si="110"/>
        <v>#REF!</v>
      </c>
      <c r="H262" s="1070" t="e">
        <f ca="1">MINIFS(#REF!,#REF!,"&lt;&gt;0",#REF!,"&gt;="&amp;B252,#REF!,"&lt;="&amp;EOMONTH(B252,0))</f>
        <v>#NAME?</v>
      </c>
      <c r="I262" s="1078" t="e">
        <f ca="1">MAXIFS(#REF!,#REF!,"&lt;&gt;0",#REF!,"&gt;="&amp;B252,#REF!,"&lt;="&amp;EOMONTH(B252,0))</f>
        <v>#NAME?</v>
      </c>
      <c r="J262" s="1072" t="e">
        <f>COUNTIFS(#REF!,"&gt;="&amp;D262,#REF!,"&gt;="&amp;B252,#REF!,"&lt;="&amp;EOMONTH(B252,0))</f>
        <v>#REF!</v>
      </c>
      <c r="K262" s="1341" t="e">
        <f t="shared" si="111"/>
        <v>#REF!</v>
      </c>
      <c r="L262" s="1115"/>
      <c r="M262" s="1082"/>
      <c r="N262" s="1129"/>
      <c r="O262" s="1129"/>
      <c r="P262" s="1069"/>
      <c r="Q262" s="1069"/>
      <c r="R262" s="1069"/>
      <c r="S262" s="1069"/>
      <c r="T262" s="1143"/>
      <c r="U262" s="1143"/>
      <c r="V262" s="1132"/>
      <c r="W262" s="1129"/>
      <c r="X262" s="1129"/>
      <c r="Y262" s="1069"/>
      <c r="Z262" s="1069"/>
      <c r="AA262" s="1069"/>
      <c r="AB262" s="1069"/>
      <c r="AC262" s="1130"/>
      <c r="AD262" s="1131"/>
      <c r="AE262" s="1132"/>
      <c r="AF262" s="1105"/>
      <c r="AG262" s="1106"/>
      <c r="AH262" s="1106"/>
      <c r="AI262" s="1106"/>
      <c r="AJ262" s="1106"/>
      <c r="AK262" s="1132"/>
      <c r="AL262" s="1105"/>
      <c r="AM262" s="1106"/>
      <c r="AN262" s="1106"/>
      <c r="AO262" s="1106"/>
      <c r="AP262" s="1106"/>
      <c r="AQ262" s="1132"/>
      <c r="AR262" s="1148"/>
      <c r="AS262" s="1105"/>
      <c r="AT262" s="1106"/>
      <c r="AU262" s="1106"/>
      <c r="AV262" s="1106"/>
      <c r="AW262" s="1119"/>
      <c r="AX262" s="1120"/>
      <c r="AY262" s="1094"/>
      <c r="AZ262" s="1095" t="e">
        <f t="shared" si="112"/>
        <v>#REF!</v>
      </c>
      <c r="BA262" s="2"/>
    </row>
    <row r="263" spans="1:53" ht="15.75" hidden="1" customHeight="1" outlineLevel="1">
      <c r="A263" s="1027"/>
      <c r="B263" s="1096"/>
      <c r="C263" s="1121" t="s">
        <v>14</v>
      </c>
      <c r="D263" s="1122">
        <f>Parametres!$D$16</f>
        <v>10000000</v>
      </c>
      <c r="E263" s="1068" t="e">
        <f>COUNTIFS(#REF!,"&gt;0",#REF!,"&gt;="&amp;B252,#REF!,"&lt;="&amp;EOMONTH(B252,0))</f>
        <v>#REF!</v>
      </c>
      <c r="F263" s="1069" t="e">
        <f>SUMIFS(#REF!,#REF!,"&lt;&gt;0",#REF!,"&gt;="&amp;B252,#REF!,"&lt;="&amp;EOMONTH(B252,0))</f>
        <v>#REF!</v>
      </c>
      <c r="G263" s="1098" t="e">
        <f t="shared" si="110"/>
        <v>#REF!</v>
      </c>
      <c r="H263" s="1070" t="e">
        <f ca="1">MINIFS(#REF!,#REF!,"&lt;&gt;0",#REF!,"&gt;="&amp;B252,#REF!,"&lt;="&amp;EOMONTH(B252,0))</f>
        <v>#NAME?</v>
      </c>
      <c r="I263" s="1078" t="e">
        <f ca="1">MAXIFS(#REF!,#REF!,"&lt;&gt;0",#REF!,"&gt;="&amp;B252,#REF!,"&lt;="&amp;EOMONTH(B252,0))</f>
        <v>#NAME?</v>
      </c>
      <c r="J263" s="1072" t="e">
        <f>COUNTIFS(#REF!,"&gt;="&amp;D263,#REF!,"&gt;="&amp;B252,#REF!,"&lt;="&amp;EOMONTH(B252,0))</f>
        <v>#REF!</v>
      </c>
      <c r="K263" s="1341" t="e">
        <f t="shared" si="111"/>
        <v>#REF!</v>
      </c>
      <c r="L263" s="1115"/>
      <c r="M263" s="1082"/>
      <c r="N263" s="1129"/>
      <c r="O263" s="1129"/>
      <c r="P263" s="1069"/>
      <c r="Q263" s="1069"/>
      <c r="R263" s="1069"/>
      <c r="S263" s="1069"/>
      <c r="T263" s="1143"/>
      <c r="U263" s="1143"/>
      <c r="V263" s="1132"/>
      <c r="W263" s="1129"/>
      <c r="X263" s="1129"/>
      <c r="Y263" s="1069"/>
      <c r="Z263" s="1069"/>
      <c r="AA263" s="1069"/>
      <c r="AB263" s="1069"/>
      <c r="AC263" s="1130"/>
      <c r="AD263" s="1131"/>
      <c r="AE263" s="1132"/>
      <c r="AF263" s="1105"/>
      <c r="AG263" s="1106"/>
      <c r="AH263" s="1106"/>
      <c r="AI263" s="1106"/>
      <c r="AJ263" s="1106"/>
      <c r="AK263" s="1082"/>
      <c r="AL263" s="1136"/>
      <c r="AM263" s="1137"/>
      <c r="AN263" s="1137"/>
      <c r="AO263" s="1137"/>
      <c r="AP263" s="1137"/>
      <c r="AQ263" s="1082"/>
      <c r="AR263" s="1118"/>
      <c r="AS263" s="1105"/>
      <c r="AT263" s="1106"/>
      <c r="AU263" s="1106"/>
      <c r="AV263" s="1106"/>
      <c r="AW263" s="1138"/>
      <c r="AX263" s="1120"/>
      <c r="AY263" s="1094"/>
      <c r="AZ263" s="1095" t="e">
        <f t="shared" si="112"/>
        <v>#REF!</v>
      </c>
      <c r="BA263" s="2"/>
    </row>
    <row r="264" spans="1:53" ht="15.75" hidden="1" customHeight="1" outlineLevel="1">
      <c r="A264" s="1027"/>
      <c r="B264" s="1096"/>
      <c r="C264" s="1139" t="s">
        <v>284</v>
      </c>
      <c r="D264" s="1122">
        <f>Parametres!$D$17</f>
        <v>450</v>
      </c>
      <c r="E264" s="1068" t="e">
        <f>COUNTIFS(#REF!,"&gt;0",#REF!,"&gt;="&amp;B252,#REF!,"&lt;="&amp;EOMONTH(B252,0))</f>
        <v>#REF!</v>
      </c>
      <c r="F264" s="1069" t="e">
        <f>SUMIFS(#REF!,#REF!,"&lt;&gt;0",#REF!,"&gt;="&amp;B252,#REF!,"&lt;="&amp;EOMONTH(B252,0))</f>
        <v>#REF!</v>
      </c>
      <c r="G264" s="1069" t="e">
        <f t="shared" si="110"/>
        <v>#REF!</v>
      </c>
      <c r="H264" s="1070" t="e">
        <f ca="1">MINIFS(#REF!,#REF!,"&lt;&gt;0",#REF!,"&gt;="&amp;B252,#REF!,"&lt;="&amp;EOMONTH(B252,0))</f>
        <v>#NAME?</v>
      </c>
      <c r="I264" s="1078" t="e">
        <f ca="1">MAXIFS(#REF!,#REF!,"&lt;&gt;0",#REF!,"&gt;="&amp;B252,#REF!,"&lt;="&amp;EOMONTH(B252,0))</f>
        <v>#NAME?</v>
      </c>
      <c r="J264" s="1114" t="e">
        <f>COUNTIFS(#REF!,"&gt;="&amp;D264,#REF!,"&gt;="&amp;B252,#REF!,"&lt;="&amp;EOMONTH(B252,0))</f>
        <v>#REF!</v>
      </c>
      <c r="K264" s="1341" t="e">
        <f t="shared" si="111"/>
        <v>#REF!</v>
      </c>
      <c r="L264" s="1115"/>
      <c r="M264" s="1082"/>
      <c r="N264" s="1171"/>
      <c r="O264" s="1171"/>
      <c r="P264" s="1173"/>
      <c r="Q264" s="1173"/>
      <c r="R264" s="1173"/>
      <c r="S264" s="1173"/>
      <c r="T264" s="1175"/>
      <c r="U264" s="1175"/>
      <c r="V264" s="1177"/>
      <c r="W264" s="1129"/>
      <c r="X264" s="1129"/>
      <c r="Y264" s="1069"/>
      <c r="Z264" s="1069"/>
      <c r="AA264" s="1069"/>
      <c r="AB264" s="1069"/>
      <c r="AC264" s="1130"/>
      <c r="AD264" s="1131"/>
      <c r="AE264" s="1082"/>
      <c r="AF264" s="1105"/>
      <c r="AG264" s="1106"/>
      <c r="AH264" s="1106"/>
      <c r="AI264" s="1106"/>
      <c r="AJ264" s="1106"/>
      <c r="AK264" s="1132"/>
      <c r="AL264" s="1105"/>
      <c r="AM264" s="1106"/>
      <c r="AN264" s="1106"/>
      <c r="AO264" s="1106"/>
      <c r="AP264" s="1119"/>
      <c r="AQ264" s="1132"/>
      <c r="AR264" s="1148"/>
      <c r="AS264" s="1105"/>
      <c r="AT264" s="1106"/>
      <c r="AU264" s="1106"/>
      <c r="AV264" s="1106"/>
      <c r="AW264" s="1119"/>
      <c r="AX264" s="1120"/>
      <c r="AY264" s="1094"/>
      <c r="AZ264" s="1095" t="e">
        <f t="shared" si="112"/>
        <v>#REF!</v>
      </c>
      <c r="BA264" s="2"/>
    </row>
    <row r="265" spans="1:53" ht="15.75" hidden="1" customHeight="1" outlineLevel="1">
      <c r="A265" s="1027"/>
      <c r="B265" s="1096"/>
      <c r="C265" s="1182" t="s">
        <v>35</v>
      </c>
      <c r="D265" s="1122">
        <f>Parametres!$D$18</f>
        <v>1750</v>
      </c>
      <c r="E265" s="1068" t="e">
        <f>COUNTIFS(#REF!,"&gt;0",#REF!,"&gt;="&amp;B252,#REF!,"&lt;="&amp;EOMONTH(B252,0))</f>
        <v>#REF!</v>
      </c>
      <c r="F265" s="1069" t="e">
        <f>SUMIFS(#REF!,#REF!,"&lt;&gt;0",#REF!,"&gt;="&amp;B252,#REF!,"&lt;="&amp;EOMONTH(B252,0))</f>
        <v>#REF!</v>
      </c>
      <c r="G265" s="1069" t="e">
        <f t="shared" si="110"/>
        <v>#REF!</v>
      </c>
      <c r="H265" s="1070" t="e">
        <f ca="1">MINIFS(#REF!,#REF!,"&lt;&gt;0",#REF!,"&gt;="&amp;B252,#REF!,"&lt;="&amp;EOMONTH(B252,0))</f>
        <v>#NAME?</v>
      </c>
      <c r="I265" s="1078" t="e">
        <f ca="1">MAXIFS(#REF!,#REF!,"&lt;&gt;0",#REF!,"&gt;="&amp;B252,#REF!,"&lt;="&amp;EOMONTH(B252,0))</f>
        <v>#NAME?</v>
      </c>
      <c r="J265" s="1114" t="e">
        <f>COUNTIFS(#REF!,"&gt;="&amp;D265,#REF!,"&gt;="&amp;B252,#REF!,"&lt;="&amp;EOMONTH(B252,0))</f>
        <v>#REF!</v>
      </c>
      <c r="K265" s="1341" t="e">
        <f t="shared" si="111"/>
        <v>#REF!</v>
      </c>
      <c r="L265" s="1115"/>
      <c r="M265" s="1082"/>
      <c r="N265" s="1144">
        <f>Parametres!$L$18</f>
        <v>5000</v>
      </c>
      <c r="O265" s="1077">
        <f>COUNTIFS('Degrémont Entrée'!$K$14:$K$379,"&gt;0",'Degrémont Entrée'!$A$14:$A$379,"&gt;="&amp;B252,'Degrémont Entrée'!$A$14:$A$379,"&lt;="&amp;EOMONTH(B252,0))</f>
        <v>22</v>
      </c>
      <c r="P265" s="1078">
        <f>SUMIFS('Degrémont Entrée'!$K$14:$K$379,'Degrémont Entrée'!$K$14:$K$379,"&lt;&gt;0",'Degrémont Entrée'!$A$14:$A$379,"&gt;="&amp;B252,'Degrémont Entrée'!$A$14:$A$379,"&lt;="&amp;EOMONTH(B252,0))</f>
        <v>64656</v>
      </c>
      <c r="Q265" s="1078">
        <f t="shared" ref="Q265:Q267" si="115">IF(O265=0,0,P265/O265)</f>
        <v>2938.909090909091</v>
      </c>
      <c r="R265" s="1078" t="e">
        <f ca="1">MINIFS('Degrémont Entrée'!$K$14:$K$379,'Degrémont Entrée'!$K$14:$K$379,"&lt;&gt;0",'Degrémont Entrée'!$A$14:$A$379,"&gt;="&amp;B252,'Degrémont Entrée'!$A$14:$A$379,"&lt;="&amp;EOMONTH(B252,0))</f>
        <v>#NAME?</v>
      </c>
      <c r="S265" s="1078" t="e">
        <f ca="1">MAXIFS('Degrémont Entrée'!$K$14:$K$379,'Degrémont Entrée'!$K$14:$K$379,"&lt;&gt;0",'Degrémont Entrée'!$A$14:$A$379,"&gt;="&amp;B252,'Degrémont Entrée'!$A$14:$A$379,"&lt;="&amp;EOMONTH(B252,0))</f>
        <v>#NAME?</v>
      </c>
      <c r="T265" s="1080">
        <f>COUNTIFS('Degrémont Entrée'!$K$14:$K$379,"&gt;="&amp;N265,'Degrémont Entrée'!$A$14:$A$379,"&gt;="&amp;B252,'Degrémont Entrée'!$A$14:$A$379,"&lt;="&amp;EOMONTH(B252,0))</f>
        <v>3</v>
      </c>
      <c r="U265" s="1081">
        <f>T265/O265</f>
        <v>0.13636363636363635</v>
      </c>
      <c r="V265" s="1082"/>
      <c r="W265" s="1083">
        <f>Parametres!$T$18</f>
        <v>2000</v>
      </c>
      <c r="X265" s="1142">
        <f>COUNTIFS('Degrémont sortie'!$I$14:$I$379,"&gt;0",'Degrémont sortie'!$A$14:$A$379,"&gt;="&amp;B252,'Degrémont sortie'!$A$14:$A$379,"&lt;="&amp;EOMONTH(B252,0))</f>
        <v>23</v>
      </c>
      <c r="Y265" s="1085">
        <f>SUMIFS('Degrémont sortie'!$I$14:$I$379,'Degrémont sortie'!$I$14:$I$379,"&lt;&gt;0",'Degrémont sortie'!$A$14:$A$379,"&gt;="&amp;B252,'Degrémont sortie'!$A$14:$A$379,"&lt;="&amp;EOMONTH(B252,0))</f>
        <v>14379</v>
      </c>
      <c r="Z265" s="1069">
        <f>IF(X265=0,0,Y265/X265)</f>
        <v>625.17391304347825</v>
      </c>
      <c r="AA265" s="1069" t="e">
        <f ca="1">MINIFS('Degrémont sortie'!$I$14:$I$379,'Degrémont sortie'!$I$14:$I$379,"&lt;&gt;0",'Degrémont sortie'!$A$14:$A$379,"&gt;="&amp;B252,'Degrémont sortie'!$A$14:$A$379,"&lt;="&amp;EOMONTH(B252,0))</f>
        <v>#NAME?</v>
      </c>
      <c r="AB265" s="1069" t="e">
        <f ca="1">MAXIFS('Degrémont sortie'!$I$14:$I$379,'Degrémont sortie'!$I$14:$I$379,"&lt;&gt;0",'Degrémont sortie'!$A$14:$A$379,"&gt;="&amp;B252,'Degrémont sortie'!$A$14:$A$379,"&lt;="&amp;EOMONTH(B252,0))</f>
        <v>#NAME?</v>
      </c>
      <c r="AC265" s="1142">
        <f>COUNTIFS('Degrémont sortie'!$I$14:$I$379,"&gt;="&amp;W265,'Degrémont sortie'!$A$14:$A$379,"&gt;="&amp;B252,'Degrémont sortie'!$A$14:$A$379,"&lt;="&amp;EOMONTH(B252,0))</f>
        <v>0</v>
      </c>
      <c r="AD265" s="1087">
        <f>AC265/X265</f>
        <v>0</v>
      </c>
      <c r="AE265" s="1082"/>
      <c r="AF265" s="1205" t="e">
        <f>COUNTIFS(#REF!,"&gt;0",#REF!,"&gt;="&amp;B252,#REF!,"&lt;="&amp;EOMONTH(B252,0))</f>
        <v>#REF!</v>
      </c>
      <c r="AG265" s="1208" t="e">
        <f>SUMIFS(#REF!,#REF!,"&lt;&gt;0",#REF!,"&gt;="&amp;B252,#REF!,"&lt;="&amp;EOMONTH(B252,0))</f>
        <v>#REF!</v>
      </c>
      <c r="AH265" s="1208" t="e">
        <f>IF(AF265=0,0,AG265/AF265)</f>
        <v>#REF!</v>
      </c>
      <c r="AI265" s="1208" t="e">
        <f ca="1">MINIFS(#REF!,#REF!,"&lt;&gt;0",#REF!,"&gt;="&amp;B252,#REF!,"&lt;="&amp;EOMONTH(B252,0))</f>
        <v>#NAME?</v>
      </c>
      <c r="AJ265" s="1211" t="e">
        <f ca="1">MAXIFS(#REF!,#REF!,"&lt;&gt;0",#REF!,"&gt;="&amp;B252,#REF!,"&lt;="&amp;EOMONTH(B252,0))</f>
        <v>#NAME?</v>
      </c>
      <c r="AK265" s="1132"/>
      <c r="AL265" s="1205" t="e">
        <f>COUNTIFS(#REF!,"&gt;0",#REF!,"&gt;="&amp;B252,#REF!,"&lt;="&amp;EOMONTH(B252,0))</f>
        <v>#REF!</v>
      </c>
      <c r="AM265" s="1208" t="e">
        <f>SUMIFS(#REF!,#REF!,"&lt;&gt;0",#REF!,"&gt;="&amp;B252,#REF!,"&lt;="&amp;EOMONTH(B252,0))</f>
        <v>#REF!</v>
      </c>
      <c r="AN265" s="1208" t="e">
        <f>IF(AL265=0,0,AM265/AL265)</f>
        <v>#REF!</v>
      </c>
      <c r="AO265" s="1208" t="e">
        <f ca="1">MINIFS(#REF!,#REF!,"&lt;&gt;0",#REF!,"&gt;="&amp;B252,#REF!,"&lt;="&amp;EOMONTH(B252,0))</f>
        <v>#NAME?</v>
      </c>
      <c r="AP265" s="1218" t="e">
        <f ca="1">MAXIFS(#REF!,#REF!,"&lt;&gt;0",#REF!,"&gt;="&amp;B252,#REF!,"&lt;="&amp;EOMONTH(B252,0))</f>
        <v>#NAME?</v>
      </c>
      <c r="AQ265" s="1132"/>
      <c r="AR265" s="1220">
        <f>Parametres!$AM$18</f>
        <v>17000</v>
      </c>
      <c r="AS265" s="1205" t="e">
        <f>COUNTIFS(#REF!,"&gt;0",#REF!,"&gt;="&amp;B252,#REF!,"&lt;="&amp;EOMONTH(B252,0))</f>
        <v>#REF!</v>
      </c>
      <c r="AT265" s="1208" t="e">
        <f>SUMIFS(#REF!,#REF!,"&lt;&gt;0",#REF!,"&gt;="&amp;B252,#REF!,"&lt;="&amp;EOMONTH(B252,0))</f>
        <v>#REF!</v>
      </c>
      <c r="AU265" s="1208" t="e">
        <f>IF(AS265=0,0,AT265/AS265)</f>
        <v>#REF!</v>
      </c>
      <c r="AV265" s="1208" t="e">
        <f ca="1">MINIFS(#REF!,#REF!,"&lt;&gt;0",#REF!,"&gt;="&amp;B252,#REF!,"&lt;="&amp;EOMONTH(B252,0))</f>
        <v>#NAME?</v>
      </c>
      <c r="AW265" s="1222" t="e">
        <f ca="1">MAXIFS(#REF!,#REF!,"&lt;&gt;0",#REF!,"&gt;="&amp;B252,#REF!,"&lt;="&amp;EOMONTH(B252,0))</f>
        <v>#NAME?</v>
      </c>
      <c r="AX265" s="1223" t="e">
        <f>COUNTIFS(#REF!,"&gt;="&amp;AR265,#REF!,"&gt;="&amp;B252,#REF!,"&lt;="&amp;EOMONTH(B252,0))</f>
        <v>#REF!</v>
      </c>
      <c r="AY265" s="1224" t="e">
        <f>AX265/AS265</f>
        <v>#REF!</v>
      </c>
      <c r="AZ265" s="1095" t="e">
        <f t="shared" si="112"/>
        <v>#REF!</v>
      </c>
      <c r="BA265" s="2"/>
    </row>
    <row r="266" spans="1:53" ht="15.75" hidden="1" customHeight="1" outlineLevel="1">
      <c r="A266" s="1027"/>
      <c r="B266" s="1096"/>
      <c r="C266" s="1139" t="s">
        <v>36</v>
      </c>
      <c r="D266" s="1122">
        <f>Parametres!$D$19</f>
        <v>100000</v>
      </c>
      <c r="E266" s="1068" t="e">
        <f>COUNTIFS(#REF!,"&gt;0",#REF!,"&gt;="&amp;B252,#REF!,"&lt;="&amp;EOMONTH(B252,0))</f>
        <v>#REF!</v>
      </c>
      <c r="F266" s="1069" t="e">
        <f>SUMIFS(#REF!,#REF!,"&lt;&gt;0",#REF!,"&gt;="&amp;B252,#REF!,"&lt;="&amp;EOMONTH(B252,0))</f>
        <v>#REF!</v>
      </c>
      <c r="G266" s="1069" t="e">
        <f t="shared" si="110"/>
        <v>#REF!</v>
      </c>
      <c r="H266" s="1070" t="e">
        <f ca="1">MINIFS(#REF!,#REF!,"&lt;&gt;0",#REF!,"&gt;="&amp;B252,#REF!,"&lt;="&amp;EOMONTH(B252,0))</f>
        <v>#NAME?</v>
      </c>
      <c r="I266" s="1078" t="e">
        <f ca="1">MAXIFS(#REF!,#REF!,"&lt;&gt;0",#REF!,"&gt;="&amp;B252,#REF!,"&lt;="&amp;EOMONTH(B252,0))</f>
        <v>#NAME?</v>
      </c>
      <c r="J266" s="1072" t="s">
        <v>153</v>
      </c>
      <c r="K266" s="1072" t="s">
        <v>153</v>
      </c>
      <c r="L266" s="1115"/>
      <c r="M266" s="1082"/>
      <c r="N266" s="1144">
        <f>Parametres!$L$19</f>
        <v>100000</v>
      </c>
      <c r="O266" s="1077">
        <f>COUNTIFS('Degrémont Entrée'!$O$14:$O$379,"&gt;0",'Degrémont Entrée'!$A$14:$A$379,"&gt;="&amp;B252,'Degrémont Entrée'!$A$14:$A$379,"&lt;="&amp;EOMONTH(B252,0))</f>
        <v>22</v>
      </c>
      <c r="P266" s="1078">
        <f>SUMIFS('Degrémont Entrée'!$O$14:$O$379,'Degrémont Entrée'!$O$14:$O$379,"&lt;&gt;0",'Degrémont Entrée'!$A$14:$A$379,"&gt;="&amp;B252,'Degrémont Entrée'!$A$14:$A$379,"&lt;="&amp;EOMONTH(B252,0))</f>
        <v>15658</v>
      </c>
      <c r="Q266" s="1078">
        <f t="shared" si="115"/>
        <v>711.72727272727275</v>
      </c>
      <c r="R266" s="1173" t="e">
        <f ca="1">MINIFS('Degrémont Entrée'!$O$14:$O$379,'Degrémont Entrée'!$O$14:$O$379,"&lt;&gt;0",'Degrémont Entrée'!$A$14:$A$379,"&gt;="&amp;B252,'Degrémont Entrée'!$A$14:$A$379,"&lt;="&amp;EOMONTH(B252,0))</f>
        <v>#NAME?</v>
      </c>
      <c r="S266" s="1227" t="e">
        <f ca="1">MAXIFS('Degrémont Entrée'!$O$14:$O$379,'Degrémont Entrée'!$O$14:$O$379,"&lt;&gt;0",'Degrémont Entrée'!$A$14:$A$379,"&gt;="&amp;B252,'Degrémont Entrée'!$A$14:$A$379,"&lt;="&amp;EOMONTH(B252,0))</f>
        <v>#NAME?</v>
      </c>
      <c r="T266" s="1228" t="s">
        <v>153</v>
      </c>
      <c r="U266" s="1228" t="s">
        <v>153</v>
      </c>
      <c r="V266" s="1177"/>
      <c r="W266" s="1129"/>
      <c r="X266" s="1129"/>
      <c r="Y266" s="1069"/>
      <c r="Z266" s="1069"/>
      <c r="AA266" s="1069"/>
      <c r="AB266" s="1069"/>
      <c r="AC266" s="1130"/>
      <c r="AD266" s="1131"/>
      <c r="AE266" s="1082"/>
      <c r="AF266" s="1106"/>
      <c r="AG266" s="1106"/>
      <c r="AH266" s="1106"/>
      <c r="AI266" s="1106"/>
      <c r="AJ266" s="1106"/>
      <c r="AK266" s="1132"/>
      <c r="AL266" s="1106"/>
      <c r="AM266" s="1106"/>
      <c r="AN266" s="1106"/>
      <c r="AO266" s="1106"/>
      <c r="AP266" s="1119"/>
      <c r="AQ266" s="1132"/>
      <c r="AR266" s="1106"/>
      <c r="AS266" s="1106"/>
      <c r="AT266" s="1106"/>
      <c r="AU266" s="1106"/>
      <c r="AV266" s="1106"/>
      <c r="AW266" s="1119"/>
      <c r="AX266" s="1120"/>
      <c r="AY266" s="1094"/>
      <c r="AZ266" s="1095" t="e">
        <f t="shared" si="112"/>
        <v>#REF!</v>
      </c>
      <c r="BA266" s="2"/>
    </row>
    <row r="267" spans="1:53" ht="15.75" hidden="1" customHeight="1" outlineLevel="1">
      <c r="A267" s="1027"/>
      <c r="B267" s="1096"/>
      <c r="C267" s="1139" t="s">
        <v>32</v>
      </c>
      <c r="D267" s="1122">
        <f>Parametres!$D$20</f>
        <v>4800</v>
      </c>
      <c r="E267" s="1068" t="e">
        <f>COUNTIFS(#REF!,"&gt;0",#REF!,"&gt;="&amp;B252,#REF!,"&lt;="&amp;EOMONTH(B252,0))</f>
        <v>#REF!</v>
      </c>
      <c r="F267" s="1069" t="e">
        <f>SUMIFS(#REF!,#REF!,"&lt;&gt;0",#REF!,"&gt;="&amp;B252,#REF!,"&lt;="&amp;EOMONTH(B252,0))</f>
        <v>#REF!</v>
      </c>
      <c r="G267" s="1069" t="e">
        <f t="shared" si="110"/>
        <v>#REF!</v>
      </c>
      <c r="H267" s="1070" t="e">
        <f ca="1">MINIFS(#REF!,#REF!,"&lt;&gt;0",#REF!,"&gt;="&amp;B252,#REF!,"&lt;="&amp;EOMONTH(B252,0))</f>
        <v>#NAME?</v>
      </c>
      <c r="I267" s="1078" t="e">
        <f ca="1">MAXIFS(#REF!,#REF!,"&lt;&gt;0",#REF!,"&gt;="&amp;B252,#REF!,"&lt;="&amp;EOMONTH(B252,0))</f>
        <v>#NAME?</v>
      </c>
      <c r="J267" s="1072" t="e">
        <f>COUNTIFS(#REF!,"&gt;="&amp;D267,#REF!,"&gt;="&amp;B252,#REF!,"&lt;="&amp;EOMONTH(B252,0))</f>
        <v>#REF!</v>
      </c>
      <c r="K267" s="1341" t="e">
        <f t="shared" ref="K267:K268" si="116">J267/E267</f>
        <v>#REF!</v>
      </c>
      <c r="L267" s="1115"/>
      <c r="M267" s="1082"/>
      <c r="N267" s="1144">
        <f>Parametres!$L$20</f>
        <v>1000</v>
      </c>
      <c r="O267" s="1077">
        <f>COUNTIFS('Degrémont Entrée'!$B$14:$B$379,"&gt;0",'Degrémont Entrée'!$A$14:$A$379,"&gt;="&amp;B252,'Degrémont Entrée'!$A$14:$A$379,"&lt;="&amp;EOMONTH(B252,0))</f>
        <v>18</v>
      </c>
      <c r="P267" s="1078">
        <f>SUMIFS('Degrémont Entrée'!$B$14:$B$379,'Degrémont Entrée'!$B$14:$B$379,"&lt;&gt;0",'Degrémont Entrée'!$A$14:$A$379,"&gt;="&amp;B252,'Degrémont Entrée'!$A$14:$A$379,"&lt;="&amp;EOMONTH(B252,0))</f>
        <v>16690</v>
      </c>
      <c r="Q267" s="1078">
        <f t="shared" si="115"/>
        <v>927.22222222222217</v>
      </c>
      <c r="R267" s="1173" t="e">
        <f ca="1">MINIFS('Degrémont Entrée'!$B$14:$B$379,'Degrémont Entrée'!$B$14:$B$379,"&lt;&gt;0",'Degrémont Entrée'!$A$14:$A$379,"&gt;="&amp;B252,'Degrémont Entrée'!$A$14:$A$379,"&lt;="&amp;EOMONTH(B252,0))</f>
        <v>#NAME?</v>
      </c>
      <c r="S267" s="1078" t="e">
        <f ca="1">MAXIFS('Degrémont Entrée'!$B$14:$B$379,'Degrémont Entrée'!$B$14:$B$379,"&lt;&gt;0",'Degrémont Entrée'!$A$14:$A$379,"&gt;="&amp;B252,'Degrémont Entrée'!$A$14:$A$379,"&lt;="&amp;EOMONTH(B252,0))</f>
        <v>#NAME?</v>
      </c>
      <c r="T267" s="1236">
        <f>COUNTIFS('Degrémont Entrée'!$B$14:$B$379,"&gt;="&amp;N267,'Degrémont Entrée'!$A$14:$A$379,"&gt;="&amp;B252,'Degrémont Entrée'!$A$14:$A$379,"&lt;="&amp;EOMONTH(B252,0))</f>
        <v>3</v>
      </c>
      <c r="U267" s="1081">
        <f>T267/O267</f>
        <v>0.16666666666666666</v>
      </c>
      <c r="V267" s="1177"/>
      <c r="W267" s="1083">
        <f>Parametres!$T$20</f>
        <v>1000</v>
      </c>
      <c r="X267" s="1142">
        <f>COUNTIFS('Degrémont sortie'!$B$14:$B$379,"&gt;0",'Degrémont sortie'!$A$14:$A$379,"&gt;="&amp;B252,'Degrémont sortie'!$A$14:$A$379,"&lt;="&amp;EOMONTH(B252,0))</f>
        <v>18</v>
      </c>
      <c r="Y267" s="1085">
        <f>SUMIFS('Degrémont sortie'!$B$14:$B$379,'Degrémont sortie'!$B$14:$B$379,"&lt;&gt;0",'Degrémont sortie'!$A$14:$A$379,"&gt;="&amp;B252,'Degrémont sortie'!$A$14:$A$379,"&lt;="&amp;EOMONTH(B252,0))</f>
        <v>16690</v>
      </c>
      <c r="Z267" s="1069">
        <f>IF(X267=0,0,Y267/X267)</f>
        <v>927.22222222222217</v>
      </c>
      <c r="AA267" s="1069" t="e">
        <f ca="1">MINIFS('Degrémont sortie'!$B$14:$B$379,'Degrémont sortie'!$B$14:$B$379,"&lt;&gt;0",'Degrémont sortie'!$A$14:$A$379,"&gt;="&amp;B252,'Degrémont sortie'!$A$14:$A$379,"&lt;="&amp;EOMONTH(B252,0))</f>
        <v>#NAME?</v>
      </c>
      <c r="AB267" s="1069" t="e">
        <f ca="1">MAXIFS('Degrémont sortie'!$B$14:$B$379,'Degrémont sortie'!$B$14:$B$379,"&lt;&gt;0",'Degrémont sortie'!$A$14:$A$379,"&gt;="&amp;B252,'Degrémont sortie'!$A$14:$A$379,"&lt;="&amp;EOMONTH(B252,0))</f>
        <v>#NAME?</v>
      </c>
      <c r="AC267" s="1142">
        <f>COUNTIFS('Degrémont sortie'!$B$14:$B$379,"&gt;="&amp;W267,'Degrémont sortie'!$A$14:$A$379,"&gt;="&amp;B252,'Degrémont sortie'!$A$14:$A$379,"&lt;="&amp;EOMONTH(B252,0))</f>
        <v>3</v>
      </c>
      <c r="AD267" s="1087">
        <f>AC267/X267</f>
        <v>0.16666666666666666</v>
      </c>
      <c r="AE267" s="1082"/>
      <c r="AF267" s="1205" t="e">
        <f>COUNTIFS(#REF!,"&gt;0",#REF!,"&gt;="&amp;B252,#REF!,"&lt;="&amp;EOMONTH(B252,0))</f>
        <v>#REF!</v>
      </c>
      <c r="AG267" s="1208" t="e">
        <f>SUMIFS(#REF!,#REF!,"&lt;&gt;0",#REF!,"&gt;="&amp;B252,#REF!,"&lt;="&amp;EOMONTH(B252,0))</f>
        <v>#REF!</v>
      </c>
      <c r="AH267" s="1208" t="e">
        <f>IF(AF267=0,0,AG267/AF267)</f>
        <v>#REF!</v>
      </c>
      <c r="AI267" s="1208" t="e">
        <f ca="1">MINIFS(#REF!,#REF!,"&lt;&gt;0",#REF!,"&gt;="&amp;B252,#REF!,"&lt;="&amp;EOMONTH(B252,0))</f>
        <v>#NAME?</v>
      </c>
      <c r="AJ267" s="1208" t="e">
        <f ca="1">MAXIFS(#REF!,#REF!,"&lt;&gt;0",#REF!,"&gt;="&amp;B252,#REF!,"&lt;="&amp;EOMONTH(B252,0))</f>
        <v>#NAME?</v>
      </c>
      <c r="AK267" s="1132"/>
      <c r="AL267" s="1106"/>
      <c r="AM267" s="1106"/>
      <c r="AN267" s="1106"/>
      <c r="AO267" s="1106"/>
      <c r="AP267" s="1119"/>
      <c r="AQ267" s="1132"/>
      <c r="AR267" s="1220">
        <f>Parametres!$AM$20</f>
        <v>1000000</v>
      </c>
      <c r="AS267" s="1205" t="e">
        <f>COUNTIFS(#REF!,"&gt;0",#REF!,"&gt;="&amp;B252,#REF!,"&lt;="&amp;EOMONTH(B252,0))</f>
        <v>#REF!</v>
      </c>
      <c r="AT267" s="1208" t="e">
        <f>SUMIFS(#REF!,#REF!,"&lt;&gt;0",#REF!,"&gt;="&amp;B252,#REF!,"&lt;="&amp;EOMONTH(B252,0))</f>
        <v>#REF!</v>
      </c>
      <c r="AU267" s="1208" t="e">
        <f>IF(AS267=0,0,AT267/AS267)</f>
        <v>#REF!</v>
      </c>
      <c r="AV267" s="1208" t="e">
        <f ca="1">MINIFS(#REF!,#REF!,"&lt;&gt;0",#REF!,"&gt;="&amp;B252,#REF!,"&lt;="&amp;EOMONTH(B252,0))</f>
        <v>#NAME?</v>
      </c>
      <c r="AW267" s="1222" t="e">
        <f ca="1">MAXIFS(#REF!,#REF!,"&lt;&gt;0",#REF!,"&gt;="&amp;B252,#REF!,"&lt;="&amp;EOMONTH(B252,0))</f>
        <v>#NAME?</v>
      </c>
      <c r="AX267" s="1243" t="s">
        <v>153</v>
      </c>
      <c r="AY267" s="1224" t="e">
        <f>AX267/AS267</f>
        <v>#VALUE!</v>
      </c>
      <c r="AZ267" s="1095" t="e">
        <f t="shared" si="112"/>
        <v>#REF!</v>
      </c>
      <c r="BA267" s="2"/>
    </row>
    <row r="268" spans="1:53" ht="15.75" hidden="1" customHeight="1" outlineLevel="1">
      <c r="A268" s="1027"/>
      <c r="B268" s="1096"/>
      <c r="C268" s="1121" t="s">
        <v>21</v>
      </c>
      <c r="D268" s="1122">
        <f>Parametres!$D$22</f>
        <v>2</v>
      </c>
      <c r="E268" s="1068" t="e">
        <f>COUNTIFS(#REF!,"&gt;0",#REF!,"&gt;="&amp;B252,#REF!,"&lt;="&amp;EOMONTH(B252,0))</f>
        <v>#REF!</v>
      </c>
      <c r="F268" s="1069" t="e">
        <f>SUMIFS(#REF!,#REF!,"&lt;&gt;0",#REF!,"&gt;="&amp;B252,#REF!,"&lt;="&amp;EOMONTH(B252,0))</f>
        <v>#REF!</v>
      </c>
      <c r="G268" s="1069" t="e">
        <f t="shared" si="110"/>
        <v>#REF!</v>
      </c>
      <c r="H268" s="1070" t="e">
        <f ca="1">MINIFS(#REF!,#REF!,"&lt;&gt;0",#REF!,"&gt;="&amp;B252,#REF!,"&lt;="&amp;EOMONTH(B252,0))</f>
        <v>#NAME?</v>
      </c>
      <c r="I268" s="1078" t="e">
        <f ca="1">MAXIFS(#REF!,#REF!,"&lt;&gt;0",#REF!,"&gt;="&amp;B252,#REF!,"&lt;="&amp;EOMONTH(B252,0))</f>
        <v>#NAME?</v>
      </c>
      <c r="J268" s="1072" t="e">
        <f>COUNTIFS(#REF!,"&gt;="&amp;D268,#REF!,"&gt;="&amp;B252,#REF!,"&lt;="&amp;EOMONTH(B252,0))</f>
        <v>#REF!</v>
      </c>
      <c r="K268" s="1341" t="e">
        <f t="shared" si="116"/>
        <v>#REF!</v>
      </c>
      <c r="L268" s="1115"/>
      <c r="M268" s="1082"/>
      <c r="N268" s="1171"/>
      <c r="O268" s="1171"/>
      <c r="P268" s="1173"/>
      <c r="Q268" s="1173"/>
      <c r="R268" s="1173"/>
      <c r="S268" s="1173"/>
      <c r="T268" s="1175"/>
      <c r="U268" s="1175"/>
      <c r="V268" s="1082"/>
      <c r="W268" s="1106"/>
      <c r="X268" s="1106"/>
      <c r="Y268" s="1069"/>
      <c r="Z268" s="1069"/>
      <c r="AA268" s="1069"/>
      <c r="AB268" s="1069"/>
      <c r="AC268" s="1248"/>
      <c r="AD268" s="1249"/>
      <c r="AE268" s="1082"/>
      <c r="AF268" s="1106"/>
      <c r="AG268" s="1106"/>
      <c r="AH268" s="1106"/>
      <c r="AI268" s="1106"/>
      <c r="AJ268" s="1106"/>
      <c r="AK268" s="1132"/>
      <c r="AL268" s="1106"/>
      <c r="AM268" s="1106"/>
      <c r="AN268" s="1106"/>
      <c r="AO268" s="1106"/>
      <c r="AP268" s="1119"/>
      <c r="AQ268" s="1132"/>
      <c r="AR268" s="1106"/>
      <c r="AS268" s="1106"/>
      <c r="AT268" s="1106"/>
      <c r="AU268" s="1106"/>
      <c r="AV268" s="1106"/>
      <c r="AW268" s="1119"/>
      <c r="AX268" s="1120"/>
      <c r="AY268" s="1094"/>
      <c r="AZ268" s="1095" t="e">
        <f t="shared" si="112"/>
        <v>#REF!</v>
      </c>
      <c r="BA268" s="2"/>
    </row>
    <row r="269" spans="1:53" ht="15.75" hidden="1" customHeight="1" outlineLevel="1">
      <c r="A269" s="1027"/>
      <c r="B269" s="1096"/>
      <c r="C269" s="1121" t="s">
        <v>22</v>
      </c>
      <c r="D269" s="1122">
        <f>Parametres!$D$23</f>
        <v>1000000</v>
      </c>
      <c r="E269" s="1068" t="e">
        <f>COUNTIFS(#REF!,"&gt;0",#REF!,"&gt;="&amp;B252,#REF!,"&lt;="&amp;EOMONTH(B252,0))</f>
        <v>#REF!</v>
      </c>
      <c r="F269" s="1069" t="e">
        <f>SUMIFS(#REF!,#REF!,"&lt;&gt;0",#REF!,"&gt;="&amp;B252,#REF!,"&lt;="&amp;EOMONTH(B252,0))</f>
        <v>#REF!</v>
      </c>
      <c r="G269" s="1069" t="e">
        <f t="shared" si="110"/>
        <v>#REF!</v>
      </c>
      <c r="H269" s="1070" t="e">
        <f ca="1">MINIFS(#REF!,#REF!,"&lt;&gt;0",#REF!,"&gt;="&amp;B252,#REF!,"&lt;="&amp;EOMONTH(B252,0))</f>
        <v>#NAME?</v>
      </c>
      <c r="I269" s="1078" t="e">
        <f ca="1">MAXIFS(#REF!,#REF!,"&lt;&gt;0",#REF!,"&gt;="&amp;B252,#REF!,"&lt;="&amp;EOMONTH(B252,0))</f>
        <v>#NAME?</v>
      </c>
      <c r="J269" s="1072" t="s">
        <v>153</v>
      </c>
      <c r="K269" s="1072" t="s">
        <v>153</v>
      </c>
      <c r="L269" s="1115"/>
      <c r="M269" s="1082"/>
      <c r="N269" s="1171"/>
      <c r="O269" s="1171"/>
      <c r="P269" s="1173"/>
      <c r="Q269" s="1173"/>
      <c r="R269" s="1173"/>
      <c r="S269" s="1173"/>
      <c r="T269" s="1175"/>
      <c r="U269" s="1175"/>
      <c r="V269" s="1082"/>
      <c r="W269" s="1106"/>
      <c r="X269" s="1106"/>
      <c r="Y269" s="1069"/>
      <c r="Z269" s="1069"/>
      <c r="AA269" s="1069"/>
      <c r="AB269" s="1069"/>
      <c r="AC269" s="1248"/>
      <c r="AD269" s="1249"/>
      <c r="AE269" s="1082"/>
      <c r="AF269" s="1106"/>
      <c r="AG269" s="1106"/>
      <c r="AH269" s="1106"/>
      <c r="AI269" s="1106"/>
      <c r="AJ269" s="1106"/>
      <c r="AK269" s="1132"/>
      <c r="AL269" s="1106"/>
      <c r="AM269" s="1106"/>
      <c r="AN269" s="1106"/>
      <c r="AO269" s="1106"/>
      <c r="AP269" s="1119"/>
      <c r="AQ269" s="1132"/>
      <c r="AR269" s="1106"/>
      <c r="AS269" s="1106"/>
      <c r="AT269" s="1106"/>
      <c r="AU269" s="1106"/>
      <c r="AV269" s="1106"/>
      <c r="AW269" s="1119"/>
      <c r="AX269" s="1120"/>
      <c r="AY269" s="1094"/>
      <c r="AZ269" s="1095" t="e">
        <f t="shared" si="112"/>
        <v>#REF!</v>
      </c>
      <c r="BA269" s="2"/>
    </row>
    <row r="270" spans="1:53" ht="15.75" hidden="1" customHeight="1" outlineLevel="1">
      <c r="A270" s="1027"/>
      <c r="B270" s="1096"/>
      <c r="C270" s="1139" t="s">
        <v>44</v>
      </c>
      <c r="D270" s="1122">
        <f>Parametres!$D$24</f>
        <v>5</v>
      </c>
      <c r="E270" s="1068" t="e">
        <f>COUNTIFS(#REF!,"&gt;0",#REF!,"&gt;="&amp;B252,#REF!,"&lt;="&amp;EOMONTH(B252,0))</f>
        <v>#REF!</v>
      </c>
      <c r="F270" s="1069" t="e">
        <f>SUMIFS(#REF!,#REF!,"&lt;&gt;0",#REF!,"&gt;="&amp;B252,#REF!,"&lt;="&amp;EOMONTH(B252,0))</f>
        <v>#REF!</v>
      </c>
      <c r="G270" s="1069" t="e">
        <f t="shared" si="110"/>
        <v>#REF!</v>
      </c>
      <c r="H270" s="1070" t="e">
        <f ca="1">MINIFS(#REF!,#REF!,"&lt;&gt;0",#REF!,"&gt;="&amp;B252,#REF!,"&lt;="&amp;EOMONTH(B252,0))</f>
        <v>#NAME?</v>
      </c>
      <c r="I270" s="1078" t="e">
        <f ca="1">MAXIFS(#REF!,#REF!,"&lt;&gt;0",#REF!,"&gt;="&amp;B252,#REF!,"&lt;="&amp;EOMONTH(B252,0))</f>
        <v>#NAME?</v>
      </c>
      <c r="J270" s="1072" t="e">
        <f>COUNTIFS(#REF!,"&gt;="&amp;D270,#REF!,"&gt;="&amp;B252,#REF!,"&lt;="&amp;EOMONTH(B252,0))</f>
        <v>#REF!</v>
      </c>
      <c r="K270" s="1341" t="e">
        <f t="shared" ref="K270:K278" si="117">J270/E270</f>
        <v>#REF!</v>
      </c>
      <c r="L270" s="1115"/>
      <c r="M270" s="1082"/>
      <c r="N270" s="1144">
        <f>Parametres!$L$24</f>
        <v>60</v>
      </c>
      <c r="O270" s="1077">
        <f>COUNTIFS('Degrémont Entrée'!$AP$14:$AP$379,"&gt;0",'Degrémont Entrée'!$A$14:$A$379,"&gt;="&amp;B252,'Degrémont Entrée'!$A$14:$A$379,"&lt;="&amp;EOMONTH(B252,0))</f>
        <v>4</v>
      </c>
      <c r="P270" s="1078">
        <f>SUMIFS('Degrémont Entrée'!$AP$14:$AP$379,'Degrémont Entrée'!$AP$14:$AP$379,"&lt;&gt;0",'Degrémont Entrée'!$A$14:$A$379,"&gt;="&amp;B252,'Degrémont Entrée'!$A$14:$A$379,"&lt;="&amp;EOMONTH(B252,0))</f>
        <v>153.51000000000002</v>
      </c>
      <c r="Q270" s="1078">
        <f>IF(O270=0,0,P270/O270)</f>
        <v>38.377500000000005</v>
      </c>
      <c r="R270" s="1078" t="e">
        <f ca="1">MINIFS('Degrémont Entrée'!$AP$14:$AP$379,'Degrémont Entrée'!$AP$14:$AP$379,"&lt;&gt;0",'Degrémont Entrée'!$A$14:$A$379,"&gt;="&amp;B252,'Degrémont Entrée'!$A$14:$A$379,"&lt;="&amp;EOMONTH(B252,0))</f>
        <v>#NAME?</v>
      </c>
      <c r="S270" s="1078" t="e">
        <f ca="1">MAXIFS('Degrémont Entrée'!$AP$14:$AP$379,'Degrémont Entrée'!$AP$14:$AP$379,"&lt;&gt;0",'Degrémont Entrée'!$A$14:$A$379,"&gt;="&amp;B252,'Degrémont Entrée'!$A$14:$A$379,"&lt;="&amp;EOMONTH(B252,0))</f>
        <v>#NAME?</v>
      </c>
      <c r="T270" s="1080">
        <f>COUNTIFS('Degrémont Entrée'!$AP$14:$AP$379,"&gt;="&amp;N270,'Degrémont Entrée'!$A$14:$A$379,"&gt;="&amp;B252,'Degrémont Entrée'!$A$14:$A$379,"&lt;="&amp;EOMONTH(B252,0))</f>
        <v>0</v>
      </c>
      <c r="U270" s="1081">
        <f>T270/O270</f>
        <v>0</v>
      </c>
      <c r="V270" s="1082"/>
      <c r="W270" s="1083">
        <f>Parametres!$T$24</f>
        <v>1.6</v>
      </c>
      <c r="X270" s="1142">
        <f>COUNTIFS('Degrémont sortie'!$AJ$14:$AJ$379,"&gt;0",'Degrémont sortie'!$A$14:$A$379,"&gt;="&amp;B252,'Degrémont sortie'!$A$14:$A$379,"&lt;="&amp;EOMONTH(B252,0))</f>
        <v>4</v>
      </c>
      <c r="Y270" s="1085">
        <f>SUMIFS('Degrémont sortie'!$AJ$14:$AJ$379,'Degrémont sortie'!$AJ$14:$AJ$379,"&lt;&gt;0",'Degrémont sortie'!$A$14:$A$379,"&gt;="&amp;B252,'Degrémont sortie'!$A$14:$A$379,"&lt;="&amp;EOMONTH(B252,0))</f>
        <v>1.7</v>
      </c>
      <c r="Z270" s="1069">
        <f>IF(X270=0,0,Y270/X270)</f>
        <v>0.42499999999999999</v>
      </c>
      <c r="AA270" s="1069" t="e">
        <f ca="1">MINIFS('Degrémont sortie'!$AJ$14:$AJ$379,'Degrémont sortie'!$AJ$14:$AJ$379,"&lt;&gt;0",'Degrémont sortie'!$A$14:$A$379,"&gt;="&amp;B252,'Degrémont sortie'!$A$14:$A$379,"&lt;="&amp;EOMONTH(B252,0))</f>
        <v>#NAME?</v>
      </c>
      <c r="AB270" s="1069" t="e">
        <f ca="1">MAXIFS('Degrémont sortie'!$AJ$14:$AJ$379,'Degrémont sortie'!$AJ$14:$AJ$379,"&lt;&gt;0",'Degrémont sortie'!$A$14:$A$379,"&gt;="&amp;B252,'Degrémont sortie'!$A$14:$A$379,"&lt;="&amp;EOMONTH(B252,0))</f>
        <v>#NAME?</v>
      </c>
      <c r="AC270" s="1142">
        <f>COUNTIFS('Degrémont sortie'!$AJ$14:$AJ$379,"&gt;="&amp;W270,'Degrémont sortie'!$A$14:$A$379,"&gt;="&amp;B252,'Degrémont sortie'!$A$14:$A$379,"&lt;="&amp;EOMONTH(B252,0))</f>
        <v>0</v>
      </c>
      <c r="AD270" s="1087">
        <f>AC270/X270</f>
        <v>0</v>
      </c>
      <c r="AE270" s="1082"/>
      <c r="AF270" s="1106"/>
      <c r="AG270" s="1106"/>
      <c r="AH270" s="1106"/>
      <c r="AI270" s="1106"/>
      <c r="AJ270" s="1106"/>
      <c r="AK270" s="1132"/>
      <c r="AL270" s="1106"/>
      <c r="AM270" s="1106"/>
      <c r="AN270" s="1106"/>
      <c r="AO270" s="1106"/>
      <c r="AP270" s="1119"/>
      <c r="AQ270" s="1132"/>
      <c r="AR270" s="1106"/>
      <c r="AS270" s="1106"/>
      <c r="AT270" s="1106"/>
      <c r="AU270" s="1106"/>
      <c r="AV270" s="1106"/>
      <c r="AW270" s="1119"/>
      <c r="AX270" s="1120"/>
      <c r="AY270" s="1094"/>
      <c r="AZ270" s="1095" t="e">
        <f t="shared" si="112"/>
        <v>#REF!</v>
      </c>
      <c r="BA270" s="2"/>
    </row>
    <row r="271" spans="1:53" ht="15.75" hidden="1" customHeight="1" outlineLevel="1">
      <c r="A271" s="1027"/>
      <c r="B271" s="1096"/>
      <c r="C271" s="1121" t="s">
        <v>169</v>
      </c>
      <c r="D271" s="1122">
        <f>Parametres!$D$25</f>
        <v>4</v>
      </c>
      <c r="E271" s="1068" t="e">
        <f>COUNTIFS(#REF!,"&gt;0",#REF!,"&gt;="&amp;B252,#REF!,"&lt;="&amp;EOMONTH(B252,0))</f>
        <v>#REF!</v>
      </c>
      <c r="F271" s="1069" t="e">
        <f>SUMIFS(#REF!,#REF!,"&lt;&gt;0",#REF!,"&gt;="&amp;B252,#REF!,"&lt;="&amp;EOMONTH(B252,0))</f>
        <v>#REF!</v>
      </c>
      <c r="G271" s="1069" t="e">
        <f t="shared" si="110"/>
        <v>#REF!</v>
      </c>
      <c r="H271" s="1070" t="e">
        <f ca="1">MINIFS(#REF!,#REF!,"&lt;&gt;0",#REF!,"&gt;="&amp;B252,#REF!,"&lt;="&amp;EOMONTH(B252,0))</f>
        <v>#NAME?</v>
      </c>
      <c r="I271" s="1078" t="e">
        <f ca="1">MAXIFS(#REF!,#REF!,"&lt;&gt;0",#REF!,"&gt;="&amp;B252,#REF!,"&lt;="&amp;EOMONTH(B252,0))</f>
        <v>#NAME?</v>
      </c>
      <c r="J271" s="1072" t="e">
        <f>COUNTIFS(#REF!,"&gt;="&amp;D271,#REF!,"&gt;="&amp;B252,#REF!,"&lt;="&amp;EOMONTH(B252,0))</f>
        <v>#REF!</v>
      </c>
      <c r="K271" s="1341" t="e">
        <f t="shared" si="117"/>
        <v>#REF!</v>
      </c>
      <c r="L271" s="1115"/>
      <c r="M271" s="1082"/>
      <c r="N271" s="1263"/>
      <c r="O271" s="1263"/>
      <c r="P271" s="1078"/>
      <c r="Q271" s="1078"/>
      <c r="R271" s="1078"/>
      <c r="S271" s="1078"/>
      <c r="T271" s="1264"/>
      <c r="U271" s="1264"/>
      <c r="V271" s="1082"/>
      <c r="W271" s="1106"/>
      <c r="X271" s="1106"/>
      <c r="Y271" s="1069"/>
      <c r="Z271" s="1069"/>
      <c r="AA271" s="1069"/>
      <c r="AB271" s="1069"/>
      <c r="AC271" s="1248"/>
      <c r="AD271" s="1249"/>
      <c r="AE271" s="1082"/>
      <c r="AF271" s="1106"/>
      <c r="AG271" s="1106"/>
      <c r="AH271" s="1106"/>
      <c r="AI271" s="1106"/>
      <c r="AJ271" s="1106"/>
      <c r="AK271" s="1132"/>
      <c r="AL271" s="1106"/>
      <c r="AM271" s="1106"/>
      <c r="AN271" s="1106"/>
      <c r="AO271" s="1106"/>
      <c r="AP271" s="1138"/>
      <c r="AQ271" s="1132"/>
      <c r="AR271" s="1106"/>
      <c r="AS271" s="1106"/>
      <c r="AT271" s="1106"/>
      <c r="AU271" s="1106"/>
      <c r="AV271" s="1106"/>
      <c r="AW271" s="1119"/>
      <c r="AX271" s="1120"/>
      <c r="AY271" s="1094"/>
      <c r="AZ271" s="1095" t="e">
        <f t="shared" si="112"/>
        <v>#REF!</v>
      </c>
      <c r="BA271" s="2"/>
    </row>
    <row r="272" spans="1:53" ht="15.75" hidden="1" customHeight="1" outlineLevel="1">
      <c r="A272" s="1027"/>
      <c r="B272" s="1096"/>
      <c r="C272" s="1139" t="s">
        <v>165</v>
      </c>
      <c r="D272" s="1122">
        <f>Parametres!$D$26</f>
        <v>10</v>
      </c>
      <c r="E272" s="1068" t="e">
        <f>COUNTIFS(#REF!,"&gt;0",#REF!,"&gt;="&amp;B252,#REF!,"&lt;="&amp;EOMONTH(B252,0))</f>
        <v>#REF!</v>
      </c>
      <c r="F272" s="1069" t="e">
        <f>SUMIFS(#REF!,#REF!,"&lt;&gt;0",#REF!,"&gt;="&amp;B252,#REF!,"&lt;="&amp;EOMONTH(B252,0))</f>
        <v>#REF!</v>
      </c>
      <c r="G272" s="1069" t="e">
        <f t="shared" si="110"/>
        <v>#REF!</v>
      </c>
      <c r="H272" s="1070" t="e">
        <f ca="1">MINIFS(#REF!,#REF!,"&lt;&gt;0",#REF!,"&gt;="&amp;B252,#REF!,"&lt;="&amp;EOMONTH(B252,0))</f>
        <v>#NAME?</v>
      </c>
      <c r="I272" s="1078" t="e">
        <f ca="1">MAXIFS(#REF!,#REF!,"&lt;&gt;0",#REF!,"&gt;="&amp;B252,#REF!,"&lt;="&amp;EOMONTH(B252,0))</f>
        <v>#NAME?</v>
      </c>
      <c r="J272" s="1114" t="e">
        <f>COUNTIFS(#REF!,"&gt;="&amp;D272,#REF!,"&gt;="&amp;B252,#REF!,"&lt;="&amp;EOMONTH(B252,0))</f>
        <v>#REF!</v>
      </c>
      <c r="K272" s="1341" t="e">
        <f t="shared" si="117"/>
        <v>#REF!</v>
      </c>
      <c r="L272" s="1115"/>
      <c r="M272" s="1075"/>
      <c r="N272" s="1265"/>
      <c r="O272" s="1265"/>
      <c r="P272" s="1266"/>
      <c r="Q272" s="1266"/>
      <c r="R272" s="1266"/>
      <c r="S272" s="1266"/>
      <c r="T272" s="1267"/>
      <c r="U272" s="1267"/>
      <c r="V272" s="1075"/>
      <c r="W272" s="1106"/>
      <c r="X272" s="1106"/>
      <c r="Y272" s="1069"/>
      <c r="Z272" s="1069"/>
      <c r="AA272" s="1069"/>
      <c r="AB272" s="1069"/>
      <c r="AC272" s="1248"/>
      <c r="AD272" s="1249"/>
      <c r="AE272" s="1082"/>
      <c r="AF272" s="1106"/>
      <c r="AG272" s="1106"/>
      <c r="AH272" s="1106"/>
      <c r="AI272" s="1106"/>
      <c r="AJ272" s="1106"/>
      <c r="AK272" s="1132"/>
      <c r="AL272" s="1106"/>
      <c r="AM272" s="1106"/>
      <c r="AN272" s="1106"/>
      <c r="AO272" s="1106"/>
      <c r="AP272" s="1138"/>
      <c r="AQ272" s="1132"/>
      <c r="AR272" s="1106"/>
      <c r="AS272" s="1106"/>
      <c r="AT272" s="1106"/>
      <c r="AU272" s="1106"/>
      <c r="AV272" s="1106"/>
      <c r="AW272" s="1119"/>
      <c r="AX272" s="1120"/>
      <c r="AY272" s="1094"/>
      <c r="AZ272" s="1095" t="e">
        <f t="shared" si="112"/>
        <v>#REF!</v>
      </c>
      <c r="BA272" s="2"/>
    </row>
    <row r="273" spans="1:53" ht="15.75" hidden="1" customHeight="1" outlineLevel="1">
      <c r="A273" s="1027"/>
      <c r="B273" s="1096"/>
      <c r="C273" s="1121" t="s">
        <v>23</v>
      </c>
      <c r="D273" s="1122">
        <f>Parametres!$D$27</f>
        <v>0.05</v>
      </c>
      <c r="E273" s="1068" t="e">
        <f>COUNTIFS(#REF!,"&gt;0",#REF!,"&gt;="&amp;B252,#REF!,"&lt;="&amp;EOMONTH(B252,0))</f>
        <v>#REF!</v>
      </c>
      <c r="F273" s="1069" t="e">
        <f>SUMIFS(#REF!,#REF!,"&lt;&gt;0",#REF!,"&gt;="&amp;B252,#REF!,"&lt;="&amp;EOMONTH(B252,0))</f>
        <v>#REF!</v>
      </c>
      <c r="G273" s="1069" t="e">
        <f t="shared" si="110"/>
        <v>#REF!</v>
      </c>
      <c r="H273" s="1070" t="e">
        <f ca="1">MINIFS(#REF!,#REF!,"&lt;&gt;0",#REF!,"&gt;="&amp;B252,#REF!,"&lt;="&amp;EOMONTH(B252,0))</f>
        <v>#NAME?</v>
      </c>
      <c r="I273" s="1078" t="e">
        <f ca="1">MAXIFS(#REF!,#REF!,"&lt;&gt;0",#REF!,"&gt;="&amp;B252,#REF!,"&lt;="&amp;EOMONTH(B252,0))</f>
        <v>#NAME?</v>
      </c>
      <c r="J273" s="1072" t="e">
        <f>COUNTIFS(#REF!,"&gt;="&amp;D273,#REF!,"&gt;="&amp;B252,#REF!,"&lt;="&amp;EOMONTH(B252,0))</f>
        <v>#REF!</v>
      </c>
      <c r="K273" s="1341" t="e">
        <f t="shared" si="117"/>
        <v>#REF!</v>
      </c>
      <c r="L273" s="1115"/>
      <c r="M273" s="1082"/>
      <c r="N273" s="1129"/>
      <c r="O273" s="1129"/>
      <c r="P273" s="1069"/>
      <c r="Q273" s="1069"/>
      <c r="R273" s="1069"/>
      <c r="S273" s="1069"/>
      <c r="T273" s="1143"/>
      <c r="U273" s="1143"/>
      <c r="V273" s="1132"/>
      <c r="W273" s="1106"/>
      <c r="X273" s="1106"/>
      <c r="Y273" s="1069"/>
      <c r="Z273" s="1069"/>
      <c r="AA273" s="1069"/>
      <c r="AB273" s="1069"/>
      <c r="AC273" s="1248"/>
      <c r="AD273" s="1249"/>
      <c r="AE273" s="1132"/>
      <c r="AF273" s="1106"/>
      <c r="AG273" s="1106"/>
      <c r="AH273" s="1106"/>
      <c r="AI273" s="1106"/>
      <c r="AJ273" s="1106"/>
      <c r="AK273" s="1132"/>
      <c r="AL273" s="1106"/>
      <c r="AM273" s="1106"/>
      <c r="AN273" s="1106"/>
      <c r="AO273" s="1106"/>
      <c r="AP273" s="1138"/>
      <c r="AQ273" s="1132"/>
      <c r="AR273" s="1106"/>
      <c r="AS273" s="1106"/>
      <c r="AT273" s="1106"/>
      <c r="AU273" s="1106"/>
      <c r="AV273" s="1106"/>
      <c r="AW273" s="1119"/>
      <c r="AX273" s="1120"/>
      <c r="AY273" s="1094"/>
      <c r="AZ273" s="1095" t="e">
        <f t="shared" si="112"/>
        <v>#REF!</v>
      </c>
      <c r="BA273" s="2"/>
    </row>
    <row r="274" spans="1:53" ht="15.75" hidden="1" customHeight="1" outlineLevel="1">
      <c r="A274" s="1027"/>
      <c r="B274" s="1096"/>
      <c r="C274" s="1139" t="s">
        <v>201</v>
      </c>
      <c r="D274" s="1122">
        <f>Parametres!$D$28</f>
        <v>8</v>
      </c>
      <c r="E274" s="1068" t="e">
        <f>COUNTIFS(#REF!,"&gt;0",#REF!,"&gt;="&amp;B252,#REF!,"&lt;="&amp;EOMONTH(B252,0))</f>
        <v>#REF!</v>
      </c>
      <c r="F274" s="1069" t="e">
        <f>SUMIFS(#REF!,#REF!,"&lt;&gt;0",#REF!,"&gt;="&amp;B252,#REF!,"&lt;="&amp;EOMONTH(B252,0))</f>
        <v>#REF!</v>
      </c>
      <c r="G274" s="1069" t="e">
        <f t="shared" si="110"/>
        <v>#REF!</v>
      </c>
      <c r="H274" s="1070" t="e">
        <f ca="1">MINIFS(#REF!,#REF!,"&lt;&gt;0",#REF!,"&gt;="&amp;B252,#REF!,"&lt;="&amp;EOMONTH(B252,0))</f>
        <v>#NAME?</v>
      </c>
      <c r="I274" s="1078" t="e">
        <f ca="1">MAXIFS(#REF!,#REF!,"&lt;&gt;0",#REF!,"&gt;="&amp;B252,#REF!,"&lt;="&amp;EOMONTH(B252,0))</f>
        <v>#NAME?</v>
      </c>
      <c r="J274" s="1114" t="e">
        <f>COUNTIFS(#REF!,"&gt;="&amp;D274,#REF!,"&gt;="&amp;B252,#REF!,"&lt;="&amp;EOMONTH(B252,0))</f>
        <v>#REF!</v>
      </c>
      <c r="K274" s="1341" t="e">
        <f t="shared" si="117"/>
        <v>#REF!</v>
      </c>
      <c r="L274" s="1115"/>
      <c r="M274" s="1082"/>
      <c r="N274" s="1171"/>
      <c r="O274" s="1171"/>
      <c r="P274" s="1173"/>
      <c r="Q274" s="1173"/>
      <c r="R274" s="1173"/>
      <c r="S274" s="1173"/>
      <c r="T274" s="1175"/>
      <c r="U274" s="1175"/>
      <c r="V274" s="1177"/>
      <c r="W274" s="1106"/>
      <c r="X274" s="1106"/>
      <c r="Y274" s="1069"/>
      <c r="Z274" s="1069"/>
      <c r="AA274" s="1069"/>
      <c r="AB274" s="1069"/>
      <c r="AC274" s="1248"/>
      <c r="AD274" s="1249"/>
      <c r="AE274" s="1082"/>
      <c r="AF274" s="1106"/>
      <c r="AG274" s="1106"/>
      <c r="AH274" s="1106"/>
      <c r="AI274" s="1106"/>
      <c r="AJ274" s="1106"/>
      <c r="AK274" s="1082"/>
      <c r="AL274" s="1205" t="e">
        <f>COUNTIFS(#REF!,"&gt;0",#REF!,"&gt;="&amp;B252,#REF!,"&lt;="&amp;EOMONTH(B252,0))</f>
        <v>#REF!</v>
      </c>
      <c r="AM274" s="1208" t="e">
        <f>SUMIFS(#REF!,#REF!,"&lt;&gt;0",#REF!,"&gt;="&amp;B252,#REF!,"&lt;="&amp;EOMONTH(B252,0))</f>
        <v>#REF!</v>
      </c>
      <c r="AN274" s="1208" t="e">
        <f>IF(AL274=0,0,AM274/AL274)</f>
        <v>#REF!</v>
      </c>
      <c r="AO274" s="1269" t="e">
        <f ca="1">MINIFS(#REF!,#REF!,"&lt;&gt;0",#REF!,"&gt;="&amp;B252,#REF!,"&lt;="&amp;EOMONTH(B252,0))</f>
        <v>#NAME?</v>
      </c>
      <c r="AP274" s="1269" t="e">
        <f ca="1">MAXIFS(#REF!,#REF!,"&lt;&gt;0",#REF!,"&gt;="&amp;B252,#REF!,"&lt;="&amp;EOMONTH(B252,0))</f>
        <v>#NAME?</v>
      </c>
      <c r="AQ274" s="1082"/>
      <c r="AR274" s="1220">
        <f>Parametres!$AM$28</f>
        <v>500</v>
      </c>
      <c r="AS274" s="1205" t="e">
        <f>COUNTIFS(#REF!,"&gt;0",#REF!,"&gt;="&amp;B252,#REF!,"&lt;="&amp;EOMONTH(B252,0))</f>
        <v>#REF!</v>
      </c>
      <c r="AT274" s="1208" t="e">
        <f>SUMIFS(#REF!,#REF!,"&lt;&gt;0",#REF!,"&gt;="&amp;B252,#REF!,"&lt;="&amp;EOMONTH(B252,0))</f>
        <v>#REF!</v>
      </c>
      <c r="AU274" s="1208" t="e">
        <f>IF(AS274=0,0,AT274/AS274)</f>
        <v>#REF!</v>
      </c>
      <c r="AV274" s="1208" t="e">
        <f ca="1">MINIFS(#REF!,#REF!,"&lt;&gt;0",#REF!,"&gt;="&amp;B252,#REF!,"&lt;="&amp;EOMONTH(B252,0))</f>
        <v>#NAME?</v>
      </c>
      <c r="AW274" s="1222" t="e">
        <f ca="1">MAXIFS(#REF!,#REF!,"&lt;&gt;0",#REF!,"&gt;="&amp;B252,#REF!,"&lt;="&amp;EOMONTH(B252,0))</f>
        <v>#NAME?</v>
      </c>
      <c r="AX274" s="1223" t="e">
        <f>COUNTIFS(#REF!,"&gt;="&amp;AR274,#REF!,"&gt;="&amp;B252,#REF!,"&lt;="&amp;EOMONTH(B252,0))</f>
        <v>#REF!</v>
      </c>
      <c r="AY274" s="1224" t="e">
        <f>AX274/AS274</f>
        <v>#REF!</v>
      </c>
      <c r="AZ274" s="1095" t="e">
        <f t="shared" si="112"/>
        <v>#REF!</v>
      </c>
      <c r="BA274" s="2"/>
    </row>
    <row r="275" spans="1:53" ht="15.75" hidden="1" customHeight="1" outlineLevel="1">
      <c r="A275" s="1027"/>
      <c r="B275" s="1096"/>
      <c r="C275" s="1121" t="s">
        <v>333</v>
      </c>
      <c r="D275" s="1122">
        <f>Parametres!$D$29</f>
        <v>0.3</v>
      </c>
      <c r="E275" s="1068" t="e">
        <f>COUNTIFS(#REF!,"&gt;0",#REF!,"&gt;="&amp;B252,#REF!,"&lt;="&amp;EOMONTH(B252,0))</f>
        <v>#REF!</v>
      </c>
      <c r="F275" s="1069" t="e">
        <f>SUMIFS(#REF!,#REF!,"&lt;&gt;0",#REF!,"&gt;="&amp;B252,#REF!,"&lt;="&amp;EOMONTH(B252,0))</f>
        <v>#REF!</v>
      </c>
      <c r="G275" s="1069" t="e">
        <f t="shared" si="110"/>
        <v>#REF!</v>
      </c>
      <c r="H275" s="1070" t="e">
        <f ca="1">MINIFS(#REF!,#REF!,"&lt;&gt;0",#REF!,"&gt;="&amp;B252,#REF!,"&lt;="&amp;EOMONTH(B252,0))</f>
        <v>#NAME?</v>
      </c>
      <c r="I275" s="1069" t="e">
        <f ca="1">MAXIFS(#REF!,#REF!,"&lt;&gt;0",#REF!,"&gt;="&amp;B252,#REF!,"&lt;="&amp;EOMONTH(B252,0))</f>
        <v>#NAME?</v>
      </c>
      <c r="J275" s="1072" t="e">
        <f>COUNTIFS(#REF!,"&gt;="&amp;D275,#REF!,"&gt;="&amp;B252,#REF!,"&lt;="&amp;EOMONTH(B252,0))</f>
        <v>#REF!</v>
      </c>
      <c r="K275" s="1341" t="e">
        <f t="shared" si="117"/>
        <v>#REF!</v>
      </c>
      <c r="L275" s="1099"/>
      <c r="M275" s="1132"/>
      <c r="N275" s="1102"/>
      <c r="O275" s="1102"/>
      <c r="P275" s="1069"/>
      <c r="Q275" s="1069"/>
      <c r="R275" s="1069"/>
      <c r="S275" s="1069"/>
      <c r="T275" s="1270"/>
      <c r="U275" s="1270"/>
      <c r="V275" s="1132"/>
      <c r="W275" s="1106"/>
      <c r="X275" s="1106"/>
      <c r="Y275" s="1069"/>
      <c r="Z275" s="1069"/>
      <c r="AA275" s="1069"/>
      <c r="AB275" s="1069"/>
      <c r="AC275" s="1248"/>
      <c r="AD275" s="1249"/>
      <c r="AE275" s="1132"/>
      <c r="AF275" s="1106"/>
      <c r="AG275" s="1106"/>
      <c r="AH275" s="1106"/>
      <c r="AI275" s="1106"/>
      <c r="AJ275" s="1106"/>
      <c r="AK275" s="1082"/>
      <c r="AL275" s="1117"/>
      <c r="AM275" s="1117"/>
      <c r="AN275" s="1117"/>
      <c r="AO275" s="1117"/>
      <c r="AP275" s="1117"/>
      <c r="AQ275" s="1082"/>
      <c r="AR275" s="1106"/>
      <c r="AS275" s="1106"/>
      <c r="AT275" s="1106"/>
      <c r="AU275" s="1106"/>
      <c r="AV275" s="1106"/>
      <c r="AW275" s="1119"/>
      <c r="AX275" s="1120"/>
      <c r="AY275" s="1094"/>
      <c r="AZ275" s="1095" t="e">
        <f t="shared" si="112"/>
        <v>#REF!</v>
      </c>
      <c r="BA275" s="2"/>
    </row>
    <row r="276" spans="1:53" ht="15.75" hidden="1" customHeight="1" outlineLevel="1">
      <c r="A276" s="1027"/>
      <c r="B276" s="1096"/>
      <c r="C276" s="1139" t="s">
        <v>46</v>
      </c>
      <c r="D276" s="1122">
        <f>Parametres!$D$30</f>
        <v>1</v>
      </c>
      <c r="E276" s="1068" t="e">
        <f>COUNTIFS(#REF!,"&gt;0",#REF!,"&gt;="&amp;B252,#REF!,"&lt;="&amp;EOMONTH(B252,0))</f>
        <v>#REF!</v>
      </c>
      <c r="F276" s="1069" t="e">
        <f>SUMIFS(#REF!,#REF!,"&lt;&gt;0",#REF!,"&gt;="&amp;B252,#REF!,"&lt;="&amp;EOMONTH(B252,0))</f>
        <v>#REF!</v>
      </c>
      <c r="G276" s="1069" t="e">
        <f t="shared" si="110"/>
        <v>#REF!</v>
      </c>
      <c r="H276" s="1070" t="e">
        <f ca="1">MINIFS(#REF!,#REF!,"&lt;&gt;0",#REF!,"&gt;="&amp;B252,#REF!,"&lt;="&amp;EOMONTH(B252,0))</f>
        <v>#NAME?</v>
      </c>
      <c r="I276" s="1266" t="e">
        <f ca="1">MAXIFS(#REF!,#REF!,"&lt;&gt;0",#REF!,"&gt;="&amp;B252,#REF!,"&lt;="&amp;EOMONTH(B252,0))</f>
        <v>#NAME?</v>
      </c>
      <c r="J276" s="1072" t="e">
        <f>COUNTIFS(#REF!,"&gt;="&amp;D276,#REF!,"&gt;="&amp;B252,#REF!,"&lt;="&amp;EOMONTH(B252,0))</f>
        <v>#REF!</v>
      </c>
      <c r="K276" s="1341" t="e">
        <f t="shared" si="117"/>
        <v>#REF!</v>
      </c>
      <c r="L276" s="1273"/>
      <c r="M276" s="1274"/>
      <c r="N276" s="1144">
        <f>Parametres!$L$30</f>
        <v>40</v>
      </c>
      <c r="O276" s="1077">
        <f>COUNTIFS('Degrémont Entrée'!$AV$14:$AV$379,"&gt;0",'Degrémont Entrée'!$A$14:$A$379,"&gt;="&amp;B252,'Degrémont Entrée'!$A$14:$A$379,"&lt;="&amp;EOMONTH(B252,0))</f>
        <v>4</v>
      </c>
      <c r="P276" s="1078">
        <f>SUMIFS('Degrémont Entrée'!$AV$14:$AV$379,'Degrémont Entrée'!$AV$14:$AV$379,"&lt;&gt;0",'Degrémont Entrée'!$A$14:$A$379,"&gt;="&amp;B252,'Degrémont Entrée'!$A$14:$A$379,"&lt;="&amp;EOMONTH(B252,0))</f>
        <v>24.369999999999997</v>
      </c>
      <c r="Q276" s="1266">
        <f t="shared" ref="Q276:Q277" si="118">IF(O276=0,0,P276/O276)</f>
        <v>6.0924999999999994</v>
      </c>
      <c r="R276" s="1266" t="e">
        <f ca="1">MINIFS('Degrémont Entrée'!$AV$14:$AV$379,'Degrémont Entrée'!$AV$14:$AV$379,"&lt;&gt;0",'Degrémont Entrée'!$A$14:$A$379,"&gt;="&amp;B252,'Degrémont Entrée'!$A$14:$A$379,"&lt;="&amp;EOMONTH(B252,0))</f>
        <v>#NAME?</v>
      </c>
      <c r="S276" s="1266" t="e">
        <f ca="1">MAXIFS('Degrémont Entrée'!$AV$14:$AV$379,'Degrémont Entrée'!$AV$14:$AV$379,"&lt;&gt;0",'Degrémont Entrée'!$A$14:$A$379,"&gt;="&amp;B252,'Degrémont Entrée'!$A$14:$A$379,"&lt;="&amp;EOMONTH(B252,0))</f>
        <v>#NAME?</v>
      </c>
      <c r="T276" s="1276">
        <f>COUNTIFS('Degrémont Entrée'!$AV$14:$AV$379,"&gt;="&amp;N276,'Degrémont Entrée'!$A$14:$A$379,"&gt;="&amp;B252,'Degrémont Entrée'!$A$14:$A$379,"&lt;="&amp;EOMONTH(B252,0))</f>
        <v>0</v>
      </c>
      <c r="U276" s="1081">
        <f t="shared" ref="U276:U277" si="119">T276/O276</f>
        <v>0</v>
      </c>
      <c r="V276" s="1075"/>
      <c r="W276" s="1083">
        <f>Parametres!$T$30</f>
        <v>0.8</v>
      </c>
      <c r="X276" s="1142">
        <f>COUNTIFS('Degrémont sortie'!$AP$14:$AP$379,"&gt;0",'Degrémont sortie'!$A$14:$A$379,"&gt;="&amp;B252,'Degrémont sortie'!$A$14:$A$379,"&lt;="&amp;EOMONTH(B252,0))</f>
        <v>4</v>
      </c>
      <c r="Y276" s="1085">
        <f>SUMIFS('Degrémont sortie'!$AP$14:$AP$379,'Degrémont sortie'!$AP$14:$AP$379,"&lt;&gt;0",'Degrémont sortie'!$A$14:$A$379,"&gt;="&amp;B252,'Degrémont sortie'!$A$14:$A$379,"&lt;="&amp;EOMONTH(B252,0))</f>
        <v>0.83000000000000007</v>
      </c>
      <c r="Z276" s="1069">
        <f t="shared" ref="Z276:Z278" si="120">IF(X276=0,0,Y276/X276)</f>
        <v>0.20750000000000002</v>
      </c>
      <c r="AA276" s="1277" t="e">
        <f ca="1">MINIFS('Degrémont sortie'!$AP$14:$AP$379,'Degrémont sortie'!$AP$14:$AP$379,"&lt;&gt;0",'Degrémont sortie'!$A$14:$A$379,"&gt;="&amp;B252,'Degrémont sortie'!$A$14:$A$379,"&lt;="&amp;EOMONTH(B252,0))</f>
        <v>#NAME?</v>
      </c>
      <c r="AB276" s="1069" t="e">
        <f ca="1">MAXIFS('Degrémont sortie'!$AP$14:$AP$379,'Degrémont sortie'!$AP$14:$AP$379,"&lt;&gt;0",'Degrémont sortie'!$A$14:$A$379,"&gt;="&amp;B252,'Degrémont sortie'!$A$14:$A$379,"&lt;="&amp;EOMONTH(B252,0))</f>
        <v>#NAME?</v>
      </c>
      <c r="AC276" s="1142">
        <f>COUNTIFS('Degrémont sortie'!$AP$14:$AP$379,"&gt;="&amp;W276,'Degrémont sortie'!$A$14:$A$379,"&gt;="&amp;B252,'Degrémont sortie'!$A$14:$A$379,"&lt;="&amp;EOMONTH(B252,0))</f>
        <v>0</v>
      </c>
      <c r="AD276" s="1087">
        <f t="shared" ref="AD276:AD277" si="121">AC276/X276</f>
        <v>0</v>
      </c>
      <c r="AE276" s="1075"/>
      <c r="AF276" s="1278"/>
      <c r="AG276" s="1278"/>
      <c r="AH276" s="1278"/>
      <c r="AI276" s="1278"/>
      <c r="AJ276" s="1278"/>
      <c r="AK276" s="1279"/>
      <c r="AL276" s="1278"/>
      <c r="AM276" s="1278"/>
      <c r="AN276" s="1278"/>
      <c r="AO276" s="1278"/>
      <c r="AP276" s="1278"/>
      <c r="AQ276" s="1279"/>
      <c r="AR276" s="1278"/>
      <c r="AS276" s="1278"/>
      <c r="AT276" s="1278"/>
      <c r="AU276" s="1278"/>
      <c r="AV276" s="1278"/>
      <c r="AW276" s="1278"/>
      <c r="AX276" s="1280"/>
      <c r="AY276" s="1094"/>
      <c r="AZ276" s="1095" t="e">
        <f t="shared" si="112"/>
        <v>#REF!</v>
      </c>
      <c r="BA276" s="2"/>
    </row>
    <row r="277" spans="1:53" ht="15.75" hidden="1" customHeight="1" outlineLevel="1">
      <c r="A277" s="1027"/>
      <c r="B277" s="1096"/>
      <c r="C277" s="1139" t="s">
        <v>34</v>
      </c>
      <c r="D277" s="1122">
        <f>Parametres!$D$32</f>
        <v>400</v>
      </c>
      <c r="E277" s="1068" t="e">
        <f>COUNTIFS(#REF!,"&gt;0",#REF!,"&gt;="&amp;B252,#REF!,"&lt;="&amp;EOMONTH(B252,0))</f>
        <v>#REF!</v>
      </c>
      <c r="F277" s="1069" t="e">
        <f>SUMIFS(#REF!,#REF!,"&lt;&gt;0",#REF!,"&gt;="&amp;B252,#REF!,"&lt;="&amp;EOMONTH(B252,0))</f>
        <v>#REF!</v>
      </c>
      <c r="G277" s="1069" t="e">
        <f t="shared" si="110"/>
        <v>#REF!</v>
      </c>
      <c r="H277" s="1070" t="e">
        <f ca="1">MINIFS(#REF!,#REF!,"&lt;&gt;0",#REF!,"&gt;="&amp;B252,#REF!,"&lt;="&amp;EOMONTH(B252,0))</f>
        <v>#NAME?</v>
      </c>
      <c r="I277" s="1069" t="e">
        <f ca="1">MAXIFS(#REF!,#REF!,"&lt;&gt;0",#REF!,"&gt;="&amp;B252,#REF!,"&lt;="&amp;EOMONTH(B252,0))</f>
        <v>#NAME?</v>
      </c>
      <c r="J277" s="1114" t="e">
        <f>COUNTIFS(#REF!,"&gt;="&amp;D277,#REF!,"&gt;="&amp;B252,#REF!,"&lt;="&amp;EOMONTH(B252,0))</f>
        <v>#REF!</v>
      </c>
      <c r="K277" s="1341" t="e">
        <f t="shared" si="117"/>
        <v>#REF!</v>
      </c>
      <c r="L277" s="1281"/>
      <c r="M277" s="1282"/>
      <c r="N277" s="1144">
        <f>Parametres!$L$32</f>
        <v>4000</v>
      </c>
      <c r="O277" s="1077">
        <f>COUNTIFS('Degrémont Entrée'!$G$14:$G$379,"&gt;0",'Degrémont Entrée'!$A$14:$A$379,"&gt;="&amp;B252,'Degrémont Entrée'!$A$14:$A$379,"&lt;="&amp;EOMONTH(B252,0))</f>
        <v>22</v>
      </c>
      <c r="P277" s="1078">
        <f>SUMIFS('Degrémont Entrée'!$G$14:$G$379,'Degrémont Entrée'!$G$14:$G$379,"&lt;&gt;0",'Degrémont Entrée'!$A$14:$A$379,"&gt;="&amp;B252,'Degrémont Entrée'!$A$14:$A$379,"&lt;="&amp;EOMONTH(B252,0))</f>
        <v>54768.504410935115</v>
      </c>
      <c r="Q277" s="1283">
        <f t="shared" si="118"/>
        <v>2489.4774732243236</v>
      </c>
      <c r="R277" s="1069" t="e">
        <f ca="1">MINIFS('Degrémont Entrée'!$G$14:$G$379,'Degrémont Entrée'!$G$14:$G$379,"&lt;&gt;0",'Degrémont Entrée'!$A$14:$A$379,"&gt;="&amp;B252,'Degrémont Entrée'!$A$14:$A$379,"&lt;="&amp;EOMONTH(B252,0))</f>
        <v>#NAME?</v>
      </c>
      <c r="S277" s="1284" t="e">
        <f ca="1">MAXIFS('Degrémont Entrée'!$G$14:$G$379,'Degrémont Entrée'!$G$14:$G$379,"&lt;&gt;0",'Degrémont Entrée'!$A$14:$A$379,"&gt;="&amp;B252,'Degrémont Entrée'!$A$14:$A$379,"&lt;="&amp;EOMONTH(B252,0))</f>
        <v>#NAME?</v>
      </c>
      <c r="T277" s="1141">
        <f>COUNTIFS('Degrémont Entrée'!$G$14:$G$379,"&gt;="&amp;N277,'Degrémont Entrée'!$A$14:$A$379,"&gt;="&amp;B252,'Degrémont Entrée'!$A$14:$A$379,"&lt;="&amp;EOMONTH(B252,0))</f>
        <v>5</v>
      </c>
      <c r="U277" s="1081">
        <f t="shared" si="119"/>
        <v>0.22727272727272727</v>
      </c>
      <c r="V277" s="1285"/>
      <c r="W277" s="1083">
        <f>Parametres!$T$32</f>
        <v>55</v>
      </c>
      <c r="X277" s="1142">
        <f>COUNTIFS('Degrémont sortie'!$G$14:$G$379,"&gt;0",'Degrémont sortie'!$A$14:$A$379,"&gt;="&amp;B252,'Degrémont sortie'!$A$14:$A$379,"&lt;="&amp;EOMONTH(B252,0))</f>
        <v>23</v>
      </c>
      <c r="Y277" s="1085">
        <f>SUMIFS('Degrémont sortie'!$G$14:$G$379,'Degrémont sortie'!$G$14:$G$379,"&lt;&gt;0",'Degrémont sortie'!$A$14:$A$379,"&gt;="&amp;B252,'Degrémont sortie'!$A$14:$A$379,"&lt;="&amp;EOMONTH(B252,0))</f>
        <v>539.04487179487194</v>
      </c>
      <c r="Z277" s="1069">
        <f t="shared" si="120"/>
        <v>23.43673355629878</v>
      </c>
      <c r="AA277" s="1286" t="e">
        <f ca="1">MINIFS('Degrémont sortie'!$G$14:$G$379,'Degrémont sortie'!$G$14:G$379,"&lt;&gt;0",'Degrémont sortie'!$A$14:$A$379,"&gt;="&amp;B252,'Degrémont sortie'!$A$14:$A$379,"&lt;="&amp;EOMONTH(B252,0))</f>
        <v>#NAME?</v>
      </c>
      <c r="AB277" s="1286" t="e">
        <f ca="1">MAXIFS('Degrémont sortie'!$G$14:$G$379,'Degrémont sortie'!$G$14:$G$379,"&lt;&gt;0",'Degrémont sortie'!$A$14:$A$379,"&gt;="&amp;B252,'Degrémont sortie'!$A$14:$A$379,"&lt;="&amp;EOMONTH(B252,0))</f>
        <v>#NAME?</v>
      </c>
      <c r="AC277" s="1141">
        <f>COUNTIFS('Degrémont sortie'!$G$14:$G$379,"&gt;="&amp;W277,'Degrémont sortie'!$A$14:$A$379,"&gt;="&amp;B252,'Degrémont sortie'!$A$14:$A$379,"&lt;="&amp;EOMONTH(B252,0))</f>
        <v>0</v>
      </c>
      <c r="AD277" s="1087">
        <f t="shared" si="121"/>
        <v>0</v>
      </c>
      <c r="AE277" s="1285"/>
      <c r="AF277" s="1205" t="e">
        <f>COUNTIFS(#REF!,"&gt;0",#REF!,"&gt;="&amp;B252,#REF!,"&lt;="&amp;EOMONTH(B252,0))</f>
        <v>#REF!</v>
      </c>
      <c r="AG277" s="1208" t="e">
        <f>SUMIFS(#REF!,#REF!,"&lt;&gt;0",#REF!,"&gt;="&amp;B252,#REF!,"&lt;="&amp;EOMONTH(B252,0))</f>
        <v>#REF!</v>
      </c>
      <c r="AH277" s="1208" t="e">
        <f>IF(AF277=0,0,AG277/AF277)</f>
        <v>#REF!</v>
      </c>
      <c r="AI277" s="1208" t="e">
        <f ca="1">MINIFS(#REF!,#REF!,"&lt;&gt;0",#REF!,"&gt;="&amp;B252,#REF!,"&lt;="&amp;EOMONTH(B252,0))</f>
        <v>#NAME?</v>
      </c>
      <c r="AJ277" s="1208" t="e">
        <f ca="1">MAXIFS(#REF!,#REF!,"&lt;&gt;0",#REF!,"&gt;="&amp;B252,#REF!,"&lt;="&amp;EOMONTH(B252,0))</f>
        <v>#NAME?</v>
      </c>
      <c r="AK277" s="1285"/>
      <c r="AL277" s="1205" t="e">
        <f>COUNTIFS(#REF!,"&gt;0",#REF!,"&gt;="&amp;B252,#REF!,"&lt;="&amp;EOMONTH(B252,0))</f>
        <v>#REF!</v>
      </c>
      <c r="AM277" s="1208" t="e">
        <f>SUMIFS(#REF!,#REF!,"&lt;&gt;0",#REF!,"&gt;="&amp;B252,#REF!,"&lt;="&amp;EOMONTH(B252,0))</f>
        <v>#REF!</v>
      </c>
      <c r="AN277" s="1208" t="e">
        <f>IF(AL277=0,0,AM277/AL277)</f>
        <v>#REF!</v>
      </c>
      <c r="AO277" s="1141" t="e">
        <f ca="1">MINIFS(#REF!,#REF!,"&lt;&gt;0",#REF!,"&gt;="&amp;B252,#REF!,"&lt;="&amp;EOMONTH(B252,0))</f>
        <v>#NAME?</v>
      </c>
      <c r="AP277" s="1141" t="e">
        <f ca="1">MAXIFS(#REF!,#REF!,"&lt;&gt;0",#REF!,"&gt;="&amp;B252,#REF!,"&lt;="&amp;EOMONTH(B252,0))</f>
        <v>#NAME?</v>
      </c>
      <c r="AQ277" s="1285"/>
      <c r="AR277" s="1220">
        <f>Parametres!$AM$32</f>
        <v>2600</v>
      </c>
      <c r="AS277" s="1205" t="e">
        <f>COUNTIFS(#REF!,"&gt;0",#REF!,"&gt;="&amp;B252,#REF!,"&lt;="&amp;EOMONTH(B252,0))</f>
        <v>#REF!</v>
      </c>
      <c r="AT277" s="1208" t="e">
        <f>SUMIFS(#REF!,#REF!,"&lt;&gt;0",#REF!,"&gt;="&amp;B252,#REF!,"&lt;="&amp;EOMONTH(B252,0))</f>
        <v>#REF!</v>
      </c>
      <c r="AU277" s="1208" t="e">
        <f>IF(AS277=0,0,AT277/AS277)</f>
        <v>#REF!</v>
      </c>
      <c r="AV277" s="1287" t="e">
        <f ca="1">MINIFS(#REF!,#REF!,"&lt;&gt;0",#REF!,"&gt;="&amp;B252,#REF!,"&lt;="&amp;EOMONTH(B252,0))</f>
        <v>#NAME?</v>
      </c>
      <c r="AW277" s="1141" t="e">
        <f ca="1">MAXIFS(#REF!,#REF!,"&lt;&gt;0",#REF!,"&gt;="&amp;B252,#REF!,"&lt;="&amp;EOMONTH(B252,0))</f>
        <v>#NAME?</v>
      </c>
      <c r="AX277" s="1288" t="e">
        <f>COUNTIFS(#REF!,"&gt;="&amp;AR277,#REF!,"&gt;="&amp;B252,#REF!,"&lt;="&amp;EOMONTH(B252,0))</f>
        <v>#REF!</v>
      </c>
      <c r="AY277" s="1224" t="e">
        <f>AX277/AS277</f>
        <v>#REF!</v>
      </c>
      <c r="AZ277" s="1095" t="e">
        <f t="shared" si="112"/>
        <v>#REF!</v>
      </c>
      <c r="BA277" s="2"/>
    </row>
    <row r="278" spans="1:53" ht="15.75" hidden="1" customHeight="1" outlineLevel="1">
      <c r="A278" s="1027"/>
      <c r="B278" s="1096"/>
      <c r="C278" s="1139" t="s">
        <v>118</v>
      </c>
      <c r="D278" s="1122">
        <f>Parametres!$D$33</f>
        <v>75</v>
      </c>
      <c r="E278" s="1068" t="e">
        <f>COUNTIFS(#REF!,"&gt;0",#REF!,"&gt;="&amp;B252,#REF!,"&lt;="&amp;EOMONTH(B252,0))</f>
        <v>#REF!</v>
      </c>
      <c r="F278" s="1069" t="e">
        <f>SUMIFS(#REF!,#REF!,"&lt;&gt;0",#REF!,"&gt;="&amp;B252,#REF!,"&lt;="&amp;EOMONTH(B252,0))</f>
        <v>#REF!</v>
      </c>
      <c r="G278" s="1069" t="e">
        <f t="shared" si="110"/>
        <v>#REF!</v>
      </c>
      <c r="H278" s="1070" t="e">
        <f ca="1">MINIFS(#REF!,#REF!,"&lt;&gt;0",#REF!,"&gt;="&amp;B252,#REF!,"&lt;="&amp;EOMONTH(B252,0))</f>
        <v>#NAME?</v>
      </c>
      <c r="I278" s="1069" t="e">
        <f ca="1">MAXIFS(#REF!,#REF!,"&lt;&gt;0",#REF!,"&gt;="&amp;B252,#REF!,"&lt;="&amp;EOMONTH(B252,0))</f>
        <v>#NAME?</v>
      </c>
      <c r="J278" s="1114" t="e">
        <f>COUNTIFS(#REF!,"&gt;="&amp;D278,#REF!,"&gt;="&amp;B252,#REF!,"&lt;="&amp;EOMONTH(B252,0))</f>
        <v>#REF!</v>
      </c>
      <c r="K278" s="1341" t="e">
        <f t="shared" si="117"/>
        <v>#REF!</v>
      </c>
      <c r="L278" s="1281"/>
      <c r="M278" s="1289"/>
      <c r="N278" s="1290"/>
      <c r="O278" s="1290"/>
      <c r="P278" s="1286"/>
      <c r="Q278" s="1283"/>
      <c r="R278" s="1286"/>
      <c r="S278" s="1286"/>
      <c r="T278" s="1290"/>
      <c r="U278" s="1290"/>
      <c r="V278" s="1285"/>
      <c r="W278" s="1083">
        <f>Parametres!$T$33</f>
        <v>150</v>
      </c>
      <c r="X278" s="1142">
        <f>COUNTIFS('Degrémont sortie'!$X$14:$X$379,"&gt;0",'Degrémont sortie'!$A$14:$A$379,"&gt;="&amp;B252,'Degrémont sortie'!$A$14:$A$379,"&lt;="&amp;EOMONTH(B252,0))</f>
        <v>4</v>
      </c>
      <c r="Y278" s="1085">
        <f>SUMIFS('Degrémont sortie'!$X$14:$X$379,'Degrémont sortie'!$X$14:$X$379,"&lt;&gt;0",'Degrémont sortie'!$A$14:$A$379,"&gt;="&amp;B252,'Degrémont sortie'!$A$14:$A$379,"&lt;="&amp;EOMONTH(B252,0))</f>
        <v>104.3</v>
      </c>
      <c r="Z278" s="1069">
        <f t="shared" si="120"/>
        <v>26.074999999999999</v>
      </c>
      <c r="AA278" s="1286" t="e">
        <f ca="1">MINIFS('Degrémont sortie'!$X$14:$X$379,'Degrémont sortie'!$X$14:$X$379,"&lt;&gt;0",'Degrémont sortie'!$A$14:$A$379,"&gt;="&amp;B252,'Degrémont sortie'!$A$14:$A$379,"&lt;="&amp;EOMONTH(B252,0))</f>
        <v>#NAME?</v>
      </c>
      <c r="AB278" s="1286" t="e">
        <f ca="1">MAXIFS('Degrémont sortie'!$X$14:$X$379,'Degrémont sortie'!$X$14:$X$379,"&lt;&gt;0",'Degrémont sortie'!$A$14:$A$379,"&gt;="&amp;B252,'Degrémont sortie'!$A$14:$A$379,"&lt;="&amp;EOMONTH(B252,0))</f>
        <v>#NAME?</v>
      </c>
      <c r="AC278" s="1291" t="s">
        <v>153</v>
      </c>
      <c r="AD278" s="1292" t="s">
        <v>153</v>
      </c>
      <c r="AE278" s="1285"/>
      <c r="AF278" s="1293"/>
      <c r="AG278" s="1293"/>
      <c r="AH278" s="1293"/>
      <c r="AI278" s="1293"/>
      <c r="AJ278" s="1293"/>
      <c r="AK278" s="1285"/>
      <c r="AL278" s="1293"/>
      <c r="AM278" s="1293"/>
      <c r="AN278" s="1293"/>
      <c r="AO278" s="1293"/>
      <c r="AP278" s="1293"/>
      <c r="AQ278" s="1285"/>
      <c r="AR278" s="1293"/>
      <c r="AS278" s="1293"/>
      <c r="AT278" s="1293"/>
      <c r="AU278" s="1293"/>
      <c r="AV278" s="1293"/>
      <c r="AW278" s="1293"/>
      <c r="AX278" s="1294"/>
      <c r="AY278" s="1295"/>
      <c r="AZ278" s="1095" t="e">
        <f t="shared" si="112"/>
        <v>#REF!</v>
      </c>
      <c r="BA278" s="2"/>
    </row>
    <row r="279" spans="1:53" ht="15.75" hidden="1" customHeight="1" outlineLevel="1">
      <c r="A279" s="1027"/>
      <c r="B279" s="1096"/>
      <c r="C279" s="1139" t="s">
        <v>285</v>
      </c>
      <c r="D279" s="1122">
        <f>Parametres!$D$34</f>
        <v>10000000</v>
      </c>
      <c r="E279" s="1068" t="e">
        <f>COUNTIFS(#REF!,"&gt;0",#REF!,"&gt;="&amp;B252,#REF!,"&lt;="&amp;EOMONTH(B252,0))</f>
        <v>#REF!</v>
      </c>
      <c r="F279" s="1069" t="e">
        <f>SUMIFS(#REF!,#REF!,"&lt;&gt;0",#REF!,"&gt;="&amp;B252,#REF!,"&lt;="&amp;EOMONTH(B252,0))</f>
        <v>#REF!</v>
      </c>
      <c r="G279" s="1069" t="e">
        <f t="shared" si="110"/>
        <v>#REF!</v>
      </c>
      <c r="H279" s="1070" t="e">
        <f ca="1">MINIFS(#REF!,#REF!,"&lt;&gt;0",#REF!,"&gt;="&amp;B252,#REF!,"&lt;="&amp;EOMONTH(B252,0))</f>
        <v>#NAME?</v>
      </c>
      <c r="I279" s="1069" t="e">
        <f ca="1">MAXIFS(#REF!,#REF!,"&lt;&gt;0",#REF!,"&gt;="&amp;B252,#REF!,"&lt;="&amp;EOMONTH(B252,0))</f>
        <v>#NAME?</v>
      </c>
      <c r="J279" s="1072" t="s">
        <v>153</v>
      </c>
      <c r="K279" s="1072" t="s">
        <v>153</v>
      </c>
      <c r="L279" s="1281"/>
      <c r="M279" s="1289"/>
      <c r="N279" s="1290"/>
      <c r="O279" s="1290"/>
      <c r="P279" s="1286"/>
      <c r="Q279" s="1283"/>
      <c r="R279" s="1286"/>
      <c r="S279" s="1286"/>
      <c r="T279" s="1290"/>
      <c r="U279" s="1290"/>
      <c r="V279" s="1285"/>
      <c r="W279" s="1293"/>
      <c r="X279" s="1293"/>
      <c r="Y279" s="1286"/>
      <c r="Z279" s="1286"/>
      <c r="AA279" s="1286"/>
      <c r="AB279" s="1286"/>
      <c r="AC279" s="1293"/>
      <c r="AD279" s="1249"/>
      <c r="AE279" s="1285"/>
      <c r="AF279" s="1293"/>
      <c r="AG279" s="1293"/>
      <c r="AH279" s="1293"/>
      <c r="AI279" s="1293"/>
      <c r="AJ279" s="1293"/>
      <c r="AK279" s="1285"/>
      <c r="AL279" s="1293"/>
      <c r="AM279" s="1293"/>
      <c r="AN279" s="1293"/>
      <c r="AO279" s="1293"/>
      <c r="AP279" s="1293"/>
      <c r="AQ279" s="1285"/>
      <c r="AR279" s="1293"/>
      <c r="AS279" s="1293"/>
      <c r="AT279" s="1293"/>
      <c r="AU279" s="1293"/>
      <c r="AV279" s="1293"/>
      <c r="AW279" s="1293"/>
      <c r="AX279" s="1294"/>
      <c r="AY279" s="1295"/>
      <c r="AZ279" s="1095" t="e">
        <f t="shared" si="112"/>
        <v>#REF!</v>
      </c>
      <c r="BA279" s="2"/>
    </row>
    <row r="280" spans="1:53" ht="15.75" hidden="1" customHeight="1" outlineLevel="1">
      <c r="A280" s="1027"/>
      <c r="B280" s="1096"/>
      <c r="C280" s="1139" t="s">
        <v>48</v>
      </c>
      <c r="D280" s="1122">
        <f>Parametres!$D$35</f>
        <v>0.5</v>
      </c>
      <c r="E280" s="1068" t="e">
        <f>COUNTIFS(#REF!,"&gt;0",#REF!,"&gt;="&amp;B252,#REF!,"&lt;="&amp;EOMONTH(B252,0))</f>
        <v>#REF!</v>
      </c>
      <c r="F280" s="1069" t="e">
        <f>SUMIFS(#REF!,#REF!,"&lt;&gt;0",#REF!,"&gt;="&amp;B252,#REF!,"&lt;="&amp;EOMONTH(B252,0))</f>
        <v>#REF!</v>
      </c>
      <c r="G280" s="1069" t="e">
        <f t="shared" si="110"/>
        <v>#REF!</v>
      </c>
      <c r="H280" s="1070" t="e">
        <f ca="1">MINIFS(#REF!,#REF!,"&lt;&gt;0",#REF!,"&gt;="&amp;B252,#REF!,"&lt;="&amp;EOMONTH(B252,0))</f>
        <v>#NAME?</v>
      </c>
      <c r="I280" s="1069" t="e">
        <f ca="1">MAXIFS(#REF!,#REF!,"&lt;&gt;0",#REF!,"&gt;="&amp;B252,#REF!,"&lt;="&amp;EOMONTH(B252,0))</f>
        <v>#NAME?</v>
      </c>
      <c r="J280" s="1114" t="e">
        <f>COUNTIFS(#REF!,"&gt;="&amp;D280,#REF!,"&gt;="&amp;B252,#REF!,"&lt;="&amp;EOMONTH(B252,0))</f>
        <v>#REF!</v>
      </c>
      <c r="K280" s="1341" t="e">
        <f>J280/E280</f>
        <v>#REF!</v>
      </c>
      <c r="L280" s="1281"/>
      <c r="M280" s="1289"/>
      <c r="N280" s="1144">
        <f>Parametres!$L$35</f>
        <v>30</v>
      </c>
      <c r="O280" s="1077">
        <f>COUNTIFS('Degrémont Entrée'!$BB$14:$BB$379,"&gt;0",'Degrémont Entrée'!$A$14:$A$379,"&gt;="&amp;B252,'Degrémont Entrée'!$A$14:$A$379,"&lt;="&amp;EOMONTH(B252,0))</f>
        <v>4</v>
      </c>
      <c r="P280" s="1078">
        <f>SUMIFS('Degrémont Entrée'!$BB$14:$BB$379,'Degrémont Entrée'!$BB$14:$BB$379,"&lt;&gt;0",'Degrémont Entrée'!$A$14:$A$379,"&gt;="&amp;B252,'Degrémont Entrée'!$A$14:$A$379,"&lt;="&amp;EOMONTH(B252,0))</f>
        <v>0.6</v>
      </c>
      <c r="Q280" s="1283">
        <f>IF(O280=0,0,P280/O280)</f>
        <v>0.15</v>
      </c>
      <c r="R280" s="1286" t="e">
        <f ca="1">MINIFS('Degrémont Entrée'!$BB$14:$BB$379,'Degrémont Entrée'!$BB$14:$BB$379,"&lt;&gt;0",'Degrémont Entrée'!$A$14:$A$379,"&gt;="&amp;B252,'Degrémont Entrée'!$A$14:$A$379,"&lt;="&amp;EOMONTH(B252,0))</f>
        <v>#NAME?</v>
      </c>
      <c r="S280" s="1286" t="e">
        <f ca="1">MAXIFS('Degrémont Entrée'!$BB$14:$BB$379,'Degrémont Entrée'!$BB$14:$BB$379,"&lt;&gt;0",'Degrémont Entrée'!$A$14:$A$379,"&gt;="&amp;B252,'Degrémont Entrée'!$A$14:$A$379,"&lt;="&amp;EOMONTH(B252,0))</f>
        <v>#NAME?</v>
      </c>
      <c r="T280" s="1141">
        <f>COUNTIFS('Degrémont Entrée'!$BB$14:$BB$379,"&gt;="&amp;N280,'Degrémont Entrée'!$A$14:$A$379,"&gt;="&amp;B252,'Degrémont Entrée'!$A$14:$A$379,"&lt;="&amp;EOMONTH(B252,0))</f>
        <v>0</v>
      </c>
      <c r="U280" s="1081">
        <f>T280/O280</f>
        <v>0</v>
      </c>
      <c r="V280" s="1285"/>
      <c r="W280" s="1083">
        <f>Parametres!$T$35</f>
        <v>0.16</v>
      </c>
      <c r="X280" s="1142">
        <f>COUNTIFS('Degrémont sortie'!$AV$14:$AV$379,"&gt;0",'Degrémont sortie'!$A$14:$A$379,"&gt;="&amp;B252,'Degrémont sortie'!$A$14:$A$379,"&lt;="&amp;EOMONTH(B252,0))</f>
        <v>4</v>
      </c>
      <c r="Y280" s="1085">
        <f>SUMIFS('Degrémont sortie'!$AV$14:$AV$379,'Degrémont sortie'!$AV$14:$AV$379,"&lt;&gt;0",'Degrémont sortie'!$A$14:$A$379,"&gt;="&amp;B252,'Degrémont sortie'!$A$14:$A$379,"&lt;="&amp;EOMONTH(B252,0))</f>
        <v>0.6</v>
      </c>
      <c r="Z280" s="1069">
        <f t="shared" ref="Z280:Z282" si="122">IF(X280=0,0,Y280/X280)</f>
        <v>0.15</v>
      </c>
      <c r="AA280" s="1286" t="e">
        <f ca="1">MINIFS('Degrémont sortie'!$AV$14:$AV$379,'Degrémont sortie'!$AV$14:$AV$379,"&lt;&gt;0",'Degrémont sortie'!$A$14:$A$379,"&gt;="&amp;B252,'Degrémont sortie'!$A$14:$A$379,"&lt;="&amp;EOMONTH(B252,0))</f>
        <v>#NAME?</v>
      </c>
      <c r="AB280" s="1286" t="e">
        <f ca="1">MAXIFS('Degrémont sortie'!$AV$14:$AV$379,'Degrémont sortie'!$AV$14:$AV$379,"&lt;&gt;0",'Degrémont sortie'!$A$14:$A$379,"&gt;="&amp;B252,'Degrémont sortie'!$A$14:$A$379,"&lt;="&amp;EOMONTH(B252,0))</f>
        <v>#NAME?</v>
      </c>
      <c r="AC280" s="1141">
        <f>COUNTIFS('Degrémont sortie'!$AV$14:$AV$379,"&gt;="&amp;W280,'Degrémont sortie'!$A$14:$A$379,"&gt;="&amp;B252,'Degrémont sortie'!$A$14:$A$379,"&lt;="&amp;EOMONTH(B252,0))</f>
        <v>0</v>
      </c>
      <c r="AD280" s="1087">
        <f>AC280/X280</f>
        <v>0</v>
      </c>
      <c r="AE280" s="1285"/>
      <c r="AF280" s="1293"/>
      <c r="AG280" s="1293"/>
      <c r="AH280" s="1293"/>
      <c r="AI280" s="1293"/>
      <c r="AJ280" s="1293"/>
      <c r="AK280" s="1285"/>
      <c r="AL280" s="1293"/>
      <c r="AM280" s="1293"/>
      <c r="AN280" s="1293"/>
      <c r="AO280" s="1293"/>
      <c r="AP280" s="1293"/>
      <c r="AQ280" s="1285"/>
      <c r="AR280" s="1293"/>
      <c r="AS280" s="1293"/>
      <c r="AT280" s="1293"/>
      <c r="AU280" s="1293"/>
      <c r="AV280" s="1293"/>
      <c r="AW280" s="1293"/>
      <c r="AX280" s="1294"/>
      <c r="AY280" s="1295"/>
      <c r="AZ280" s="1095" t="e">
        <f t="shared" si="112"/>
        <v>#REF!</v>
      </c>
      <c r="BA280" s="2"/>
    </row>
    <row r="281" spans="1:53" ht="15.75" hidden="1" customHeight="1" outlineLevel="1">
      <c r="A281" s="1027"/>
      <c r="B281" s="1096"/>
      <c r="C281" s="1139" t="s">
        <v>39</v>
      </c>
      <c r="D281" s="1122">
        <f>Parametres!$D$36</f>
        <v>10000000</v>
      </c>
      <c r="E281" s="1068" t="e">
        <f>COUNTIFS(#REF!,"&gt;0",#REF!,"&gt;="&amp;B252,#REF!,"&lt;="&amp;EOMONTH(B252,0))</f>
        <v>#REF!</v>
      </c>
      <c r="F281" s="1069" t="e">
        <f>SUMIFS(#REF!,#REF!,"&lt;&gt;0",#REF!,"&gt;="&amp;B252,#REF!,"&lt;="&amp;EOMONTH(B252,0))</f>
        <v>#REF!</v>
      </c>
      <c r="G281" s="1069" t="e">
        <f t="shared" si="110"/>
        <v>#REF!</v>
      </c>
      <c r="H281" s="1070" t="e">
        <f ca="1">MINIFS(#REF!,#REF!,"&lt;&gt;0",#REF!,"&gt;="&amp;B252,#REF!,"&lt;="&amp;EOMONTH(B252,0))</f>
        <v>#NAME?</v>
      </c>
      <c r="I281" s="1277" t="e">
        <f ca="1">MAXIFS(#REF!,#REF!,"&lt;&gt;0",#REF!,"&gt;="&amp;B252,#REF!,"&lt;="&amp;EOMONTH(B252,0))</f>
        <v>#NAME?</v>
      </c>
      <c r="J281" s="1072" t="s">
        <v>153</v>
      </c>
      <c r="K281" s="1072" t="s">
        <v>153</v>
      </c>
      <c r="L281" s="1281"/>
      <c r="M281" s="1289"/>
      <c r="N281" s="1290"/>
      <c r="O281" s="1290"/>
      <c r="P281" s="1286"/>
      <c r="Q281" s="1286"/>
      <c r="R281" s="1286"/>
      <c r="S281" s="1286"/>
      <c r="T281" s="1290"/>
      <c r="U281" s="1290"/>
      <c r="V281" s="1285"/>
      <c r="W281" s="1083">
        <f>Parametres!$T$36</f>
        <v>100000000</v>
      </c>
      <c r="X281" s="1142">
        <f>COUNTIFS('Degrémont sortie'!$R$14:$R$379,"&gt;0",'Degrémont sortie'!$A$14:$A$379,"&gt;="&amp;B252,'Degrémont sortie'!$A$14:$A$379,"&lt;="&amp;EOMONTH(B252,0))</f>
        <v>0</v>
      </c>
      <c r="Y281" s="1085">
        <f>SUMIFS('Degrémont sortie'!$R$14:$R$379,'Degrémont sortie'!$R$14:$R$379,"&lt;&gt;0",'Degrémont sortie'!$A$14:$A$379,"&gt;="&amp;B252,'Degrémont sortie'!$A$14:$A$379,"&lt;="&amp;EOMONTH(B252,0))</f>
        <v>0</v>
      </c>
      <c r="Z281" s="1069">
        <f t="shared" si="122"/>
        <v>0</v>
      </c>
      <c r="AA281" s="1286" t="e">
        <f ca="1">MINIFS('Degrémont sortie'!$R$14:$R$379,'Degrémont sortie'!$R$14:$R$379,"&lt;&gt;0",'Degrémont sortie'!$A$14:$A$379,"&gt;="&amp;B252,'Degrémont sortie'!$A$14:$A$379,"&lt;="&amp;EOMONTH(B252,0))</f>
        <v>#NAME?</v>
      </c>
      <c r="AB281" s="1286" t="e">
        <f ca="1">MAXIFS('Degrémont sortie'!$R$14:$R$379,'Degrémont sortie'!$R$14:$R$379,"&lt;&gt;0",'Degrémont sortie'!$A$14:$A$379,"&gt;="&amp;B252,'Degrémont sortie'!$A$14:$A$379,"&lt;="&amp;EOMONTH(B252,0))</f>
        <v>#NAME?</v>
      </c>
      <c r="AC281" s="1291" t="s">
        <v>153</v>
      </c>
      <c r="AD281" s="1292" t="s">
        <v>153</v>
      </c>
      <c r="AE281" s="1285"/>
      <c r="AF281" s="1293"/>
      <c r="AG281" s="1293"/>
      <c r="AH281" s="1293"/>
      <c r="AI281" s="1293"/>
      <c r="AJ281" s="1293"/>
      <c r="AK281" s="1285"/>
      <c r="AL281" s="1293"/>
      <c r="AM281" s="1293"/>
      <c r="AN281" s="1293"/>
      <c r="AO281" s="1293"/>
      <c r="AP281" s="1293"/>
      <c r="AQ281" s="1285"/>
      <c r="AR281" s="1293"/>
      <c r="AS281" s="1293"/>
      <c r="AT281" s="1293"/>
      <c r="AU281" s="1293"/>
      <c r="AV281" s="1293"/>
      <c r="AW281" s="1293"/>
      <c r="AX281" s="1294"/>
      <c r="AY281" s="1295"/>
      <c r="AZ281" s="1095" t="e">
        <f t="shared" si="112"/>
        <v>#REF!</v>
      </c>
      <c r="BA281" s="2"/>
    </row>
    <row r="282" spans="1:53" ht="15.75" hidden="1" customHeight="1" outlineLevel="1">
      <c r="A282" s="1027"/>
      <c r="B282" s="1096"/>
      <c r="C282" s="1139" t="s">
        <v>40</v>
      </c>
      <c r="D282" s="1122">
        <f>Parametres!$D$37</f>
        <v>10000000</v>
      </c>
      <c r="E282" s="1068" t="e">
        <f>COUNTIFS(#REF!,"&gt;0",#REF!,"&gt;="&amp;B252,#REF!,"&lt;="&amp;EOMONTH(B252,0))</f>
        <v>#REF!</v>
      </c>
      <c r="F282" s="1069" t="e">
        <f>SUMIFS(#REF!,#REF!,"&lt;&gt;0",#REF!,"&gt;="&amp;B252,#REF!,"&lt;="&amp;EOMONTH(B252,0))</f>
        <v>#REF!</v>
      </c>
      <c r="G282" s="1069" t="e">
        <f t="shared" si="110"/>
        <v>#REF!</v>
      </c>
      <c r="H282" s="1070" t="e">
        <f ca="1">MINIFS(#REF!,#REF!,"&lt;&gt;0",#REF!,"&gt;="&amp;B252,#REF!,"&lt;="&amp;EOMONTH(B252,0))</f>
        <v>#NAME?</v>
      </c>
      <c r="I282" s="1069" t="e">
        <f ca="1">MAXIFS(#REF!,#REF!,"&lt;&gt;0",#REF!,"&gt;="&amp;B252,#REF!,"&lt;="&amp;EOMONTH(B252,0))</f>
        <v>#NAME?</v>
      </c>
      <c r="J282" s="1072" t="s">
        <v>153</v>
      </c>
      <c r="K282" s="1072" t="s">
        <v>153</v>
      </c>
      <c r="L282" s="1281"/>
      <c r="M282" s="1289"/>
      <c r="N282" s="1290"/>
      <c r="O282" s="1290"/>
      <c r="P282" s="1286"/>
      <c r="Q282" s="1286"/>
      <c r="R282" s="1286"/>
      <c r="S282" s="1286"/>
      <c r="T282" s="1290"/>
      <c r="U282" s="1290"/>
      <c r="V282" s="1285"/>
      <c r="W282" s="1083">
        <f>Parametres!$T$37</f>
        <v>100000000</v>
      </c>
      <c r="X282" s="1142">
        <f>COUNTIFS('Degrémont sortie'!$U$14:$U$379,"&gt;0",'Degrémont sortie'!$A$14:$A$379,"&gt;="&amp;B252,'Degrémont sortie'!$A$14:$A$379,"&lt;="&amp;EOMONTH(B252,0))</f>
        <v>0</v>
      </c>
      <c r="Y282" s="1085">
        <f>SUMIFS('Degrémont sortie'!$U$14:$U$379,'Degrémont sortie'!$U$14:$U$379,"&lt;&gt;0",'Degrémont sortie'!$A$14:$A$379,"&gt;="&amp;B252,'Degrémont sortie'!$A$14:$A$379,"&lt;="&amp;EOMONTH(B252,0))</f>
        <v>0</v>
      </c>
      <c r="Z282" s="1069">
        <f t="shared" si="122"/>
        <v>0</v>
      </c>
      <c r="AA282" s="1286" t="e">
        <f ca="1">MINIFS('Degrémont sortie'!$U$14:$U$379,'Degrémont sortie'!$U$14:$U$379,"&lt;&gt;0",'Degrémont sortie'!$A$14:$A$379,"&gt;="&amp;B252,'Degrémont sortie'!$A$14:$A$379,"&lt;="&amp;EOMONTH(B252,0))</f>
        <v>#NAME?</v>
      </c>
      <c r="AB282" s="1286" t="e">
        <f ca="1">MAXIFS('Degrémont sortie'!$U$14:$U$379,'Degrémont sortie'!$U$14:$U$379,"&lt;&gt;0",'Degrémont sortie'!$A$14:$A$379,"&gt;="&amp;B252,'Degrémont sortie'!$A$14:$A$379,"&lt;="&amp;EOMONTH(B252,0))</f>
        <v>#NAME?</v>
      </c>
      <c r="AC282" s="1291" t="s">
        <v>153</v>
      </c>
      <c r="AD282" s="1292" t="s">
        <v>153</v>
      </c>
      <c r="AE282" s="1285"/>
      <c r="AF282" s="1293"/>
      <c r="AG282" s="1293"/>
      <c r="AH282" s="1293"/>
      <c r="AI282" s="1293"/>
      <c r="AJ282" s="1293"/>
      <c r="AK282" s="1285"/>
      <c r="AL282" s="1293"/>
      <c r="AM282" s="1293"/>
      <c r="AN282" s="1293"/>
      <c r="AO282" s="1293"/>
      <c r="AP282" s="1293"/>
      <c r="AQ282" s="1285"/>
      <c r="AR282" s="1293"/>
      <c r="AS282" s="1293"/>
      <c r="AT282" s="1293"/>
      <c r="AU282" s="1293"/>
      <c r="AV282" s="1293"/>
      <c r="AW282" s="1293"/>
      <c r="AX282" s="1294"/>
      <c r="AY282" s="1295"/>
      <c r="AZ282" s="1095" t="e">
        <f t="shared" si="112"/>
        <v>#REF!</v>
      </c>
      <c r="BA282" s="2"/>
    </row>
    <row r="283" spans="1:53" ht="15.75" hidden="1" customHeight="1" outlineLevel="1">
      <c r="A283" s="1027"/>
      <c r="B283" s="1096"/>
      <c r="C283" s="1121" t="s">
        <v>15</v>
      </c>
      <c r="D283" s="1122">
        <f>Parametres!$D$38</f>
        <v>1000000</v>
      </c>
      <c r="E283" s="1068" t="e">
        <f>COUNTIFS(#REF!,"&gt;0",#REF!,"&gt;="&amp;B252,#REF!,"&lt;="&amp;EOMONTH(B252,0))</f>
        <v>#REF!</v>
      </c>
      <c r="F283" s="1069" t="e">
        <f>SUMIFS(#REF!,#REF!,"&lt;&gt;0",#REF!,"&gt;="&amp;B252,#REF!,"&lt;="&amp;EOMONTH(B252,0))</f>
        <v>#REF!</v>
      </c>
      <c r="G283" s="1069" t="e">
        <f t="shared" si="110"/>
        <v>#REF!</v>
      </c>
      <c r="H283" s="1070" t="e">
        <f ca="1">MINIFS(#REF!,#REF!,"&lt;&gt;0",#REF!,"&gt;="&amp;B252,#REF!,"&lt;="&amp;EOMONTH(B252,0))</f>
        <v>#NAME?</v>
      </c>
      <c r="I283" s="1069" t="e">
        <f ca="1">MAXIFS(#REF!,#REF!,"&lt;&gt;0",#REF!,"&gt;="&amp;B252,#REF!,"&lt;="&amp;EOMONTH(B252,0))</f>
        <v>#NAME?</v>
      </c>
      <c r="J283" s="1072" t="e">
        <f>COUNTIFS(#REF!,"&gt;="&amp;D283,#REF!,"&gt;="&amp;B252,#REF!,"&lt;="&amp;EOMONTH(B252,0))</f>
        <v>#REF!</v>
      </c>
      <c r="K283" s="1341" t="e">
        <f t="shared" ref="K283:K284" si="123">J283/E283</f>
        <v>#REF!</v>
      </c>
      <c r="L283" s="1281"/>
      <c r="M283" s="1289"/>
      <c r="N283" s="1290"/>
      <c r="O283" s="1290"/>
      <c r="P283" s="1286"/>
      <c r="Q283" s="1286"/>
      <c r="R283" s="1286"/>
      <c r="S283" s="1286"/>
      <c r="T283" s="1290"/>
      <c r="U283" s="1290"/>
      <c r="V283" s="1285"/>
      <c r="W283" s="1293"/>
      <c r="X283" s="1293"/>
      <c r="Y283" s="1286"/>
      <c r="Z283" s="1286"/>
      <c r="AA283" s="1286"/>
      <c r="AB283" s="1286"/>
      <c r="AC283" s="1293"/>
      <c r="AD283" s="1249"/>
      <c r="AE283" s="1285"/>
      <c r="AF283" s="1293"/>
      <c r="AG283" s="1293"/>
      <c r="AH283" s="1293"/>
      <c r="AI283" s="1293"/>
      <c r="AJ283" s="1293"/>
      <c r="AK283" s="1285"/>
      <c r="AL283" s="1293"/>
      <c r="AM283" s="1293"/>
      <c r="AN283" s="1293"/>
      <c r="AO283" s="1293"/>
      <c r="AP283" s="1293"/>
      <c r="AQ283" s="1285"/>
      <c r="AR283" s="1293"/>
      <c r="AS283" s="1293"/>
      <c r="AT283" s="1293"/>
      <c r="AU283" s="1293"/>
      <c r="AV283" s="1293"/>
      <c r="AW283" s="1293"/>
      <c r="AX283" s="1294"/>
      <c r="AY283" s="1295"/>
      <c r="AZ283" s="1095" t="e">
        <f t="shared" si="112"/>
        <v>#REF!</v>
      </c>
      <c r="BA283" s="2"/>
    </row>
    <row r="284" spans="1:53" ht="15.75" hidden="1" customHeight="1" outlineLevel="1">
      <c r="A284" s="1027"/>
      <c r="B284" s="1096"/>
      <c r="C284" s="1121" t="s">
        <v>170</v>
      </c>
      <c r="D284" s="1122">
        <f>Parametres!$D$40</f>
        <v>10000000</v>
      </c>
      <c r="E284" s="1068" t="e">
        <f>COUNTIFS(#REF!,"&gt;0",#REF!,"&gt;="&amp;B252,#REF!,"&lt;="&amp;EOMONTH(B252,0))</f>
        <v>#REF!</v>
      </c>
      <c r="F284" s="1069" t="e">
        <f>SUMIFS(#REF!,#REF!,"&lt;&gt;0",#REF!,"&gt;="&amp;B252,#REF!,"&lt;="&amp;EOMONTH(B252,0))</f>
        <v>#REF!</v>
      </c>
      <c r="G284" s="1069" t="e">
        <f t="shared" si="110"/>
        <v>#REF!</v>
      </c>
      <c r="H284" s="1070" t="e">
        <f ca="1">MINIFS(#REF!,#REF!,"&lt;&gt;0",#REF!,"&gt;="&amp;B252,#REF!,"&lt;="&amp;EOMONTH(B252,0))</f>
        <v>#NAME?</v>
      </c>
      <c r="I284" s="1069" t="e">
        <f ca="1">MAXIFS(#REF!,#REF!,"&lt;&gt;0",#REF!,"&gt;="&amp;B252,#REF!,"&lt;="&amp;EOMONTH(B252,0))</f>
        <v>#NAME?</v>
      </c>
      <c r="J284" s="1114" t="e">
        <f>COUNTIFS(#REF!,"&gt;="&amp;D284,#REF!,"&gt;="&amp;B253,#REF!,"&lt;="&amp;EOMONTH(B253,0))</f>
        <v>#REF!</v>
      </c>
      <c r="K284" s="1341" t="e">
        <f t="shared" si="123"/>
        <v>#REF!</v>
      </c>
      <c r="L284" s="1281"/>
      <c r="M284" s="1289"/>
      <c r="N284" s="1313"/>
      <c r="O284" s="1313"/>
      <c r="P284" s="1315"/>
      <c r="Q284" s="1317"/>
      <c r="R284" s="1286"/>
      <c r="S284" s="1286"/>
      <c r="T284" s="1290"/>
      <c r="U284" s="1290"/>
      <c r="V284" s="1285"/>
      <c r="W284" s="1293"/>
      <c r="X284" s="1293"/>
      <c r="Y284" s="1315"/>
      <c r="Z284" s="1286"/>
      <c r="AA284" s="1286"/>
      <c r="AB284" s="1286"/>
      <c r="AC284" s="1293"/>
      <c r="AD284" s="1249"/>
      <c r="AE284" s="1285"/>
      <c r="AF284" s="1293"/>
      <c r="AG284" s="1293"/>
      <c r="AH284" s="1293"/>
      <c r="AI284" s="1293"/>
      <c r="AJ284" s="1293"/>
      <c r="AK284" s="1285"/>
      <c r="AL284" s="1321"/>
      <c r="AM284" s="1293"/>
      <c r="AN284" s="1293"/>
      <c r="AO284" s="1293"/>
      <c r="AP284" s="1293"/>
      <c r="AQ284" s="1285"/>
      <c r="AR284" s="1293"/>
      <c r="AS284" s="1293"/>
      <c r="AT284" s="1293"/>
      <c r="AU284" s="1293"/>
      <c r="AV284" s="1293"/>
      <c r="AW284" s="1293"/>
      <c r="AX284" s="1294"/>
      <c r="AY284" s="1295"/>
      <c r="AZ284" s="1095"/>
      <c r="BA284" s="2"/>
    </row>
    <row r="285" spans="1:53" ht="15.75" hidden="1" customHeight="1" outlineLevel="1">
      <c r="A285" s="1027"/>
      <c r="B285" s="1096"/>
      <c r="C285" s="1139" t="s">
        <v>38</v>
      </c>
      <c r="D285" s="1122">
        <f>Parametres!$D$39</f>
        <v>1000000</v>
      </c>
      <c r="E285" s="1068" t="e">
        <f>COUNTIFS(#REF!,"&gt;0",#REF!,"&gt;="&amp;B252,#REF!,"&lt;="&amp;EOMONTH(B252,0))</f>
        <v>#REF!</v>
      </c>
      <c r="F285" s="1069" t="e">
        <f>SUMIFS(#REF!,#REF!,"&lt;&gt;0",#REF!,"&gt;="&amp;B252,#REF!,"&lt;="&amp;EOMONTH(B252,0))</f>
        <v>#REF!</v>
      </c>
      <c r="G285" s="1069" t="e">
        <f t="shared" si="110"/>
        <v>#REF!</v>
      </c>
      <c r="H285" s="1070" t="e">
        <f ca="1">MINIFS(#REF!,#REF!,"&lt;&gt;0",#REF!,"&gt;="&amp;B252,#REF!,"&lt;="&amp;EOMONTH(B252,0))</f>
        <v>#NAME?</v>
      </c>
      <c r="I285" s="1069" t="e">
        <f ca="1">MAXIFS(#REF!,#REF!,"&lt;&gt;0",#REF!,"&gt;="&amp;B252,#REF!,"&lt;="&amp;EOMONTH(B252,0))</f>
        <v>#NAME?</v>
      </c>
      <c r="J285" s="1072" t="s">
        <v>153</v>
      </c>
      <c r="K285" s="1072" t="s">
        <v>153</v>
      </c>
      <c r="L285" s="1281"/>
      <c r="M285" s="1289"/>
      <c r="N285" s="1328">
        <f>Parametres!$L$39</f>
        <v>100000</v>
      </c>
      <c r="O285" s="1077">
        <f>COUNTIF('Degrémont Entrée'!$U$14:$U$44,"&gt;0")</f>
        <v>4</v>
      </c>
      <c r="P285" s="1078">
        <f>SUMIFS('Degrémont Entrée'!$U$14:$U$379,'Degrémont Entrée'!$U$14:$U$379,"&lt;&gt;0",'Degrémont Entrée'!$A$14:$A$379,"&gt;="&amp;B252,'Degrémont Entrée'!$A$14:$A$379,"&lt;="&amp;EOMONTH(B252,0))</f>
        <v>150.80000000000001</v>
      </c>
      <c r="Q285" s="1283">
        <f t="shared" ref="Q285:Q288" si="124">IF(O285=0,0,P285/O285)</f>
        <v>37.700000000000003</v>
      </c>
      <c r="R285" s="1286" t="e">
        <f ca="1">MINIFS('Degrémont Entrée'!$U$14:$U$379,'Degrémont Entrée'!$U$14:$U$379,"&lt;&gt;0",'Degrémont Entrée'!$A$14:$A$379,"&gt;="&amp;B252,'Degrémont Entrée'!$A$14:$A$379,"&lt;="&amp;EOMONTH(B252,0))</f>
        <v>#NAME?</v>
      </c>
      <c r="S285" s="1286" t="e">
        <f ca="1">MAXIFS('Degrémont Entrée'!$U$14:$U$379,'Degrémont Entrée'!$U$14:$U$379,"&lt;&gt;0",'Degrémont Entrée'!$A$14:$A$379,"&gt;="&amp;B252,'Degrémont Entrée'!$A$14:$A$379,"&lt;="&amp;EOMONTH(B252,0))</f>
        <v>#NAME?</v>
      </c>
      <c r="T285" s="1291" t="s">
        <v>153</v>
      </c>
      <c r="U285" s="1291" t="s">
        <v>153</v>
      </c>
      <c r="V285" s="1285"/>
      <c r="W285" s="1083">
        <f>Parametres!T283</f>
        <v>0</v>
      </c>
      <c r="X285" s="1142">
        <f>COUNTIFS('Degrémont sortie'!$O$14:$O$379,"&gt;0",'Degrémont sortie'!$A$14:$A$379,"&gt;="&amp;B252,'Degrémont sortie'!$A$14:$A$379,"&lt;="&amp;EOMONTH(B252,0))</f>
        <v>4</v>
      </c>
      <c r="Y285" s="1085">
        <f>SUMIFS('Degrémont sortie'!$O$14:$O$379,'Degrémont sortie'!$O$14:$O$379,"&lt;&gt;0",'Degrémont sortie'!$A$14:$A$379,"&gt;="&amp;B252,'Degrémont sortie'!$A$14:$A$379,"&lt;="&amp;EOMONTH(B252,0))</f>
        <v>104.3</v>
      </c>
      <c r="Z285" s="1069">
        <f t="shared" ref="Z285:Z291" si="125">IF(X285=0,0,Y285/X285)</f>
        <v>26.074999999999999</v>
      </c>
      <c r="AA285" s="1286" t="e">
        <f ca="1">MINIFS('Degrémont sortie'!$O$14:$O$379,'Degrémont sortie'!$O$14:$O$379,"&lt;&gt;0",'Degrémont sortie'!$A$14:$A$379,"&gt;="&amp;B252,'Degrémont sortie'!$A$14:$A$379,"&lt;="&amp;EOMONTH(B252,0))</f>
        <v>#NAME?</v>
      </c>
      <c r="AB285" s="1286" t="e">
        <f ca="1">MAXIFS('Degrémont sortie'!$O$14:$O$379,'Degrémont sortie'!$O$14:$O$379,"&lt;&gt;0",'Degrémont sortie'!$A$14:$A$379,"&gt;="&amp;B252,'Degrémont sortie'!$A$14:$A$379,"&lt;="&amp;EOMONTH(B252,0))</f>
        <v>#NAME?</v>
      </c>
      <c r="AC285" s="1291" t="s">
        <v>153</v>
      </c>
      <c r="AD285" s="1292" t="s">
        <v>153</v>
      </c>
      <c r="AE285" s="1285"/>
      <c r="AF285" s="1293"/>
      <c r="AG285" s="1293"/>
      <c r="AH285" s="1293"/>
      <c r="AI285" s="1293"/>
      <c r="AJ285" s="1293"/>
      <c r="AK285" s="1285"/>
      <c r="AL285" s="1205" t="e">
        <f>COUNTIFS(#REF!,"&gt;0",#REF!,"&gt;="&amp;B252,#REF!,"&lt;="&amp;EOMONTH(B252,0))</f>
        <v>#REF!</v>
      </c>
      <c r="AM285" s="1208" t="e">
        <f>SUMIFS(#REF!,#REF!,"&lt;&gt;0",#REF!,"&gt;="&amp;B252,#REF!,"&lt;="&amp;EOMONTH(B252,0))</f>
        <v>#REF!</v>
      </c>
      <c r="AN285" s="1208" t="e">
        <f>IF(AL285=0,0,AM285/AL285)</f>
        <v>#REF!</v>
      </c>
      <c r="AO285" s="1141" t="e">
        <f ca="1">MINIFS(#REF!,#REF!,"&lt;&gt;0",#REF!,"&gt;="&amp;B252,#REF!,"&lt;="&amp;EOMONTH(B252,0))</f>
        <v>#NAME?</v>
      </c>
      <c r="AP285" s="1141" t="e">
        <f ca="1">MAXIFS(#REF!,#REF!,"&lt;&gt;0",#REF!,"&gt;="&amp;B252,#REF!,"&lt;="&amp;EOMONTH(B252,0))</f>
        <v>#NAME?</v>
      </c>
      <c r="AQ285" s="1285"/>
      <c r="AR285" s="1293"/>
      <c r="AS285" s="1293"/>
      <c r="AT285" s="1293"/>
      <c r="AU285" s="1293"/>
      <c r="AV285" s="1293"/>
      <c r="AW285" s="1293"/>
      <c r="AX285" s="1294"/>
      <c r="AY285" s="1295"/>
      <c r="AZ285" s="1095" t="e">
        <f t="shared" ref="AZ285:AZ297" si="126">SUM(E285+O285+X285+AF285+AL285+AS285)</f>
        <v>#REF!</v>
      </c>
      <c r="BA285" s="2"/>
    </row>
    <row r="286" spans="1:53" ht="15.75" hidden="1" customHeight="1" outlineLevel="1">
      <c r="A286" s="1027"/>
      <c r="B286" s="1096"/>
      <c r="C286" s="1139" t="s">
        <v>33</v>
      </c>
      <c r="D286" s="1122" t="str">
        <f>Parametres!$D$41</f>
        <v>5,5-8,5</v>
      </c>
      <c r="E286" s="1068" t="e">
        <f>COUNTIFS(#REF!,"&gt;0",#REF!,"&gt;="&amp;B252,#REF!,"&lt;="&amp;EOMONTH(B252,0))</f>
        <v>#REF!</v>
      </c>
      <c r="F286" s="1069" t="e">
        <f>SUMIFS(#REF!,#REF!,"&lt;&gt;0",#REF!,"&gt;="&amp;B252,#REF!,"&lt;="&amp;EOMONTH(B252,0))</f>
        <v>#REF!</v>
      </c>
      <c r="G286" s="1069" t="e">
        <f t="shared" si="110"/>
        <v>#REF!</v>
      </c>
      <c r="H286" s="1070" t="e">
        <f ca="1">MINIFS(#REF!,#REF!,"&lt;&gt;0",#REF!,"&gt;="&amp;B252,#REF!,"&lt;="&amp;EOMONTH(B252,0))</f>
        <v>#NAME?</v>
      </c>
      <c r="I286" s="1069" t="e">
        <f ca="1">MAXIFS(#REF!,#REF!,"&lt;&gt;0",#REF!,"&gt;="&amp;B252,#REF!,"&lt;="&amp;EOMONTH(B252,0))</f>
        <v>#NAME?</v>
      </c>
      <c r="J286" s="1114" t="e">
        <f>COUNTIFS(#REF!,"&lt;="&amp;D286,#REF!,"&gt;="&amp;B252,#REF!,"&lt;="&amp;EOMONTH(B252,0))</f>
        <v>#REF!</v>
      </c>
      <c r="K286" s="1341" t="e">
        <f t="shared" ref="K286:K288" si="127">J286/E286</f>
        <v>#REF!</v>
      </c>
      <c r="L286" s="1281"/>
      <c r="M286" s="1289"/>
      <c r="N286" s="1144">
        <f>Parametres!$L$41</f>
        <v>100000000</v>
      </c>
      <c r="O286" s="1077">
        <f>COUNTIFS('Degrémont Entrée'!$C$14:$C$379,"&gt;0",'Degrémont Entrée'!$A$14:$A$379,"&gt;="&amp;B252,'Degrémont Entrée'!$A$14:$A$379,"&lt;="&amp;EOMONTH(B252,0))</f>
        <v>22</v>
      </c>
      <c r="P286" s="1078">
        <f>SUMIFS('Degrémont Entrée'!$C$14:$C$379,'Degrémont Entrée'!$C$14:$C$379,"&lt;&gt;0",'Degrémont Entrée'!$A$14:$A$379,"&gt;="&amp;B252,'Degrémont Entrée'!$A$14:$A$379,"&lt;="&amp;EOMONTH(B252,0))</f>
        <v>178.89000000000001</v>
      </c>
      <c r="Q286" s="1283">
        <f t="shared" si="124"/>
        <v>8.1313636363636377</v>
      </c>
      <c r="R286" s="1286" t="e">
        <f ca="1">MINIFS('Degrémont Entrée'!$C$14:$C$379,'Degrémont Entrée'!$C$14:$C$379,"&lt;&gt;0",'Degrémont Entrée'!$A$14:$A$379,"&gt;="&amp;B252,'Degrémont Entrée'!$A$14:$A$379,"&lt;="&amp;EOMONTH(B252,0))</f>
        <v>#NAME?</v>
      </c>
      <c r="S286" s="1286" t="e">
        <f ca="1">MAXIFS('Degrémont Entrée'!$C$14:$C$379,'Degrémont Entrée'!$C$14:$C$379,"&lt;&gt;0",'Degrémont Entrée'!$A$14:$A$379,"&gt;="&amp;B252,'Degrémont Entrée'!$A$14:$A$379,"&lt;="&amp;EOMONTH(B252,0))</f>
        <v>#NAME?</v>
      </c>
      <c r="T286" s="1291" t="s">
        <v>153</v>
      </c>
      <c r="U286" s="1291" t="s">
        <v>153</v>
      </c>
      <c r="V286" s="1285"/>
      <c r="W286" s="1083">
        <f>Parametres!$T$41</f>
        <v>100000000</v>
      </c>
      <c r="X286" s="1142">
        <f>COUNTIFS('Degrémont sortie'!$C$14:$C$379,"&gt;0",'Degrémont sortie'!$A$14:$A$379,"&gt;="&amp;B252,'Degrémont sortie'!$A$14:$A$379,"&lt;="&amp;EOMONTH(B252,0))</f>
        <v>23</v>
      </c>
      <c r="Y286" s="1085">
        <f>SUMIFS('Degrémont sortie'!$C$14:$C$379,'Degrémont sortie'!$C$14:$C$379,"&lt;&gt;0",'Degrémont sortie'!$A$14:$A$379,"&gt;="&amp;B252,'Degrémont sortie'!$A$14:$A$379,"&lt;="&amp;EOMONTH(B252,0))</f>
        <v>193.15999999999997</v>
      </c>
      <c r="Z286" s="1069">
        <f t="shared" si="125"/>
        <v>8.3982608695652168</v>
      </c>
      <c r="AA286" s="1286" t="e">
        <f ca="1">MINIFS('Degrémont sortie'!$C$14:$C$379,'Degrémont sortie'!$C$14:$C$379,"&lt;&gt;0",'Degrémont sortie'!$A$14:$A$379,"&gt;="&amp;B252,'Degrémont sortie'!$A$14:$A$379,"&lt;="&amp;EOMONTH(B252,0))</f>
        <v>#NAME?</v>
      </c>
      <c r="AB286" s="1286" t="e">
        <f ca="1">MAXIFS('Degrémont sortie'!$C$14:$C$379,'Degrémont sortie'!$C$14:$C$379,"&lt;&gt;0",'Degrémont sortie'!$A$14:$A$379,"&gt;="&amp;B252,'Degrémont sortie'!$A$14:$A$379,"&lt;="&amp;EOMONTH(B252,0))</f>
        <v>#NAME?</v>
      </c>
      <c r="AC286" s="1291" t="s">
        <v>153</v>
      </c>
      <c r="AD286" s="1292" t="s">
        <v>153</v>
      </c>
      <c r="AE286" s="1285"/>
      <c r="AF286" s="1293"/>
      <c r="AG286" s="1293"/>
      <c r="AH286" s="1293"/>
      <c r="AI286" s="1293"/>
      <c r="AJ286" s="1293"/>
      <c r="AK286" s="1285"/>
      <c r="AL286" s="1293"/>
      <c r="AM286" s="1293"/>
      <c r="AN286" s="1293"/>
      <c r="AO286" s="1293"/>
      <c r="AP286" s="1293"/>
      <c r="AQ286" s="1285"/>
      <c r="AR286" s="1293"/>
      <c r="AS286" s="1293"/>
      <c r="AT286" s="1293"/>
      <c r="AU286" s="1293"/>
      <c r="AV286" s="1293"/>
      <c r="AW286" s="1293"/>
      <c r="AX286" s="1294"/>
      <c r="AY286" s="1295"/>
      <c r="AZ286" s="1095" t="e">
        <f t="shared" si="126"/>
        <v>#REF!</v>
      </c>
      <c r="BA286" s="2"/>
    </row>
    <row r="287" spans="1:53" ht="15.75" hidden="1" customHeight="1" outlineLevel="1">
      <c r="A287" s="1027"/>
      <c r="B287" s="1096"/>
      <c r="C287" s="1139" t="s">
        <v>49</v>
      </c>
      <c r="D287" s="1122">
        <f>Parametres!$D$42</f>
        <v>0.5</v>
      </c>
      <c r="E287" s="1068" t="e">
        <f>COUNTIFS(#REF!,"&gt;0",#REF!,"&gt;="&amp;B252,#REF!,"&lt;="&amp;EOMONTH(B252,0))</f>
        <v>#REF!</v>
      </c>
      <c r="F287" s="1069" t="e">
        <f>SUMIFS(#REF!,#REF!,"&lt;&gt;0",#REF!,"&gt;="&amp;B252,#REF!,"&lt;="&amp;EOMONTH(B252,0))</f>
        <v>#REF!</v>
      </c>
      <c r="G287" s="1069" t="e">
        <f t="shared" si="110"/>
        <v>#REF!</v>
      </c>
      <c r="H287" s="1070" t="e">
        <f ca="1">MINIFS(#REF!,#REF!,"&lt;&gt;0",#REF!,"&gt;="&amp;B252,#REF!,"&lt;="&amp;EOMONTH(B252,0))</f>
        <v>#NAME?</v>
      </c>
      <c r="I287" s="1069" t="e">
        <f ca="1">MAXIFS(#REF!,#REF!,"&lt;&gt;0",#REF!,"&gt;="&amp;B252,#REF!,"&lt;="&amp;EOMONTH(B252,0))</f>
        <v>#NAME?</v>
      </c>
      <c r="J287" s="1114" t="e">
        <f>COUNTIFS(#REF!,"&gt;="&amp;D287,#REF!,"&gt;="&amp;B252,#REF!,"&lt;="&amp;EOMONTH(B252,0))</f>
        <v>#REF!</v>
      </c>
      <c r="K287" s="1341" t="e">
        <f t="shared" si="127"/>
        <v>#REF!</v>
      </c>
      <c r="L287" s="1281"/>
      <c r="M287" s="1289"/>
      <c r="N287" s="1144">
        <f>Parametres!$L$42</f>
        <v>0.3</v>
      </c>
      <c r="O287" s="1077">
        <f>COUNTIFS('Degrémont Entrée'!$BE$14:$BE$379,"&gt;0",'Degrémont Entrée'!$A$14:$A$379,"&gt;="&amp;B252,'Degrémont Entrée'!$A$14:$A$379,"&lt;="&amp;EOMONTH(B252,0))</f>
        <v>4</v>
      </c>
      <c r="P287" s="1078">
        <f>SUMIFS('Degrémont Entrée'!$BE$14:$BE$379,'Degrémont Entrée'!$BE$14:$BE$379,"&lt;&gt;0",'Degrémont Entrée'!$A$14:$A$379,"&gt;="&amp;B252,'Degrémont Entrée'!$A$14:$A$379,"&lt;="&amp;EOMONTH(B252,0))</f>
        <v>0.52</v>
      </c>
      <c r="Q287" s="1283">
        <f t="shared" si="124"/>
        <v>0.13</v>
      </c>
      <c r="R287" s="1286" t="e">
        <f ca="1">MINIFS('Degrémont Entrée'!$BE$14:$BE$379,'Degrémont Entrée'!$BE$14:$BE$379,"&lt;&gt;0",'Degrémont Entrée'!$A$14:$A$379,"&gt;="&amp;B252,'Degrémont Entrée'!$A$14:$A$379,"&lt;="&amp;EOMONTH(B252,0))</f>
        <v>#NAME?</v>
      </c>
      <c r="S287" s="1286" t="e">
        <f ca="1">MAXIFS('Degrémont Entrée'!$BE$14:$BE$379,'Degrémont Entrée'!$BE$14:$BE$379,"&lt;&gt;0",'Degrémont Entrée'!$A$14:$A$379,"&gt;="&amp;B252,'Degrémont Entrée'!$A$14:$A$379,"&lt;="&amp;EOMONTH(B252,0))</f>
        <v>#NAME?</v>
      </c>
      <c r="T287" s="1141">
        <f>COUNTIFS('Degrémont Entrée'!$BE$14:$BE$379,"&gt;="&amp;N287,'Degrémont Entrée'!$A$14:$A$379,"&gt;="&amp;B252,'Degrémont Entrée'!$A$14:$A$379,"&lt;="&amp;EOMONTH(B252,0))</f>
        <v>0</v>
      </c>
      <c r="U287" s="1081">
        <f t="shared" ref="U287:U288" si="128">T287/O287</f>
        <v>0</v>
      </c>
      <c r="V287" s="1285"/>
      <c r="W287" s="1083">
        <f>Parametres!$T$42</f>
        <v>0.08</v>
      </c>
      <c r="X287" s="1142">
        <f>COUNTIFS('Degrémont sortie'!$AY$14:$AY$379,"&gt;0",'Degrémont sortie'!$A$14:$A$379,"&gt;="&amp;B252,'Degrémont sortie'!$A$14:$A$379,"&lt;="&amp;EOMONTH(B252,0))</f>
        <v>4</v>
      </c>
      <c r="Y287" s="1085">
        <f>SUMIFS('Degrémont sortie'!$AY$14:$AY$379,'Degrémont sortie'!$AY$14:$AY$379,"&lt;&gt;0",'Degrémont sortie'!$A$14:$A$379,"&gt;="&amp;B252,'Degrémont sortie'!$A$14:$A$379,"&lt;="&amp;EOMONTH(B252,0))</f>
        <v>0.52</v>
      </c>
      <c r="Z287" s="1069">
        <f t="shared" si="125"/>
        <v>0.13</v>
      </c>
      <c r="AA287" s="1286" t="e">
        <f ca="1">MINIFS('Degrémont sortie'!$AY$14:$AY$379,'Degrémont sortie'!$AY$14:$AY$379,"&lt;&gt;0",'Degrémont sortie'!$A$14:$A$379,"&gt;="&amp;B252,'Degrémont sortie'!$A$14:$A$379,"&lt;="&amp;EOMONTH(B252,0))</f>
        <v>#NAME?</v>
      </c>
      <c r="AB287" s="1286" t="e">
        <f ca="1">MAXIFS('Degrémont sortie'!$AY$14:$AY$379,'Degrémont sortie'!$AY$14:$AY$379,"&lt;&gt;0",'Degrémont sortie'!$A$14:$A$379,"&gt;="&amp;B252,'Degrémont sortie'!$A$14:$A$379,"&lt;="&amp;EOMONTH(B252,0))</f>
        <v>#NAME?</v>
      </c>
      <c r="AC287" s="1141">
        <f>COUNTIFS('Degrémont sortie'!$AY$14:$AY$379,"&gt;="&amp;W287,'Degrémont sortie'!$A$14:$A$379,"&gt;="&amp;B252,'Degrémont sortie'!$A$14:$A$379,"&lt;="&amp;EOMONTH(B252,0))</f>
        <v>4</v>
      </c>
      <c r="AD287" s="1087">
        <f t="shared" ref="AD287:AD288" si="129">AC287/X287</f>
        <v>1</v>
      </c>
      <c r="AE287" s="1285"/>
      <c r="AF287" s="1293"/>
      <c r="AG287" s="1293"/>
      <c r="AH287" s="1293"/>
      <c r="AI287" s="1293"/>
      <c r="AJ287" s="1293"/>
      <c r="AK287" s="1285"/>
      <c r="AL287" s="1293"/>
      <c r="AM287" s="1293"/>
      <c r="AN287" s="1293"/>
      <c r="AO287" s="1293"/>
      <c r="AP287" s="1293"/>
      <c r="AQ287" s="1285"/>
      <c r="AR287" s="1293"/>
      <c r="AS287" s="1293"/>
      <c r="AT287" s="1293"/>
      <c r="AU287" s="1293"/>
      <c r="AV287" s="1293"/>
      <c r="AW287" s="1293"/>
      <c r="AX287" s="1294"/>
      <c r="AY287" s="1295"/>
      <c r="AZ287" s="1095" t="e">
        <f t="shared" si="126"/>
        <v>#REF!</v>
      </c>
      <c r="BA287" s="2"/>
    </row>
    <row r="288" spans="1:53" ht="15.75" hidden="1" customHeight="1" outlineLevel="1">
      <c r="A288" s="1027"/>
      <c r="B288" s="1096"/>
      <c r="C288" s="1139" t="s">
        <v>37</v>
      </c>
      <c r="D288" s="1122">
        <f>Parametres!$D$43</f>
        <v>15</v>
      </c>
      <c r="E288" s="1069"/>
      <c r="F288" s="1069"/>
      <c r="G288" s="1069">
        <f t="shared" si="110"/>
        <v>0</v>
      </c>
      <c r="H288" s="1070" t="e">
        <f ca="1">MINIFS(#REF!,#REF!,"&lt;&gt;0",#REF!,"&gt;="&amp;B252,#REF!,"&lt;="&amp;EOMONTH(B252,0))</f>
        <v>#NAME?</v>
      </c>
      <c r="I288" s="1069" t="e">
        <f ca="1">MAXIFS(#REF!,#REF!,"&lt;&gt;0",#REF!,"&gt;="&amp;B252,#REF!,"&lt;="&amp;EOMONTH(B252,0))</f>
        <v>#NAME?</v>
      </c>
      <c r="J288" s="1114" t="e">
        <f>COUNTIFS(#REF!,"&gt;="&amp;D288,#REF!,"&gt;="&amp;B253,#REF!,"&lt;="&amp;EOMONTH(B253,0))</f>
        <v>#REF!</v>
      </c>
      <c r="K288" s="1341" t="e">
        <f t="shared" si="127"/>
        <v>#REF!</v>
      </c>
      <c r="L288" s="1281"/>
      <c r="M288" s="1289"/>
      <c r="N288" s="1144">
        <f>Parametres!$L$43</f>
        <v>500</v>
      </c>
      <c r="O288" s="1077">
        <f>COUNTIFS('Degrémont Entrée'!$S$14:$S$379,"&gt;0",'Degrémont Entrée'!$A$14:$A$379,"&gt;="&amp;B252,'Degrémont Entrée'!$A$14:$A$379,"&lt;="&amp;EOMONTH(B252,0))</f>
        <v>22</v>
      </c>
      <c r="P288" s="1078">
        <f>SUMIFS('Degrémont Entrée'!$S$14:$S$379,'Degrémont Entrée'!$S$14:$S$379,"&lt;&gt;0",'Degrémont Entrée'!$A$14:$A$379,"&gt;="&amp;B252,'Degrémont Entrée'!$A$14:$A$379,"&lt;="&amp;EOMONTH(B252,0))</f>
        <v>1884.1000000000001</v>
      </c>
      <c r="Q288" s="1283">
        <f t="shared" si="124"/>
        <v>85.640909090909091</v>
      </c>
      <c r="R288" s="1286" t="e">
        <f ca="1">MINIFS('Degrémont Entrée'!$S$14:$S$379,'Degrémont Entrée'!$S$14:$S$379,"&lt;&gt;0",'Degrémont Entrée'!$A$14:$A$379,"&gt;="&amp;B252,'Degrémont Entrée'!$A$14:$A$379,"&lt;="&amp;EOMONTH(B252,0))</f>
        <v>#NAME?</v>
      </c>
      <c r="S288" s="1286" t="e">
        <f ca="1">MAXIFS('Degrémont Entrée'!$S$14:$S$379,'Degrémont Entrée'!$S$14:$S$379,"&lt;&gt;0",'Degrémont Entrée'!$A$14:$A$379,"&gt;="&amp;B252,'Degrémont Entrée'!$A$14:$A$379,"&lt;="&amp;EOMONTH(B252,0))</f>
        <v>#NAME?</v>
      </c>
      <c r="T288" s="1141">
        <f>COUNTIFS('Degrémont Entrée'!$S$14:$S$379,"&gt;="&amp;N288,'Degrémont Entrée'!$A$14:$A$379,"&gt;="&amp;B252,'Degrémont Entrée'!$A$14:$A$379,"&lt;="&amp;EOMONTH(B252,0))</f>
        <v>0</v>
      </c>
      <c r="U288" s="1081">
        <f t="shared" si="128"/>
        <v>0</v>
      </c>
      <c r="V288" s="1285"/>
      <c r="W288" s="1083">
        <f>Parametres!$T$43</f>
        <v>20</v>
      </c>
      <c r="X288" s="1142">
        <f>COUNTIFS('Degrémont sortie'!$M$14:$M$379,"&gt;0",'Degrémont sortie'!$A$14:$A$379,"&gt;="&amp;B252,'Degrémont sortie'!$A$14:$A$379,"&lt;="&amp;EOMONTH(B252,0))</f>
        <v>23</v>
      </c>
      <c r="Y288" s="1085">
        <f>SUMIFS('Degrémont sortie'!$M$14:$M$379,'Degrémont sortie'!$M$14:$M$379,"&lt;&gt;0",'Degrémont sortie'!$A$14:$A$379,"&gt;="&amp;B252,'Degrémont sortie'!$A$14:$A$379,"&lt;="&amp;EOMONTH(B252,0))</f>
        <v>25.830000000000002</v>
      </c>
      <c r="Z288" s="1069">
        <f t="shared" si="125"/>
        <v>1.1230434782608696</v>
      </c>
      <c r="AA288" s="1286" t="e">
        <f ca="1">MINIFS('Degrémont sortie'!$M$14:$M$379,'Degrémont sortie'!$M$14:$M$379,"&lt;&gt;0",'Degrémont sortie'!$A$14:$A$379,"&gt;="&amp;B252,'Degrémont sortie'!$A$14:$A$379,"&lt;="&amp;EOMONTH(B252,0))</f>
        <v>#NAME?</v>
      </c>
      <c r="AB288" s="1286" t="e">
        <f ca="1">MAXIFS('Degrémont sortie'!$M$14:$M$379,'Degrémont sortie'!$M$14:$M$379,"&lt;&gt;0",'Degrémont sortie'!$A$14:$A$379,"&gt;="&amp;B252,'Degrémont sortie'!$A$14:$A$379,"&lt;="&amp;EOMONTH(B252,0))</f>
        <v>#NAME?</v>
      </c>
      <c r="AC288" s="1141">
        <f>COUNTIFS('Degrémont sortie'!$M$14:$M$379,"&gt;="&amp;W288,'Degrémont sortie'!$A$14:$A$379,"&gt;="&amp;B252,'Degrémont sortie'!$A$14:$A$379,"&lt;="&amp;EOMONTH(B252,0))</f>
        <v>0</v>
      </c>
      <c r="AD288" s="1087">
        <f t="shared" si="129"/>
        <v>0</v>
      </c>
      <c r="AE288" s="1285"/>
      <c r="AF288" s="1293"/>
      <c r="AG288" s="1293"/>
      <c r="AH288" s="1293"/>
      <c r="AI288" s="1293"/>
      <c r="AJ288" s="1293"/>
      <c r="AK288" s="1285"/>
      <c r="AL288" s="1205" t="e">
        <f>COUNTIFS(#REF!,"&gt;0",#REF!,"&gt;="&amp;B252,#REF!,"&lt;="&amp;EOMONTH(B252,0))</f>
        <v>#REF!</v>
      </c>
      <c r="AM288" s="1208" t="e">
        <f>SUMIFS(#REF!,#REF!,"&lt;&gt;0",#REF!,"&gt;="&amp;B252,#REF!,"&lt;="&amp;EOMONTH(B252,0))</f>
        <v>#REF!</v>
      </c>
      <c r="AN288" s="1208" t="e">
        <f t="shared" ref="AN288:AN290" si="130">IF(AL288=0,0,AM288/AL288)</f>
        <v>#REF!</v>
      </c>
      <c r="AO288" s="1141" t="e">
        <f ca="1">MINIFS(#REF!,#REF!,"&lt;&gt;0",#REF!,"&gt;="&amp;B252,#REF!,"&lt;="&amp;EOMONTH(B252,0))</f>
        <v>#NAME?</v>
      </c>
      <c r="AP288" s="1141" t="e">
        <f ca="1">MAXIFS(#REF!,#REF!,"&lt;&gt;0",#REF!,"&gt;="&amp;B252,#REF!,"&lt;="&amp;EOMONTH(B252,0))</f>
        <v>#NAME?</v>
      </c>
      <c r="AQ288" s="1285"/>
      <c r="AR288" s="1293"/>
      <c r="AS288" s="1293"/>
      <c r="AT288" s="1293"/>
      <c r="AU288" s="1293"/>
      <c r="AV288" s="1293"/>
      <c r="AW288" s="1293"/>
      <c r="AX288" s="1294"/>
      <c r="AY288" s="1295"/>
      <c r="AZ288" s="1095" t="e">
        <f t="shared" si="126"/>
        <v>#REF!</v>
      </c>
      <c r="BA288" s="2"/>
    </row>
    <row r="289" spans="1:53" ht="15.75" hidden="1" customHeight="1" outlineLevel="1">
      <c r="A289" s="1027"/>
      <c r="B289" s="1096"/>
      <c r="C289" s="1139" t="s">
        <v>301</v>
      </c>
      <c r="D289" s="1102"/>
      <c r="E289" s="1069"/>
      <c r="F289" s="1069"/>
      <c r="G289" s="1069"/>
      <c r="H289" s="1069"/>
      <c r="I289" s="1069"/>
      <c r="J289" s="1102"/>
      <c r="K289" s="1102"/>
      <c r="L289" s="1281"/>
      <c r="M289" s="1289"/>
      <c r="N289" s="1290"/>
      <c r="O289" s="1290"/>
      <c r="P289" s="1286"/>
      <c r="Q289" s="1283"/>
      <c r="R289" s="1286"/>
      <c r="S289" s="1286"/>
      <c r="T289" s="1290"/>
      <c r="U289" s="1290"/>
      <c r="V289" s="1285"/>
      <c r="W289" s="1083">
        <f>Parametres!$T$44</f>
        <v>100000</v>
      </c>
      <c r="X289" s="1329">
        <f>COUNTIFS('Degrémont sortie'!$BA$14:$BA$379,"&gt;0",'Degrémont sortie'!$A$14:$A$379,"&gt;="&amp;B252,'Degrémont sortie'!$A$14:$A$379,"&lt;="&amp;EOMONTH(B252,0))</f>
        <v>22</v>
      </c>
      <c r="Y289" s="1286" t="e">
        <f>SUMIFS('Degrémont sortie'!$BA$14:$BA$379,'Degrémont sortie'!$BA$14:$BA$379,"&lt;&gt;0",'Degrémont sortie'!$A$14:$A$379,"&gt;="&amp;B252,'Degrémont sortie'!$A$14:$A$379,"&lt;="&amp;EOMONTH(B252,0))</f>
        <v>#DIV/0!</v>
      </c>
      <c r="Z289" s="1069" t="e">
        <f t="shared" si="125"/>
        <v>#DIV/0!</v>
      </c>
      <c r="AA289" s="1286" t="e">
        <f ca="1">MINIFS('Degrémont sortie'!$BA$14:$BA$379,'Degrémont sortie'!$BA$14:$BA$379,"&lt;&gt;0",'Degrémont sortie'!$A$14:$A$379,"&gt;="&amp;B252,'Degrémont sortie'!$A$14:$A$379,"&lt;="&amp;EOMONTH(B252,0))</f>
        <v>#NAME?</v>
      </c>
      <c r="AB289" s="1286" t="e">
        <f ca="1">MAXIFS('Degrémont sortie'!$BA$14:$BA$379,'Degrémont sortie'!$BA$14:$BA$379,"&lt;&gt;0",'Degrémont sortie'!$A$14:$A$379,"&gt;="&amp;B252,'Degrémont sortie'!$A$14:$A$379,"&lt;="&amp;EOMONTH(B252,0))</f>
        <v>#NAME?</v>
      </c>
      <c r="AC289" s="1213" t="s">
        <v>153</v>
      </c>
      <c r="AD289" s="1330" t="s">
        <v>153</v>
      </c>
      <c r="AE289" s="1285"/>
      <c r="AF289" s="1293"/>
      <c r="AG289" s="1293"/>
      <c r="AH289" s="1293"/>
      <c r="AI289" s="1293"/>
      <c r="AJ289" s="1293"/>
      <c r="AK289" s="1285"/>
      <c r="AL289" s="1205" t="e">
        <f>COUNTIFS(#REF!,"&gt;0",#REF!,"&gt;="&amp;B252,#REF!,"&lt;="&amp;EOMONTH(B252,0))</f>
        <v>#REF!</v>
      </c>
      <c r="AM289" s="1208" t="e">
        <f>SUMIFS(#REF!,#REF!,"&lt;&gt;0",#REF!,"&gt;="&amp;B252,#REF!,"&lt;="&amp;EOMONTH(B252,0))</f>
        <v>#REF!</v>
      </c>
      <c r="AN289" s="1208" t="e">
        <f t="shared" si="130"/>
        <v>#REF!</v>
      </c>
      <c r="AO289" s="1208" t="e">
        <f ca="1">MINIFS(#REF!,#REF!,"&lt;&gt;0",#REF!,"&gt;="&amp;B252,#REF!,"&lt;="&amp;EOMONTH(B252,0))</f>
        <v>#NAME?</v>
      </c>
      <c r="AP289" s="1208" t="e">
        <f ca="1">MAXIFS(#REF!,#REF!,"&lt;&gt;0",#REF!,"&gt;="&amp;B252,#REF!,"&lt;="&amp;EOMONTH(B252,0))</f>
        <v>#NAME?</v>
      </c>
      <c r="AQ289" s="1285"/>
      <c r="AR289" s="1293"/>
      <c r="AS289" s="1293"/>
      <c r="AT289" s="1293"/>
      <c r="AU289" s="1293"/>
      <c r="AV289" s="1293"/>
      <c r="AW289" s="1293"/>
      <c r="AX289" s="1294"/>
      <c r="AY289" s="1295"/>
      <c r="AZ289" s="1095" t="e">
        <f t="shared" si="126"/>
        <v>#REF!</v>
      </c>
      <c r="BA289" s="2"/>
    </row>
    <row r="290" spans="1:53" ht="15.75" hidden="1" customHeight="1" outlineLevel="1">
      <c r="A290" s="1027"/>
      <c r="B290" s="1096"/>
      <c r="C290" s="1139" t="s">
        <v>302</v>
      </c>
      <c r="D290" s="1102"/>
      <c r="E290" s="1069"/>
      <c r="F290" s="1069"/>
      <c r="G290" s="1069"/>
      <c r="H290" s="1069"/>
      <c r="I290" s="1069"/>
      <c r="J290" s="1102"/>
      <c r="K290" s="1102"/>
      <c r="L290" s="1281"/>
      <c r="M290" s="1289"/>
      <c r="N290" s="1290"/>
      <c r="O290" s="1290"/>
      <c r="P290" s="1286"/>
      <c r="Q290" s="1283"/>
      <c r="R290" s="1286"/>
      <c r="S290" s="1286"/>
      <c r="T290" s="1290"/>
      <c r="U290" s="1290"/>
      <c r="V290" s="1285"/>
      <c r="W290" s="1083">
        <f>Parametres!$T$45</f>
        <v>10000</v>
      </c>
      <c r="X290" s="1331">
        <f>COUNTIFS('Degrémont sortie'!BB$14:BB$379,"&gt;0",'Degrémont sortie'!$A$14:$A$379,"&gt;="&amp;B252,'Degrémont sortie'!$A$14:$A$379,"&lt;="&amp;EOMONTH(B252,0))</f>
        <v>22</v>
      </c>
      <c r="Y290" s="1286" t="e">
        <f>SUMIFS('Degrémont sortie'!$BB$14:$BB$379,'Degrémont sortie'!$BB$14:$BB$379,"&lt;&gt;0",'Degrémont sortie'!$A$14:$A$379,"&gt;="&amp;B252,'Degrémont sortie'!$A$14:$A$379,"&lt;="&amp;EOMONTH(B252,0))</f>
        <v>#DIV/0!</v>
      </c>
      <c r="Z290" s="1069" t="e">
        <f t="shared" si="125"/>
        <v>#DIV/0!</v>
      </c>
      <c r="AA290" s="1286" t="e">
        <f ca="1">MINIFS('Degrémont sortie'!$BB$14:$BB$379,'Degrémont sortie'!$BB$14:$BB$379,"&lt;&gt;0",'Degrémont sortie'!$A$14:$A$379,"&gt;="&amp;B252,'Degrémont sortie'!$A$14:$A$379,"&lt;="&amp;EOMONTH(B252,0))</f>
        <v>#NAME?</v>
      </c>
      <c r="AB290" s="1286" t="e">
        <f ca="1">MAXIFS('Degrémont sortie'!$BB$14:$BB$379,'Degrémont sortie'!$BB$14:$BB$379,"&lt;&gt;0",'Degrémont sortie'!$A$14:$A$379,"&gt;="&amp;B252,'Degrémont sortie'!$A$14:$A$379,"&lt;="&amp;EOMONTH(B252,0))</f>
        <v>#NAME?</v>
      </c>
      <c r="AC290" s="1213" t="s">
        <v>153</v>
      </c>
      <c r="AD290" s="1330" t="s">
        <v>153</v>
      </c>
      <c r="AE290" s="1285"/>
      <c r="AF290" s="1293"/>
      <c r="AG290" s="1293"/>
      <c r="AH290" s="1293"/>
      <c r="AI290" s="1293"/>
      <c r="AJ290" s="1293"/>
      <c r="AK290" s="1285"/>
      <c r="AL290" s="1205" t="e">
        <f>COUNTIFS(#REF!,"&gt;0",#REF!,"&gt;="&amp;B252,#REF!,"&lt;="&amp;EOMONTH(B252,0))</f>
        <v>#REF!</v>
      </c>
      <c r="AM290" s="1208" t="e">
        <f>SUMIFS(#REF!,#REF!,"&lt;&gt;0",#REF!,"&gt;="&amp;B252,#REF!,"&lt;="&amp;EOMONTH(B252,0))</f>
        <v>#REF!</v>
      </c>
      <c r="AN290" s="1208" t="e">
        <f t="shared" si="130"/>
        <v>#REF!</v>
      </c>
      <c r="AO290" s="1208" t="e">
        <f ca="1">MINIFS(#REF!,#REF!,"&lt;&gt;0",#REF!,"&gt;="&amp;B252,#REF!,"&lt;="&amp;EOMONTH(B252,0))</f>
        <v>#NAME?</v>
      </c>
      <c r="AP290" s="1208" t="e">
        <f ca="1">MAXIFS(#REF!,#REF!,"&lt;&gt;0",#REF!,"&gt;="&amp;B252,#REF!,"&lt;="&amp;EOMONTH(B252,0))</f>
        <v>#NAME?</v>
      </c>
      <c r="AQ290" s="1285"/>
      <c r="AR290" s="1293"/>
      <c r="AS290" s="1293"/>
      <c r="AT290" s="1293"/>
      <c r="AU290" s="1293"/>
      <c r="AV290" s="1293"/>
      <c r="AW290" s="1293"/>
      <c r="AX290" s="1294"/>
      <c r="AY290" s="1295"/>
      <c r="AZ290" s="1095" t="e">
        <f t="shared" si="126"/>
        <v>#REF!</v>
      </c>
      <c r="BA290" s="2"/>
    </row>
    <row r="291" spans="1:53" ht="15.75" hidden="1" customHeight="1" outlineLevel="1">
      <c r="A291" s="1027"/>
      <c r="B291" s="1096"/>
      <c r="C291" s="1139" t="s">
        <v>303</v>
      </c>
      <c r="D291" s="1102"/>
      <c r="E291" s="1069"/>
      <c r="F291" s="1069"/>
      <c r="G291" s="1069"/>
      <c r="H291" s="1069"/>
      <c r="I291" s="1069"/>
      <c r="J291" s="1102"/>
      <c r="K291" s="1102"/>
      <c r="L291" s="1281"/>
      <c r="M291" s="1289"/>
      <c r="N291" s="1290"/>
      <c r="O291" s="1290"/>
      <c r="P291" s="1286"/>
      <c r="Q291" s="1283"/>
      <c r="R291" s="1286"/>
      <c r="S291" s="1286"/>
      <c r="T291" s="1290"/>
      <c r="U291" s="1290"/>
      <c r="V291" s="1285"/>
      <c r="W291" s="1083">
        <f>Parametres!$T$46</f>
        <v>10000</v>
      </c>
      <c r="X291" s="1142">
        <f>COUNTIFS('Degrémont sortie'!$BC$14:$BC$379,"&gt;0",'Degrémont sortie'!$A$14:$A$379,"&gt;="&amp;B252,'Degrémont sortie'!$A$14:$A$379,"&lt;="&amp;EOMONTH(B252,0))</f>
        <v>22</v>
      </c>
      <c r="Y291" s="1085">
        <f>SUMIFS('Degrémont sortie'!$BC$14:$BC$379,'Degrémont sortie'!$BC$14:$BC$379,"&lt;&gt;0",'Degrémont sortie'!$A$14:$A$379,"&gt;="&amp;B252,'Degrémont sortie'!$A$14:$A$379,"&lt;="&amp;EOMONTH(B252,0))</f>
        <v>2141.8914746956571</v>
      </c>
      <c r="Z291" s="1069">
        <f t="shared" si="125"/>
        <v>97.358703395257137</v>
      </c>
      <c r="AA291" s="1286" t="e">
        <f ca="1">MINIFS('Degrémont sortie'!$BC$14:$BC$379,'Degrémont sortie'!$BC$14:$BC$379,"&lt;&gt;0",'Degrémont sortie'!$A$14:$A$379,"&gt;="&amp;B252,'Degrémont sortie'!$A$14:$A$379,"&lt;="&amp;EOMONTH(B252,0))</f>
        <v>#NAME?</v>
      </c>
      <c r="AB291" s="1286" t="e">
        <f ca="1">MAXIFS('Degrémont sortie'!$BC$14:$BC$379,'Degrémont sortie'!$BC$14:$BC$379,"&lt;&gt;0",'Degrémont sortie'!$A$14:$A$379,"&gt;="&amp;B252,'Degrémont sortie'!$A$14:$A$379,"&lt;="&amp;EOMONTH(B252,0))</f>
        <v>#NAME?</v>
      </c>
      <c r="AC291" s="1291" t="s">
        <v>153</v>
      </c>
      <c r="AD291" s="1292" t="s">
        <v>153</v>
      </c>
      <c r="AE291" s="1285"/>
      <c r="AF291" s="1293"/>
      <c r="AG291" s="1293"/>
      <c r="AH291" s="1293"/>
      <c r="AI291" s="1293"/>
      <c r="AJ291" s="1293"/>
      <c r="AK291" s="1285"/>
      <c r="AL291" s="1293"/>
      <c r="AM291" s="1293"/>
      <c r="AN291" s="1293"/>
      <c r="AO291" s="1293"/>
      <c r="AP291" s="1293"/>
      <c r="AQ291" s="1285"/>
      <c r="AR291" s="1293"/>
      <c r="AS291" s="1293"/>
      <c r="AT291" s="1293"/>
      <c r="AU291" s="1293"/>
      <c r="AV291" s="1293"/>
      <c r="AW291" s="1293"/>
      <c r="AX291" s="1294"/>
      <c r="AY291" s="1295"/>
      <c r="AZ291" s="1095">
        <f t="shared" si="126"/>
        <v>22</v>
      </c>
      <c r="BA291" s="2"/>
    </row>
    <row r="292" spans="1:53" ht="15.75" hidden="1" customHeight="1" outlineLevel="1">
      <c r="A292" s="1027"/>
      <c r="B292" s="1096"/>
      <c r="C292" s="1139" t="s">
        <v>338</v>
      </c>
      <c r="D292" s="1102"/>
      <c r="E292" s="1069"/>
      <c r="F292" s="1069"/>
      <c r="G292" s="1069"/>
      <c r="H292" s="1069"/>
      <c r="I292" s="1069"/>
      <c r="J292" s="1102"/>
      <c r="K292" s="1102"/>
      <c r="L292" s="1281"/>
      <c r="M292" s="1289"/>
      <c r="N292" s="1290"/>
      <c r="O292" s="1290"/>
      <c r="P292" s="1286"/>
      <c r="Q292" s="1283"/>
      <c r="R292" s="1286"/>
      <c r="S292" s="1286"/>
      <c r="T292" s="1290"/>
      <c r="U292" s="1290"/>
      <c r="V292" s="1285"/>
      <c r="W292" s="1293"/>
      <c r="X292" s="1293"/>
      <c r="Y292" s="1286"/>
      <c r="Z292" s="1286"/>
      <c r="AA292" s="1286"/>
      <c r="AB292" s="1286"/>
      <c r="AC292" s="1293"/>
      <c r="AD292" s="1249"/>
      <c r="AE292" s="1285"/>
      <c r="AF292" s="1293"/>
      <c r="AG292" s="1293"/>
      <c r="AH292" s="1293"/>
      <c r="AI292" s="1293"/>
      <c r="AJ292" s="1293"/>
      <c r="AK292" s="1285"/>
      <c r="AL292" s="1293"/>
      <c r="AM292" s="1293"/>
      <c r="AN292" s="1293"/>
      <c r="AO292" s="1293"/>
      <c r="AP292" s="1293"/>
      <c r="AQ292" s="1285"/>
      <c r="AR292" s="1293"/>
      <c r="AS292" s="1293"/>
      <c r="AT292" s="1293"/>
      <c r="AU292" s="1293"/>
      <c r="AV292" s="1293"/>
      <c r="AW292" s="1293"/>
      <c r="AX292" s="1294"/>
      <c r="AY292" s="1295"/>
      <c r="AZ292" s="1095">
        <f t="shared" si="126"/>
        <v>0</v>
      </c>
      <c r="BA292" s="2"/>
    </row>
    <row r="293" spans="1:53" ht="15.75" hidden="1" customHeight="1" outlineLevel="1">
      <c r="A293" s="1027"/>
      <c r="B293" s="1096"/>
      <c r="C293" s="1139" t="s">
        <v>339</v>
      </c>
      <c r="D293" s="1122">
        <f>Parametres!$D$48</f>
        <v>30</v>
      </c>
      <c r="E293" s="1068" t="e">
        <f>COUNTIFS(#REF!,"&gt;0",#REF!,"&gt;="&amp;B252,#REF!,"&lt;="&amp;EOMONTH(B252,0))</f>
        <v>#REF!</v>
      </c>
      <c r="F293" s="1069" t="e">
        <f>SUMIFS(#REF!,#REF!,"&lt;&gt;0",#REF!,"&gt;="&amp;B252,#REF!,"&lt;="&amp;EOMONTH(B252,0))</f>
        <v>#REF!</v>
      </c>
      <c r="G293" s="1069" t="e">
        <f t="shared" ref="G293:G297" si="131">IF(E293=0,0,F293/E293)</f>
        <v>#REF!</v>
      </c>
      <c r="H293" s="1069" t="e">
        <f ca="1">MINIFS(#REF!,#REF!,"&lt;&gt;0",#REF!,"&gt;="&amp;B252,#REF!,"&lt;="&amp;EOMONTH(B252,0))</f>
        <v>#NAME?</v>
      </c>
      <c r="I293" s="1069" t="e">
        <f ca="1">MAXIFS(#REF!,#REF!,"&lt;&gt;0",#REF!,"&gt;="&amp;B252,#REF!,"&lt;="&amp;EOMONTH(B252,0))</f>
        <v>#NAME?</v>
      </c>
      <c r="J293" s="1114" t="e">
        <f>COUNTIFS(#REF!,"&gt;="&amp;D293,#REF!,"&gt;="&amp;B252,#REF!,"&lt;="&amp;EOMONTH(B252,0))</f>
        <v>#REF!</v>
      </c>
      <c r="K293" s="1341" t="e">
        <f t="shared" ref="K293:K297" si="132">J293/E293</f>
        <v>#REF!</v>
      </c>
      <c r="L293" s="1281"/>
      <c r="M293" s="1289"/>
      <c r="N293" s="1290"/>
      <c r="O293" s="1290"/>
      <c r="P293" s="1286"/>
      <c r="Q293" s="1283"/>
      <c r="R293" s="1286"/>
      <c r="S293" s="1286"/>
      <c r="T293" s="1290"/>
      <c r="U293" s="1290"/>
      <c r="V293" s="1285"/>
      <c r="W293" s="1293"/>
      <c r="X293" s="1293"/>
      <c r="Y293" s="1286"/>
      <c r="Z293" s="1286"/>
      <c r="AA293" s="1286"/>
      <c r="AB293" s="1286"/>
      <c r="AC293" s="1293"/>
      <c r="AD293" s="1249"/>
      <c r="AE293" s="1285"/>
      <c r="AF293" s="1293"/>
      <c r="AG293" s="1293"/>
      <c r="AH293" s="1293"/>
      <c r="AI293" s="1293"/>
      <c r="AJ293" s="1293"/>
      <c r="AK293" s="1285"/>
      <c r="AL293" s="1293"/>
      <c r="AM293" s="1293"/>
      <c r="AN293" s="1293"/>
      <c r="AO293" s="1293"/>
      <c r="AP293" s="1293"/>
      <c r="AQ293" s="1285"/>
      <c r="AR293" s="1293"/>
      <c r="AS293" s="1293"/>
      <c r="AT293" s="1293"/>
      <c r="AU293" s="1293"/>
      <c r="AV293" s="1293"/>
      <c r="AW293" s="1293"/>
      <c r="AX293" s="1294"/>
      <c r="AY293" s="1295"/>
      <c r="AZ293" s="1095" t="e">
        <f t="shared" si="126"/>
        <v>#REF!</v>
      </c>
      <c r="BA293" s="2"/>
    </row>
    <row r="294" spans="1:53" ht="15.75" hidden="1" customHeight="1" outlineLevel="1">
      <c r="A294" s="1027"/>
      <c r="B294" s="1096"/>
      <c r="C294" s="1302" t="s">
        <v>24</v>
      </c>
      <c r="D294" s="1122">
        <f>Parametres!$D$50</f>
        <v>4</v>
      </c>
      <c r="E294" s="1068" t="e">
        <f>COUNTIFS(#REF!,"&gt;0",#REF!,"&gt;="&amp;B252,#REF!,"&lt;="&amp;EOMONTH(B252,0))</f>
        <v>#REF!</v>
      </c>
      <c r="F294" s="1069" t="e">
        <f>SUMIFS(#REF!,#REF!,"&lt;&gt;0",#REF!,"&gt;="&amp;B252,#REF!,"&lt;="&amp;EOMONTH(B252,0))</f>
        <v>#REF!</v>
      </c>
      <c r="G294" s="1069" t="e">
        <f t="shared" si="131"/>
        <v>#REF!</v>
      </c>
      <c r="H294" s="1069" t="e">
        <f ca="1">MINIFS(#REF!,#REF!,"&lt;&gt;0",#REF!,"&gt;="&amp;B252,#REF!,"&lt;="&amp;EOMONTH(B252,0))</f>
        <v>#NAME?</v>
      </c>
      <c r="I294" s="1069" t="e">
        <f ca="1">MAXIFS(#REF!,#REF!,"&lt;&gt;0",#REF!,"&gt;="&amp;B252,#REF!,"&lt;="&amp;EOMONTH(B252,0))</f>
        <v>#NAME?</v>
      </c>
      <c r="J294" s="1114" t="e">
        <f>COUNTIFS(#REF!,"&gt;="&amp;D294,#REF!,"&gt;="&amp;B252,#REF!,"&lt;="&amp;EOMONTH(B252,0))</f>
        <v>#REF!</v>
      </c>
      <c r="K294" s="1341" t="e">
        <f t="shared" si="132"/>
        <v>#REF!</v>
      </c>
      <c r="L294" s="1281"/>
      <c r="M294" s="1289"/>
      <c r="N294" s="1290"/>
      <c r="O294" s="1290"/>
      <c r="P294" s="1286"/>
      <c r="Q294" s="1283"/>
      <c r="R294" s="1286"/>
      <c r="S294" s="1286"/>
      <c r="T294" s="1290"/>
      <c r="U294" s="1290"/>
      <c r="V294" s="1285"/>
      <c r="W294" s="1293"/>
      <c r="X294" s="1293"/>
      <c r="Y294" s="1286"/>
      <c r="Z294" s="1286"/>
      <c r="AA294" s="1286"/>
      <c r="AB294" s="1286"/>
      <c r="AC294" s="1293"/>
      <c r="AD294" s="1249"/>
      <c r="AE294" s="1285"/>
      <c r="AF294" s="1293"/>
      <c r="AG294" s="1293"/>
      <c r="AH294" s="1293"/>
      <c r="AI294" s="1293"/>
      <c r="AJ294" s="1293"/>
      <c r="AK294" s="1285"/>
      <c r="AL294" s="1293"/>
      <c r="AM294" s="1293"/>
      <c r="AN294" s="1293"/>
      <c r="AO294" s="1293"/>
      <c r="AP294" s="1293"/>
      <c r="AQ294" s="1285"/>
      <c r="AR294" s="1293"/>
      <c r="AS294" s="1293"/>
      <c r="AT294" s="1293"/>
      <c r="AU294" s="1293"/>
      <c r="AV294" s="1293"/>
      <c r="AW294" s="1293"/>
      <c r="AX294" s="1294"/>
      <c r="AY294" s="1295"/>
      <c r="AZ294" s="1095" t="e">
        <f t="shared" si="126"/>
        <v>#REF!</v>
      </c>
      <c r="BA294" s="2"/>
    </row>
    <row r="295" spans="1:53" ht="15.75" hidden="1" customHeight="1" outlineLevel="1">
      <c r="A295" s="1027"/>
      <c r="B295" s="1096"/>
      <c r="C295" s="1302" t="s">
        <v>168</v>
      </c>
      <c r="D295" s="1122" t="e">
        <f>#REF!</f>
        <v>#REF!</v>
      </c>
      <c r="E295" s="1068" t="e">
        <f>COUNTIFS(#REF!,"&gt;0",#REF!,"&gt;="&amp;B252,#REF!,"&lt;="&amp;EOMONTH(B252,0))</f>
        <v>#REF!</v>
      </c>
      <c r="F295" s="1069" t="e">
        <f>SUMIFS(#REF!,#REF!,"&lt;&gt;0",#REF!,"&gt;="&amp;B252,#REF!,"&lt;="&amp;EOMONTH(B252,0))</f>
        <v>#REF!</v>
      </c>
      <c r="G295" s="1069" t="e">
        <f t="shared" si="131"/>
        <v>#REF!</v>
      </c>
      <c r="H295" s="1069" t="e">
        <f ca="1">MINIFS(#REF!,#REF!,"&lt;&gt;0",#REF!,"&gt;="&amp;B252,#REF!,"&lt;="&amp;EOMONTH(B252,0))</f>
        <v>#NAME?</v>
      </c>
      <c r="I295" s="1069" t="e">
        <f ca="1">MAXIFS(#REF!,#REF!,"&lt;&gt;0",#REF!,"&gt;="&amp;B252,#REF!,"&lt;="&amp;EOMONTH(B252,0))</f>
        <v>#NAME?</v>
      </c>
      <c r="J295" s="1072" t="e">
        <f>COUNTIFS(#REF!,"&gt;="&amp;D295,#REF!,"&gt;="&amp;B252,#REF!,"&lt;="&amp;EOMONTH(B252,0))</f>
        <v>#REF!</v>
      </c>
      <c r="K295" s="1341" t="e">
        <f t="shared" si="132"/>
        <v>#REF!</v>
      </c>
      <c r="L295" s="1281"/>
      <c r="M295" s="1289"/>
      <c r="N295" s="1290"/>
      <c r="O295" s="1290"/>
      <c r="P295" s="1286"/>
      <c r="Q295" s="1283"/>
      <c r="R295" s="1286"/>
      <c r="S295" s="1286"/>
      <c r="T295" s="1290"/>
      <c r="U295" s="1290"/>
      <c r="V295" s="1285"/>
      <c r="W295" s="1293"/>
      <c r="X295" s="1293"/>
      <c r="Y295" s="1286"/>
      <c r="Z295" s="1286"/>
      <c r="AA295" s="1286"/>
      <c r="AB295" s="1286"/>
      <c r="AC295" s="1293"/>
      <c r="AD295" s="1249"/>
      <c r="AE295" s="1285"/>
      <c r="AF295" s="1293"/>
      <c r="AG295" s="1293"/>
      <c r="AH295" s="1293"/>
      <c r="AI295" s="1293"/>
      <c r="AJ295" s="1293"/>
      <c r="AK295" s="1285"/>
      <c r="AL295" s="1293"/>
      <c r="AM295" s="1293"/>
      <c r="AN295" s="1293"/>
      <c r="AO295" s="1293"/>
      <c r="AP295" s="1293"/>
      <c r="AQ295" s="1285"/>
      <c r="AR295" s="1293"/>
      <c r="AS295" s="1293"/>
      <c r="AT295" s="1293"/>
      <c r="AU295" s="1293"/>
      <c r="AV295" s="1293"/>
      <c r="AW295" s="1293"/>
      <c r="AX295" s="1294"/>
      <c r="AY295" s="1295"/>
      <c r="AZ295" s="1095" t="e">
        <f t="shared" si="126"/>
        <v>#REF!</v>
      </c>
      <c r="BA295" s="2"/>
    </row>
    <row r="296" spans="1:53" ht="15.75" hidden="1" customHeight="1" outlineLevel="1">
      <c r="A296" s="1027"/>
      <c r="B296" s="1096"/>
      <c r="C296" s="1302" t="s">
        <v>25</v>
      </c>
      <c r="D296" s="1122">
        <f>Parametres!$D$51</f>
        <v>1.5</v>
      </c>
      <c r="E296" s="1068" t="e">
        <f>COUNTIFS(#REF!,"&gt;0",#REF!,"&gt;="&amp;B252,#REF!,"&lt;="&amp;EOMONTH(B252,0))</f>
        <v>#REF!</v>
      </c>
      <c r="F296" s="1069" t="e">
        <f>SUMIFS(#REF!,#REF!,"&lt;&gt;0",#REF!,"&gt;="&amp;B252,#REF!,"&lt;="&amp;EOMONTH(B252,0))</f>
        <v>#REF!</v>
      </c>
      <c r="G296" s="1069" t="e">
        <f t="shared" si="131"/>
        <v>#REF!</v>
      </c>
      <c r="H296" s="1069" t="e">
        <f ca="1">MINIFS(#REF!,#REF!,"&lt;&gt;0",#REF!,"&gt;="&amp;B252,#REF!,"&lt;="&amp;EOMONTH(B252,0))</f>
        <v>#NAME?</v>
      </c>
      <c r="I296" s="1069" t="e">
        <f ca="1">MAXIFS(#REF!,#REF!,"&lt;&gt;0",#REF!,"&gt;="&amp;B252,#REF!,"&lt;="&amp;EOMONTH(B252,0))</f>
        <v>#NAME?</v>
      </c>
      <c r="J296" s="1114" t="e">
        <f>COUNTIFS(#REF!,"&gt;="&amp;D296,#REF!,"&gt;="&amp;B252,#REF!,"&lt;="&amp;EOMONTH(B252,0))</f>
        <v>#REF!</v>
      </c>
      <c r="K296" s="1341" t="e">
        <f t="shared" si="132"/>
        <v>#REF!</v>
      </c>
      <c r="L296" s="1281"/>
      <c r="M296" s="1289"/>
      <c r="N296" s="1290"/>
      <c r="O296" s="1290"/>
      <c r="P296" s="1286"/>
      <c r="Q296" s="1283"/>
      <c r="R296" s="1286"/>
      <c r="S296" s="1286"/>
      <c r="T296" s="1290"/>
      <c r="U296" s="1290"/>
      <c r="V296" s="1285"/>
      <c r="W296" s="1293"/>
      <c r="X296" s="1293"/>
      <c r="Y296" s="1286"/>
      <c r="Z296" s="1286"/>
      <c r="AA296" s="1286"/>
      <c r="AB296" s="1286"/>
      <c r="AC296" s="1293"/>
      <c r="AD296" s="1249"/>
      <c r="AE296" s="1285"/>
      <c r="AF296" s="1293"/>
      <c r="AG296" s="1293"/>
      <c r="AH296" s="1293"/>
      <c r="AI296" s="1293"/>
      <c r="AJ296" s="1293"/>
      <c r="AK296" s="1285"/>
      <c r="AL296" s="1293"/>
      <c r="AM296" s="1293"/>
      <c r="AN296" s="1293"/>
      <c r="AO296" s="1293"/>
      <c r="AP296" s="1293"/>
      <c r="AQ296" s="1285"/>
      <c r="AR296" s="1293"/>
      <c r="AS296" s="1293"/>
      <c r="AT296" s="1293"/>
      <c r="AU296" s="1293"/>
      <c r="AV296" s="1293"/>
      <c r="AW296" s="1293"/>
      <c r="AX296" s="1294"/>
      <c r="AY296" s="1295"/>
      <c r="AZ296" s="1095" t="e">
        <f t="shared" si="126"/>
        <v>#REF!</v>
      </c>
      <c r="BA296" s="2"/>
    </row>
    <row r="297" spans="1:53" ht="15.75" hidden="1" customHeight="1" outlineLevel="1">
      <c r="A297" s="1027"/>
      <c r="B297" s="1332"/>
      <c r="C297" s="1139" t="s">
        <v>47</v>
      </c>
      <c r="D297" s="1122">
        <f>Parametres!$D$52</f>
        <v>2</v>
      </c>
      <c r="E297" s="1068" t="e">
        <f>COUNTIFS(#REF!,"&gt;0",#REF!,"&gt;="&amp;B252,#REF!,"&lt;="&amp;EOMONTH(B252,0))</f>
        <v>#REF!</v>
      </c>
      <c r="F297" s="1069" t="e">
        <f>SUMIFS(#REF!,#REF!,"&lt;&gt;0",#REF!,"&gt;="&amp;B252,#REF!,"&lt;="&amp;EOMONTH(B252,0))</f>
        <v>#REF!</v>
      </c>
      <c r="G297" s="1069" t="e">
        <f t="shared" si="131"/>
        <v>#REF!</v>
      </c>
      <c r="H297" s="1069" t="e">
        <f ca="1">MINIFS(#REF!,#REF!,"&lt;&gt;0",#REF!,"&gt;="&amp;B252,#REF!,"&lt;="&amp;EOMONTH(B252,0))</f>
        <v>#NAME?</v>
      </c>
      <c r="I297" s="1069" t="e">
        <f ca="1">MAXIFS(#REF!,#REF!,"&lt;&gt;0",#REF!,"&gt;="&amp;B252,#REF!,"&lt;="&amp;EOMONTH(B252,0))</f>
        <v>#NAME?</v>
      </c>
      <c r="J297" s="1072" t="e">
        <f>COUNTIFS(#REF!,"&gt;="&amp;D297,#REF!,"&gt;="&amp;B252,#REF!,"&lt;="&amp;EOMONTH(B252,0))</f>
        <v>#REF!</v>
      </c>
      <c r="K297" s="1341" t="e">
        <f t="shared" si="132"/>
        <v>#REF!</v>
      </c>
      <c r="L297" s="1281"/>
      <c r="M297" s="1289"/>
      <c r="N297" s="1144">
        <f>Parametres!$L$52</f>
        <v>90</v>
      </c>
      <c r="O297" s="1077">
        <f>COUNTIFS('Degrémont Entrée'!$AY$14:$AY$379,"&gt;0",'Degrémont Entrée'!$A$14:$A$379,"&gt;="&amp;B252,'Degrémont Entrée'!$A$14:$A$379,"&lt;="&amp;EOMONTH(B252,0))</f>
        <v>4</v>
      </c>
      <c r="P297" s="1078">
        <f>SUMIFS('Degrémont Entrée'!$AY$14:$AY$379,'Degrémont Entrée'!$AY$14:$AY$379,"&lt;&gt;0",'Degrémont Entrée'!$A$14:$A$379,"&gt;="&amp;B252,'Degrémont Entrée'!$A$14:$A$379,"&lt;="&amp;EOMONTH(B252,0))</f>
        <v>229</v>
      </c>
      <c r="Q297" s="1283">
        <f>IF(O297=0,0,P297/O297)</f>
        <v>57.25</v>
      </c>
      <c r="R297" s="1286" t="e">
        <f ca="1">MINIFS('Degrémont Entrée'!$AY$14:$AY$379,'Degrémont Entrée'!$AY$14:$AY$379,"&lt;&gt;0",'Degrémont Entrée'!$A$14:$A$379,"&gt;="&amp;B252,'Degrémont Entrée'!$A$14:$A$379,"&lt;="&amp;EOMONTH(B252,0))</f>
        <v>#NAME?</v>
      </c>
      <c r="S297" s="1286" t="e">
        <f ca="1">MAXIFS('Degrémont Entrée'!$AY$14:$AY$379,'Degrémont Entrée'!$AY$14:$AY$379,"&lt;&gt;0",'Degrémont Entrée'!$A$14:$A$379,"&gt;="&amp;B252,'Degrémont Entrée'!$A$14:$A$379,"&lt;="&amp;EOMONTH(B252,0))</f>
        <v>#NAME?</v>
      </c>
      <c r="T297" s="1141">
        <f>COUNTIFS('Degrémont Entrée'!$AY$14:$AY$379,"&gt;="&amp;N297,'Degrémont Entrée'!$A$14:$A$379,"&gt;="&amp;B252,'Degrémont Entrée'!$A$14:$A$379,"&lt;="&amp;EOMONTH(B252,0))</f>
        <v>0</v>
      </c>
      <c r="U297" s="1081">
        <f>T297/O297</f>
        <v>0</v>
      </c>
      <c r="V297" s="1285"/>
      <c r="W297" s="1083">
        <f>Parametres!$T$52</f>
        <v>0.64</v>
      </c>
      <c r="X297" s="1142">
        <f>COUNTIFS('Degrémont sortie'!$AS$14:$AS$379,"&gt;0",'Degrémont sortie'!$A$14:$A$379,"&gt;="&amp;B252,'Degrémont sortie'!$A$14:$A$379,"&lt;="&amp;EOMONTH(B252,0))</f>
        <v>6</v>
      </c>
      <c r="Y297" s="1085">
        <f>SUMIFS('Degrémont sortie'!$AS$14:$AS$379,'Degrémont sortie'!$AS$14:$AS$379,"&lt;&gt;0",'Degrémont sortie'!$A$14:$A$379,"&gt;="&amp;B252,'Degrémont sortie'!$A$14:$A$379,"&lt;="&amp;EOMONTH(B252,0))</f>
        <v>2.3499999999999996</v>
      </c>
      <c r="Z297" s="1069">
        <f>IF(X297=0,0,Y297/X297)</f>
        <v>0.39166666666666661</v>
      </c>
      <c r="AA297" s="1286" t="e">
        <f ca="1">MINIFS('Degrémont sortie'!$AS$14:$AS$379,'Degrémont sortie'!$AS$14:$AS$379,"&lt;&gt;0",'Degrémont sortie'!$A$14:$A$379,"&gt;="&amp;B252,'Degrémont sortie'!$A$14:$A$379,"&lt;="&amp;EOMONTH(B252,0))</f>
        <v>#NAME?</v>
      </c>
      <c r="AB297" s="1286" t="e">
        <f ca="1">MAXIFS('Degrémont sortie'!$AS$14:$AS$379,'Degrémont sortie'!$AS$14:$AS$379,"&lt;&gt;0",'Degrémont sortie'!$A$14:$A$379,"&gt;="&amp;B252,'Degrémont sortie'!$A$14:$A$379,"&lt;="&amp;EOMONTH(B252,0))</f>
        <v>#NAME?</v>
      </c>
      <c r="AC297" s="1141">
        <f>COUNTIFS('Degrémont sortie'!$AS$14:$AS$379,"&gt;="&amp;W297,'Degrémont sortie'!$A$14:$A$379,"&gt;="&amp;B252,'Degrémont sortie'!$A$14:$A$379,"&lt;="&amp;EOMONTH(B252,0))</f>
        <v>1</v>
      </c>
      <c r="AD297" s="1087">
        <f>AC297/X297</f>
        <v>0.16666666666666666</v>
      </c>
      <c r="AE297" s="1285"/>
      <c r="AF297" s="1293"/>
      <c r="AG297" s="1293"/>
      <c r="AH297" s="1293"/>
      <c r="AI297" s="1293"/>
      <c r="AJ297" s="1293"/>
      <c r="AK297" s="1285"/>
      <c r="AL297" s="1293"/>
      <c r="AM297" s="1293"/>
      <c r="AN297" s="1293"/>
      <c r="AO297" s="1293"/>
      <c r="AP297" s="1293"/>
      <c r="AQ297" s="1285"/>
      <c r="AR297" s="1293"/>
      <c r="AS297" s="1293"/>
      <c r="AT297" s="1293"/>
      <c r="AU297" s="1293"/>
      <c r="AV297" s="1293"/>
      <c r="AW297" s="1293"/>
      <c r="AX297" s="1294"/>
      <c r="AY297" s="1295"/>
      <c r="AZ297" s="1095" t="e">
        <f t="shared" si="126"/>
        <v>#REF!</v>
      </c>
      <c r="BA297" s="2"/>
    </row>
    <row r="298" spans="1:53" ht="15.75" customHeight="1" collapsed="1">
      <c r="A298" s="1027"/>
      <c r="B298" s="1033"/>
      <c r="C298" s="2"/>
      <c r="D298" s="2"/>
      <c r="E298" s="1034"/>
      <c r="F298" s="1034"/>
      <c r="G298" s="1035"/>
      <c r="H298" s="1034"/>
      <c r="I298" s="1034"/>
      <c r="J298" s="2"/>
      <c r="K298" s="2"/>
      <c r="L298" s="2"/>
      <c r="M298" s="2"/>
      <c r="N298" s="2"/>
      <c r="O298" s="2"/>
      <c r="P298" s="1034"/>
      <c r="Q298" s="1034"/>
      <c r="R298" s="1034"/>
      <c r="S298" s="1034"/>
      <c r="T298" s="2"/>
      <c r="U298" s="2"/>
      <c r="V298" s="2"/>
      <c r="W298" s="2"/>
      <c r="X298" s="2"/>
      <c r="Y298" s="1034"/>
      <c r="Z298" s="1034"/>
      <c r="AA298" s="1034"/>
      <c r="AB298" s="1034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</row>
    <row r="299" spans="1:53" ht="15.75" hidden="1" customHeight="1" outlineLevel="1">
      <c r="A299" s="1027"/>
      <c r="B299" s="1033"/>
      <c r="C299" s="2"/>
      <c r="D299" s="1039"/>
      <c r="E299" s="1555" t="s">
        <v>283</v>
      </c>
      <c r="F299" s="1420"/>
      <c r="G299" s="1420"/>
      <c r="H299" s="1420"/>
      <c r="I299" s="1420"/>
      <c r="J299" s="1420"/>
      <c r="K299" s="1420"/>
      <c r="L299" s="1421"/>
      <c r="M299" s="1045"/>
      <c r="N299" s="1333"/>
      <c r="O299" s="1550" t="s">
        <v>288</v>
      </c>
      <c r="P299" s="1420"/>
      <c r="Q299" s="1420"/>
      <c r="R299" s="1420"/>
      <c r="S299" s="1420"/>
      <c r="T299" s="1421"/>
      <c r="U299" s="1334"/>
      <c r="V299" s="1046"/>
      <c r="W299" s="1335"/>
      <c r="X299" s="1549" t="s">
        <v>289</v>
      </c>
      <c r="Y299" s="1517"/>
      <c r="Z299" s="1517"/>
      <c r="AA299" s="1517"/>
      <c r="AB299" s="1517"/>
      <c r="AC299" s="1514"/>
      <c r="AD299" s="1335"/>
      <c r="AE299" s="1046"/>
      <c r="AF299" s="1549" t="s">
        <v>199</v>
      </c>
      <c r="AG299" s="1517"/>
      <c r="AH299" s="1517"/>
      <c r="AI299" s="1517"/>
      <c r="AJ299" s="1514"/>
      <c r="AK299" s="1046"/>
      <c r="AL299" s="1549" t="s">
        <v>200</v>
      </c>
      <c r="AM299" s="1517"/>
      <c r="AN299" s="1517"/>
      <c r="AO299" s="1517"/>
      <c r="AP299" s="1514"/>
      <c r="AQ299" s="1046"/>
      <c r="AR299" s="1335"/>
      <c r="AS299" s="1549" t="s">
        <v>290</v>
      </c>
      <c r="AT299" s="1517"/>
      <c r="AU299" s="1517"/>
      <c r="AV299" s="1517"/>
      <c r="AW299" s="1517"/>
      <c r="AX299" s="1514"/>
      <c r="AY299" s="1027"/>
      <c r="AZ299" s="2"/>
      <c r="BA299" s="2"/>
    </row>
    <row r="300" spans="1:53" ht="15.75" hidden="1" customHeight="1" outlineLevel="1">
      <c r="A300" s="1027"/>
      <c r="B300" s="1033"/>
      <c r="C300" s="2"/>
      <c r="D300" s="1343" t="s">
        <v>291</v>
      </c>
      <c r="E300" s="1048" t="s">
        <v>292</v>
      </c>
      <c r="F300" s="1049" t="s">
        <v>293</v>
      </c>
      <c r="G300" s="1050" t="s">
        <v>294</v>
      </c>
      <c r="H300" s="1049" t="s">
        <v>295</v>
      </c>
      <c r="I300" s="1051" t="s">
        <v>296</v>
      </c>
      <c r="J300" s="1063" t="s">
        <v>297</v>
      </c>
      <c r="K300" s="1337" t="s">
        <v>216</v>
      </c>
      <c r="L300" s="1338" t="s">
        <v>298</v>
      </c>
      <c r="M300" s="1055"/>
      <c r="N300" s="1056" t="s">
        <v>291</v>
      </c>
      <c r="O300" s="1057" t="s">
        <v>292</v>
      </c>
      <c r="P300" s="1051" t="s">
        <v>293</v>
      </c>
      <c r="Q300" s="1058" t="s">
        <v>294</v>
      </c>
      <c r="R300" s="1051" t="s">
        <v>295</v>
      </c>
      <c r="S300" s="1051" t="s">
        <v>296</v>
      </c>
      <c r="T300" s="1059" t="s">
        <v>299</v>
      </c>
      <c r="U300" s="1060" t="s">
        <v>216</v>
      </c>
      <c r="V300" s="1055"/>
      <c r="W300" s="1056" t="s">
        <v>342</v>
      </c>
      <c r="X300" s="1057" t="s">
        <v>292</v>
      </c>
      <c r="Y300" s="1051" t="s">
        <v>293</v>
      </c>
      <c r="Z300" s="1058" t="s">
        <v>294</v>
      </c>
      <c r="AA300" s="1051" t="s">
        <v>295</v>
      </c>
      <c r="AB300" s="1051" t="s">
        <v>296</v>
      </c>
      <c r="AC300" s="1059" t="s">
        <v>299</v>
      </c>
      <c r="AD300" s="1060" t="s">
        <v>216</v>
      </c>
      <c r="AE300" s="1055"/>
      <c r="AF300" s="1057" t="s">
        <v>292</v>
      </c>
      <c r="AG300" s="1061" t="s">
        <v>293</v>
      </c>
      <c r="AH300" s="1062" t="s">
        <v>294</v>
      </c>
      <c r="AI300" s="1061" t="s">
        <v>295</v>
      </c>
      <c r="AJ300" s="1061" t="s">
        <v>296</v>
      </c>
      <c r="AK300" s="1055"/>
      <c r="AL300" s="1057" t="s">
        <v>292</v>
      </c>
      <c r="AM300" s="1061" t="s">
        <v>293</v>
      </c>
      <c r="AN300" s="1062" t="s">
        <v>294</v>
      </c>
      <c r="AO300" s="1061" t="s">
        <v>295</v>
      </c>
      <c r="AP300" s="1061" t="s">
        <v>296</v>
      </c>
      <c r="AQ300" s="1055"/>
      <c r="AR300" s="1056" t="s">
        <v>291</v>
      </c>
      <c r="AS300" s="1057" t="s">
        <v>292</v>
      </c>
      <c r="AT300" s="1061" t="s">
        <v>293</v>
      </c>
      <c r="AU300" s="1062" t="s">
        <v>294</v>
      </c>
      <c r="AV300" s="1061" t="s">
        <v>295</v>
      </c>
      <c r="AW300" s="1061" t="s">
        <v>296</v>
      </c>
      <c r="AX300" s="1059" t="s">
        <v>299</v>
      </c>
      <c r="AY300" s="1340" t="s">
        <v>216</v>
      </c>
      <c r="AZ300" s="1065" t="s">
        <v>300</v>
      </c>
      <c r="BA300" s="2"/>
    </row>
    <row r="301" spans="1:53" ht="15.75" hidden="1" customHeight="1" outlineLevel="1">
      <c r="A301" s="1027"/>
      <c r="B301" s="54">
        <v>43647</v>
      </c>
      <c r="C301" s="1066" t="s">
        <v>43</v>
      </c>
      <c r="D301" s="1067">
        <f>Parametres!$D$5</f>
        <v>5</v>
      </c>
      <c r="E301" s="1068" t="e">
        <f>COUNTIFS(#REF!,"&gt;0",#REF!,"&gt;="&amp;B301,#REF!,"&lt;="&amp;EOMONTH(B301,0))</f>
        <v>#REF!</v>
      </c>
      <c r="F301" s="1069" t="e">
        <f>SUMIFS(#REF!,#REF!,"&lt;&gt;0",#REF!,"&gt;="&amp;B301,#REF!,"&lt;="&amp;EOMONTH(B301,0))</f>
        <v>#REF!</v>
      </c>
      <c r="G301" s="1069" t="e">
        <f t="shared" ref="G301:G337" si="133">IF(E301=0,0,F301/E301)</f>
        <v>#REF!</v>
      </c>
      <c r="H301" s="1070" t="e">
        <f ca="1">MINIFS(#REF!,#REF!,"&lt;&gt;0",#REF!,"&gt;="&amp;B301,#REF!,"&lt;="&amp;EOMONTH(B301,0))</f>
        <v>#NAME?</v>
      </c>
      <c r="I301" s="1071" t="e">
        <f ca="1">MAXIFS(#REF!,#REF!,"&lt;&gt;0",#REF!,"&gt;="&amp;B301,#REF!,"&lt;="&amp;EOMONTH(B301,0))</f>
        <v>#NAME?</v>
      </c>
      <c r="J301" s="1072" t="e">
        <f>COUNTIFS(#REF!,"&gt;="&amp;D301,#REF!,"&gt;="&amp;B301,#REF!,"&lt;="&amp;EOMONTH(B301,0))</f>
        <v>#REF!</v>
      </c>
      <c r="K301" s="1341" t="e">
        <f t="shared" ref="K301:K314" si="134">J301/E301</f>
        <v>#REF!</v>
      </c>
      <c r="L301" s="1074"/>
      <c r="M301" s="1075"/>
      <c r="N301" s="1076">
        <f>Parametres!$L$5</f>
        <v>50</v>
      </c>
      <c r="O301" s="1077">
        <f>COUNTIFS('Degrémont Entrée'!$AM$14:$AM$379,"&gt;0",'Degrémont Entrée'!$A$14:$A$379,"&gt;="&amp;B301,'Degrémont Entrée'!$A$14:$A$379,"&lt;="&amp;EOMONTH(B301,0))</f>
        <v>4</v>
      </c>
      <c r="P301" s="1078">
        <f>SUMIFS('Degrémont Entrée'!$AM$14:$AM$379,'Degrémont Entrée'!$AM$14:$AM$379,"&lt;&gt;0",'Degrémont Entrée'!$A$14:$A$379,"&gt;="&amp;B301,'Degrémont Entrée'!$A$14:$A$379,"&lt;="&amp;EOMONTH(B301,0))</f>
        <v>405</v>
      </c>
      <c r="Q301" s="1078">
        <f>IF(O301=0,0,P301/O301)</f>
        <v>101.25</v>
      </c>
      <c r="R301" s="1079" t="e">
        <f ca="1">MINIFS('Degrémont Entrée'!$AM$14:$AM$379,'Degrémont Entrée'!$AM$14:$AM$379,"&lt;&gt;0",'Degrémont Entrée'!$A$14:$A$379,"&gt;="&amp;B301,'Degrémont Entrée'!$A$14:$A$379,"&lt;="&amp;EOMONTH(B301,0))</f>
        <v>#NAME?</v>
      </c>
      <c r="S301" s="1078" t="e">
        <f ca="1">MAXIFS('Degrémont Entrée'!$AM$14:$AM$379,'Degrémont Entrée'!$AM$14:$AM$379,"&lt;&gt;0",'Degrémont Entrée'!$A$14:$A$379,"&gt;="&amp;B301,'Degrémont Entrée'!$A$14:$A$379,"&lt;="&amp;EOMONTH(B301,0))</f>
        <v>#NAME?</v>
      </c>
      <c r="T301" s="1080">
        <f>COUNTIFS('Degrémont Entrée'!$AM$14:$AM$379,"&gt;="&amp;N301,'Degrémont Entrée'!$A$14:$A$379,"&gt;="&amp;B301,'Degrémont Entrée'!$A$14:$A$379,"&lt;="&amp;EOMONTH(B301,0))</f>
        <v>2</v>
      </c>
      <c r="U301" s="1081">
        <f>T301/O301</f>
        <v>0.5</v>
      </c>
      <c r="V301" s="1082"/>
      <c r="W301" s="1083">
        <f>Parametres!$T$5</f>
        <v>3</v>
      </c>
      <c r="X301" s="1084">
        <f>COUNTIFS('Degrémont sortie'!$AG$14:$AG$379,"&gt;0",'Degrémont sortie'!$A$14:$A$379,"&gt;="&amp;B301,'Degrémont sortie'!$A$14:$A$379,"&lt;="&amp;EOMONTH(B301,0))</f>
        <v>5</v>
      </c>
      <c r="Y301" s="1085">
        <f>SUMIFS('Degrémont sortie'!$AG$14:$AG$379,'Degrémont sortie'!$AG$14:$AG$379,"&lt;&gt;0",'Degrémont sortie'!$A$14:$A$379,"&gt;="&amp;B301,'Degrémont sortie'!$A$14:$A$379,"&lt;="&amp;EOMONTH(B301,0))</f>
        <v>2.86</v>
      </c>
      <c r="Z301" s="1085">
        <f>IF(X301=0,0,Y301/X301)</f>
        <v>0.57199999999999995</v>
      </c>
      <c r="AA301" s="1085" t="e">
        <f ca="1">MINIFS('Degrémont sortie'!$AG$14:$AG$379,'Degrémont sortie'!$AG$14:$AG$379,"&lt;&gt;0",'Degrémont sortie'!$A$14:$A$379,"&gt;="&amp;B301,'Degrémont sortie'!$A$14:$A$379,"&lt;="&amp;EOMONTH(B301,0))</f>
        <v>#NAME?</v>
      </c>
      <c r="AB301" s="1085" t="e">
        <f ca="1">MAXIFS('Degrémont sortie'!$AG$14:$AG$379,'Degrémont sortie'!$AG$14:$AG$379,"&lt;&gt;0",'Degrémont sortie'!$A$14:$A$379,"&gt;="&amp;B301,'Degrémont sortie'!$A$14:$A$379,"&lt;="&amp;EOMONTH(B301,0))</f>
        <v>#NAME?</v>
      </c>
      <c r="AC301" s="1086">
        <f>COUNTIFS('Degrémont sortie'!$AG$14:$AG$379,"&gt;="&amp;W301,'Degrémont sortie'!$A$14:$A$379,"&gt;="&amp;B301,'Degrémont sortie'!$A$14:$A$379,"&lt;="&amp;EOMONTH(B301,0))</f>
        <v>0</v>
      </c>
      <c r="AD301" s="1087">
        <f>AC301/X301</f>
        <v>0</v>
      </c>
      <c r="AE301" s="1088"/>
      <c r="AF301" s="1089"/>
      <c r="AG301" s="1090"/>
      <c r="AH301" s="1090"/>
      <c r="AI301" s="1090"/>
      <c r="AJ301" s="1090"/>
      <c r="AK301" s="1088"/>
      <c r="AL301" s="1089"/>
      <c r="AM301" s="1090"/>
      <c r="AN301" s="1090"/>
      <c r="AO301" s="1090"/>
      <c r="AP301" s="1090"/>
      <c r="AQ301" s="1088"/>
      <c r="AR301" s="1091"/>
      <c r="AS301" s="1089"/>
      <c r="AT301" s="1090"/>
      <c r="AU301" s="1090"/>
      <c r="AV301" s="1090"/>
      <c r="AW301" s="1092"/>
      <c r="AX301" s="1093"/>
      <c r="AY301" s="1094"/>
      <c r="AZ301" s="1095" t="e">
        <f t="shared" ref="AZ301:AZ332" si="135">SUM(E301+O301+X301+AF301+AL301+AS301)</f>
        <v>#REF!</v>
      </c>
      <c r="BA301" s="2"/>
    </row>
    <row r="302" spans="1:53" ht="15.75" hidden="1" customHeight="1" outlineLevel="1">
      <c r="A302" s="1027"/>
      <c r="B302" s="1096"/>
      <c r="C302" s="1097" t="s">
        <v>16</v>
      </c>
      <c r="D302" s="1067">
        <f>Parametres!$D$6</f>
        <v>10000000</v>
      </c>
      <c r="E302" s="1068" t="e">
        <f>COUNTIFS(#REF!,"&gt;0",#REF!,"&gt;="&amp;B301,#REF!,"&lt;="&amp;EOMONTH(B301,0))</f>
        <v>#REF!</v>
      </c>
      <c r="F302" s="1069" t="e">
        <f>SUMIFS(#REF!,#REF!,"&lt;&gt;0",#REF!,"&gt;="&amp;B301,#REF!,"&lt;="&amp;EOMONTH(B301,0))</f>
        <v>#REF!</v>
      </c>
      <c r="G302" s="1098" t="e">
        <f t="shared" si="133"/>
        <v>#REF!</v>
      </c>
      <c r="H302" s="1070" t="e">
        <f ca="1">MINIFS(#REF!,#REF!,"&lt;&gt;0",#REF!,"&gt;="&amp;B301,#REF!,"&lt;="&amp;EOMONTH(B301,0))</f>
        <v>#NAME?</v>
      </c>
      <c r="I302" s="1069" t="e">
        <f ca="1">MAXIFS(#REF!,#REF!,"&lt;&gt;0",#REF!,"&gt;="&amp;B301,#REF!,"&lt;="&amp;EOMONTH(B301,0))</f>
        <v>#NAME?</v>
      </c>
      <c r="J302" s="1072" t="e">
        <f>COUNTIFS(#REF!,"&gt;="&amp;D302,#REF!,"&gt;="&amp;B301,#REF!,"&lt;="&amp;EOMONTH(B301,0))</f>
        <v>#REF!</v>
      </c>
      <c r="K302" s="1341" t="e">
        <f t="shared" si="134"/>
        <v>#REF!</v>
      </c>
      <c r="L302" s="1099"/>
      <c r="M302" s="1082"/>
      <c r="N302" s="1100"/>
      <c r="O302" s="1100"/>
      <c r="P302" s="1078"/>
      <c r="Q302" s="1078"/>
      <c r="R302" s="1078"/>
      <c r="S302" s="1078"/>
      <c r="T302" s="1101"/>
      <c r="U302" s="1101"/>
      <c r="V302" s="1082"/>
      <c r="W302" s="1102"/>
      <c r="X302" s="1102"/>
      <c r="Y302" s="1069"/>
      <c r="Z302" s="1069"/>
      <c r="AA302" s="1069"/>
      <c r="AB302" s="1069"/>
      <c r="AC302" s="1103"/>
      <c r="AD302" s="1104"/>
      <c r="AE302" s="1082"/>
      <c r="AF302" s="1105"/>
      <c r="AG302" s="1106"/>
      <c r="AH302" s="1106"/>
      <c r="AI302" s="1106"/>
      <c r="AJ302" s="1106"/>
      <c r="AK302" s="1107"/>
      <c r="AL302" s="1108"/>
      <c r="AM302" s="1109"/>
      <c r="AN302" s="1109"/>
      <c r="AO302" s="1109"/>
      <c r="AP302" s="1109"/>
      <c r="AQ302" s="1107"/>
      <c r="AR302" s="1110"/>
      <c r="AS302" s="1105"/>
      <c r="AT302" s="1109"/>
      <c r="AU302" s="1109"/>
      <c r="AV302" s="1109"/>
      <c r="AW302" s="1111"/>
      <c r="AX302" s="1112"/>
      <c r="AY302" s="1094"/>
      <c r="AZ302" s="1095" t="e">
        <f t="shared" si="135"/>
        <v>#REF!</v>
      </c>
      <c r="BA302" s="2"/>
    </row>
    <row r="303" spans="1:53" ht="15.75" hidden="1" customHeight="1" outlineLevel="1">
      <c r="A303" s="1027"/>
      <c r="B303" s="1096"/>
      <c r="C303" s="1097" t="s">
        <v>17</v>
      </c>
      <c r="D303" s="1067">
        <f>Parametres!$D$7</f>
        <v>0.8</v>
      </c>
      <c r="E303" s="1068" t="e">
        <f>COUNTIFS(#REF!,"&gt;0",#REF!,"&gt;="&amp;B301,#REF!,"&lt;="&amp;EOMONTH(B301,0))</f>
        <v>#REF!</v>
      </c>
      <c r="F303" s="1069" t="e">
        <f>SUMIFS(#REF!,#REF!,"&lt;&gt;0",#REF!,"&gt;="&amp;B301,#REF!,"&lt;="&amp;EOMONTH(B301,0))</f>
        <v>#REF!</v>
      </c>
      <c r="G303" s="1098" t="e">
        <f t="shared" si="133"/>
        <v>#REF!</v>
      </c>
      <c r="H303" s="1113" t="e">
        <f ca="1">MINIFS(#REF!,#REF!,"&lt;&gt;0",#REF!,"&gt;="&amp;B301,#REF!,"&lt;="&amp;EOMONTH(B301,0))</f>
        <v>#NAME?</v>
      </c>
      <c r="I303" s="1078" t="e">
        <f ca="1">MAXIFS(#REF!,#REF!,"&lt;&gt;0",#REF!,"&gt;="&amp;B301,#REF!,"&lt;="&amp;EOMONTH(B301,0))</f>
        <v>#NAME?</v>
      </c>
      <c r="J303" s="1114" t="e">
        <f>COUNTIFS(#REF!,"&gt;="&amp;D303,#REF!,"&gt;="&amp;B301,#REF!,"&lt;="&amp;EOMONTH(B301,0))</f>
        <v>#REF!</v>
      </c>
      <c r="K303" s="1341" t="e">
        <f t="shared" si="134"/>
        <v>#REF!</v>
      </c>
      <c r="L303" s="1115"/>
      <c r="M303" s="1082"/>
      <c r="N303" s="1100"/>
      <c r="O303" s="1100"/>
      <c r="P303" s="1078"/>
      <c r="Q303" s="1078"/>
      <c r="R303" s="1078"/>
      <c r="S303" s="1078"/>
      <c r="T303" s="1101"/>
      <c r="U303" s="1101"/>
      <c r="V303" s="1082"/>
      <c r="W303" s="1102"/>
      <c r="X303" s="1102"/>
      <c r="Y303" s="1069"/>
      <c r="Z303" s="1069"/>
      <c r="AA303" s="1069"/>
      <c r="AB303" s="1069"/>
      <c r="AC303" s="1103"/>
      <c r="AD303" s="1104"/>
      <c r="AE303" s="1082"/>
      <c r="AF303" s="1116"/>
      <c r="AG303" s="1117"/>
      <c r="AH303" s="1117"/>
      <c r="AI303" s="1117"/>
      <c r="AJ303" s="1117"/>
      <c r="AK303" s="1082"/>
      <c r="AL303" s="1105"/>
      <c r="AM303" s="1106"/>
      <c r="AN303" s="1106"/>
      <c r="AO303" s="1106"/>
      <c r="AP303" s="1106"/>
      <c r="AQ303" s="1082"/>
      <c r="AR303" s="1118"/>
      <c r="AS303" s="1116"/>
      <c r="AT303" s="1106"/>
      <c r="AU303" s="1106"/>
      <c r="AV303" s="1106"/>
      <c r="AW303" s="1119"/>
      <c r="AX303" s="1120"/>
      <c r="AY303" s="1094"/>
      <c r="AZ303" s="1095" t="e">
        <f t="shared" si="135"/>
        <v>#REF!</v>
      </c>
      <c r="BA303" s="2"/>
    </row>
    <row r="304" spans="1:53" ht="15.75" hidden="1" customHeight="1" outlineLevel="1">
      <c r="A304" s="1027"/>
      <c r="B304" s="1096"/>
      <c r="C304" s="1121" t="s">
        <v>18</v>
      </c>
      <c r="D304" s="1122">
        <f>Parametres!$D$8</f>
        <v>0.05</v>
      </c>
      <c r="E304" s="1068" t="e">
        <f>COUNTIFS(#REF!,"&gt;0",#REF!,"&gt;="&amp;B301,#REF!,"&lt;="&amp;EOMONTH(B301,0))</f>
        <v>#REF!</v>
      </c>
      <c r="F304" s="1069" t="e">
        <f>SUMIFS(#REF!,#REF!,"&lt;&gt;0",#REF!,"&gt;="&amp;B301,#REF!,"&lt;="&amp;EOMONTH(B301,0))</f>
        <v>#REF!</v>
      </c>
      <c r="G304" s="1098" t="e">
        <f t="shared" si="133"/>
        <v>#REF!</v>
      </c>
      <c r="H304" s="1113" t="e">
        <f ca="1">MINIFS(#REF!,#REF!,"&lt;&gt;0",#REF!,"&gt;="&amp;B301,#REF!,"&lt;="&amp;EOMONTH(B301,0))</f>
        <v>#NAME?</v>
      </c>
      <c r="I304" s="1078" t="e">
        <f ca="1">MAXIFS(#REF!,#REF!,"&lt;&gt;0",#REF!,"&gt;="&amp;B301,#REF!,"&lt;="&amp;EOMONTH(B301,0))</f>
        <v>#NAME?</v>
      </c>
      <c r="J304" s="1072" t="e">
        <f>COUNTIFS(#REF!,"&gt;="&amp;D304,#REF!,"&gt;="&amp;B301,#REF!,"&lt;="&amp;EOMONTH(B301,0))</f>
        <v>#REF!</v>
      </c>
      <c r="K304" s="1341" t="e">
        <f t="shared" si="134"/>
        <v>#REF!</v>
      </c>
      <c r="L304" s="1115"/>
      <c r="M304" s="1082"/>
      <c r="N304" s="1100"/>
      <c r="O304" s="1100"/>
      <c r="P304" s="1078"/>
      <c r="Q304" s="1078"/>
      <c r="R304" s="1078"/>
      <c r="S304" s="1078"/>
      <c r="T304" s="1101"/>
      <c r="U304" s="1101"/>
      <c r="V304" s="1082"/>
      <c r="W304" s="1102"/>
      <c r="X304" s="1102"/>
      <c r="Y304" s="1069"/>
      <c r="Z304" s="1069"/>
      <c r="AA304" s="1069"/>
      <c r="AB304" s="1069"/>
      <c r="AC304" s="1103"/>
      <c r="AD304" s="1104"/>
      <c r="AE304" s="1107"/>
      <c r="AF304" s="1108"/>
      <c r="AG304" s="1109"/>
      <c r="AH304" s="1109"/>
      <c r="AI304" s="1109"/>
      <c r="AJ304" s="1109"/>
      <c r="AK304" s="1123"/>
      <c r="AL304" s="1108"/>
      <c r="AM304" s="1109"/>
      <c r="AN304" s="1109"/>
      <c r="AO304" s="1109"/>
      <c r="AP304" s="1109"/>
      <c r="AQ304" s="1123"/>
      <c r="AR304" s="1124"/>
      <c r="AS304" s="1108"/>
      <c r="AT304" s="1109"/>
      <c r="AU304" s="1109"/>
      <c r="AV304" s="1109"/>
      <c r="AW304" s="1111"/>
      <c r="AX304" s="1112"/>
      <c r="AY304" s="1094"/>
      <c r="AZ304" s="1095" t="e">
        <f t="shared" si="135"/>
        <v>#REF!</v>
      </c>
      <c r="BA304" s="2"/>
    </row>
    <row r="305" spans="1:53" ht="15.75" hidden="1" customHeight="1" outlineLevel="1">
      <c r="A305" s="1027"/>
      <c r="B305" s="1096"/>
      <c r="C305" s="1097" t="s">
        <v>11</v>
      </c>
      <c r="D305" s="1067">
        <f>Parametres!$D$9</f>
        <v>0.2</v>
      </c>
      <c r="E305" s="1068" t="e">
        <f>COUNTIFS(#REF!,"&gt;0",#REF!,"&gt;="&amp;B301,#REF!,"&lt;="&amp;EOMONTH(B301,0))</f>
        <v>#REF!</v>
      </c>
      <c r="F305" s="1069" t="e">
        <f>SUMIFS(#REF!,#REF!,"&lt;&gt;0",#REF!,"&gt;="&amp;B301,#REF!,"&lt;="&amp;EOMONTH(B301,0))</f>
        <v>#REF!</v>
      </c>
      <c r="G305" s="1098" t="e">
        <f t="shared" si="133"/>
        <v>#REF!</v>
      </c>
      <c r="H305" s="1113" t="e">
        <f ca="1">MINIFS(#REF!,#REF!,"&lt;&gt;0",#REF!,"&gt;="&amp;B301,#REF!,"&lt;="&amp;EOMONTH(B301,0))</f>
        <v>#NAME?</v>
      </c>
      <c r="I305" s="1078" t="e">
        <f ca="1">MAXIFS(#REF!,#REF!,"&lt;&gt;0",#REF!,"&gt;="&amp;B301,#REF!,"&lt;="&amp;EOMONTH(B301,0))</f>
        <v>#NAME?</v>
      </c>
      <c r="J305" s="1072" t="e">
        <f>COUNTIFS(#REF!,"&gt;="&amp;D305,#REF!,"&gt;="&amp;B301,#REF!,"&lt;="&amp;EOMONTH(B301,0))</f>
        <v>#REF!</v>
      </c>
      <c r="K305" s="1341" t="e">
        <f t="shared" si="134"/>
        <v>#REF!</v>
      </c>
      <c r="L305" s="1115"/>
      <c r="M305" s="1082"/>
      <c r="N305" s="1100"/>
      <c r="O305" s="1100"/>
      <c r="P305" s="1078"/>
      <c r="Q305" s="1078"/>
      <c r="R305" s="1078"/>
      <c r="S305" s="1078"/>
      <c r="T305" s="1101"/>
      <c r="U305" s="1101"/>
      <c r="V305" s="1082"/>
      <c r="W305" s="1102"/>
      <c r="X305" s="1102"/>
      <c r="Y305" s="1069"/>
      <c r="Z305" s="1069"/>
      <c r="AA305" s="1069"/>
      <c r="AB305" s="1069"/>
      <c r="AC305" s="1103"/>
      <c r="AD305" s="1104"/>
      <c r="AE305" s="1075"/>
      <c r="AF305" s="1125"/>
      <c r="AG305" s="1126"/>
      <c r="AH305" s="1126"/>
      <c r="AI305" s="1126"/>
      <c r="AJ305" s="1126"/>
      <c r="AK305" s="1107"/>
      <c r="AL305" s="1125"/>
      <c r="AM305" s="1126"/>
      <c r="AN305" s="1126"/>
      <c r="AO305" s="1126"/>
      <c r="AP305" s="1126"/>
      <c r="AQ305" s="1107"/>
      <c r="AR305" s="1110"/>
      <c r="AS305" s="1125"/>
      <c r="AT305" s="1126"/>
      <c r="AU305" s="1126"/>
      <c r="AV305" s="1126"/>
      <c r="AW305" s="1127"/>
      <c r="AX305" s="1128"/>
      <c r="AY305" s="1094"/>
      <c r="AZ305" s="1095" t="e">
        <f t="shared" si="135"/>
        <v>#REF!</v>
      </c>
      <c r="BA305" s="2"/>
    </row>
    <row r="306" spans="1:53" ht="15.75" hidden="1" customHeight="1" outlineLevel="1">
      <c r="A306" s="1027"/>
      <c r="B306" s="1096"/>
      <c r="C306" s="1097" t="s">
        <v>12</v>
      </c>
      <c r="D306" s="1067">
        <f>Parametres!$D$10</f>
        <v>10000000</v>
      </c>
      <c r="E306" s="1068" t="e">
        <f>COUNTIFS(#REF!,"&gt;0",#REF!,"&gt;="&amp;B301,#REF!,"&lt;="&amp;EOMONTH(B301,0))</f>
        <v>#REF!</v>
      </c>
      <c r="F306" s="1069" t="e">
        <f>SUMIFS(#REF!,#REF!,"&lt;&gt;0",#REF!,"&gt;="&amp;B301,#REF!,"&lt;="&amp;EOMONTH(B301,0))</f>
        <v>#REF!</v>
      </c>
      <c r="G306" s="1098" t="e">
        <f t="shared" si="133"/>
        <v>#REF!</v>
      </c>
      <c r="H306" s="1113" t="e">
        <f ca="1">MINIFS(#REF!,#REF!,"&lt;&gt;0",#REF!,"&gt;="&amp;B301,#REF!,"&lt;="&amp;EOMONTH(B301,0))</f>
        <v>#NAME?</v>
      </c>
      <c r="I306" s="1078" t="e">
        <f ca="1">MAXIFS(#REF!,#REF!,"&lt;&gt;0",#REF!,"&gt;="&amp;B301,#REF!,"&lt;="&amp;EOMONTH(B301,0))</f>
        <v>#NAME?</v>
      </c>
      <c r="J306" s="1072" t="e">
        <f>COUNTIFS(#REF!,"&gt;="&amp;D306,#REF!,"&gt;="&amp;B301,#REF!,"&lt;="&amp;EOMONTH(B301,0))</f>
        <v>#REF!</v>
      </c>
      <c r="K306" s="1341" t="e">
        <f t="shared" si="134"/>
        <v>#REF!</v>
      </c>
      <c r="L306" s="1115"/>
      <c r="M306" s="1082"/>
      <c r="N306" s="1100"/>
      <c r="O306" s="1100"/>
      <c r="P306" s="1078"/>
      <c r="Q306" s="1078"/>
      <c r="R306" s="1078"/>
      <c r="S306" s="1078"/>
      <c r="T306" s="1101"/>
      <c r="U306" s="1101"/>
      <c r="V306" s="1082"/>
      <c r="W306" s="1129"/>
      <c r="X306" s="1129"/>
      <c r="Y306" s="1069"/>
      <c r="Z306" s="1069"/>
      <c r="AA306" s="1069"/>
      <c r="AB306" s="1069"/>
      <c r="AC306" s="1130"/>
      <c r="AD306" s="1131"/>
      <c r="AE306" s="1082"/>
      <c r="AF306" s="1105"/>
      <c r="AG306" s="1106"/>
      <c r="AH306" s="1106"/>
      <c r="AI306" s="1106"/>
      <c r="AJ306" s="1106"/>
      <c r="AK306" s="1132"/>
      <c r="AL306" s="1105"/>
      <c r="AM306" s="1106"/>
      <c r="AN306" s="1106"/>
      <c r="AO306" s="1106"/>
      <c r="AP306" s="1106"/>
      <c r="AQ306" s="1133"/>
      <c r="AR306" s="1134"/>
      <c r="AS306" s="1135"/>
      <c r="AT306" s="1106"/>
      <c r="AU306" s="1106"/>
      <c r="AV306" s="1106"/>
      <c r="AW306" s="1119"/>
      <c r="AX306" s="1120"/>
      <c r="AY306" s="1094"/>
      <c r="AZ306" s="1095" t="e">
        <f t="shared" si="135"/>
        <v>#REF!</v>
      </c>
      <c r="BA306" s="2"/>
    </row>
    <row r="307" spans="1:53" ht="15.75" hidden="1" customHeight="1" outlineLevel="1">
      <c r="A307" s="1027"/>
      <c r="B307" s="1096"/>
      <c r="C307" s="1097" t="s">
        <v>19</v>
      </c>
      <c r="D307" s="1067">
        <f>Parametres!$D$11</f>
        <v>1.5</v>
      </c>
      <c r="E307" s="1068" t="e">
        <f>COUNTIFS(#REF!,"&gt;0",#REF!,"&gt;="&amp;B301,#REF!,"&lt;="&amp;EOMONTH(B301,0))</f>
        <v>#REF!</v>
      </c>
      <c r="F307" s="1069" t="e">
        <f>SUMIFS(#REF!,#REF!,"&lt;&gt;0",#REF!,"&gt;="&amp;B301,#REF!,"&lt;="&amp;EOMONTH(B301,0))</f>
        <v>#REF!</v>
      </c>
      <c r="G307" s="1098" t="e">
        <f t="shared" si="133"/>
        <v>#REF!</v>
      </c>
      <c r="H307" s="1113" t="e">
        <f ca="1">MINIFS(#REF!,#REF!,"&lt;&gt;0",#REF!,"&gt;="&amp;B301,#REF!,"&lt;="&amp;EOMONTH(B301,0))</f>
        <v>#NAME?</v>
      </c>
      <c r="I307" s="1078" t="e">
        <f ca="1">MAXIFS(#REF!,#REF!,"&lt;&gt;0",#REF!,"&gt;="&amp;B301,#REF!,"&lt;="&amp;EOMONTH(B301,0))</f>
        <v>#NAME?</v>
      </c>
      <c r="J307" s="1072" t="e">
        <f>COUNTIFS(#REF!,"&gt;="&amp;D307,#REF!,"&gt;="&amp;B301,#REF!,"&lt;="&amp;EOMONTH(B301,0))</f>
        <v>#REF!</v>
      </c>
      <c r="K307" s="1341" t="e">
        <f t="shared" si="134"/>
        <v>#REF!</v>
      </c>
      <c r="L307" s="1115"/>
      <c r="M307" s="1082"/>
      <c r="N307" s="1100"/>
      <c r="O307" s="1100"/>
      <c r="P307" s="1078"/>
      <c r="Q307" s="1078"/>
      <c r="R307" s="1078"/>
      <c r="S307" s="1078"/>
      <c r="T307" s="1101"/>
      <c r="U307" s="1101"/>
      <c r="V307" s="1082"/>
      <c r="W307" s="1129"/>
      <c r="X307" s="1129"/>
      <c r="Y307" s="1069"/>
      <c r="Z307" s="1069"/>
      <c r="AA307" s="1069"/>
      <c r="AB307" s="1069"/>
      <c r="AC307" s="1130"/>
      <c r="AD307" s="1131"/>
      <c r="AE307" s="1082"/>
      <c r="AF307" s="1105"/>
      <c r="AG307" s="1106"/>
      <c r="AH307" s="1106"/>
      <c r="AI307" s="1106"/>
      <c r="AJ307" s="1106"/>
      <c r="AK307" s="1082"/>
      <c r="AL307" s="1136"/>
      <c r="AM307" s="1137"/>
      <c r="AN307" s="1137"/>
      <c r="AO307" s="1137"/>
      <c r="AP307" s="1137"/>
      <c r="AQ307" s="1082"/>
      <c r="AR307" s="1118"/>
      <c r="AS307" s="1105"/>
      <c r="AT307" s="1106"/>
      <c r="AU307" s="1106"/>
      <c r="AV307" s="1106"/>
      <c r="AW307" s="1138"/>
      <c r="AX307" s="1120"/>
      <c r="AY307" s="1094"/>
      <c r="AZ307" s="1095" t="e">
        <f t="shared" si="135"/>
        <v>#REF!</v>
      </c>
      <c r="BA307" s="2"/>
    </row>
    <row r="308" spans="1:53" ht="15.75" hidden="1" customHeight="1" outlineLevel="1">
      <c r="A308" s="1027"/>
      <c r="B308" s="1096"/>
      <c r="C308" s="1139" t="s">
        <v>42</v>
      </c>
      <c r="D308" s="1122">
        <f>Parametres!$D$12</f>
        <v>0.1</v>
      </c>
      <c r="E308" s="1068" t="e">
        <f>COUNTIFS(#REF!,"&gt;0",#REF!,"&gt;="&amp;B301,#REF!,"&lt;="&amp;EOMONTH(B301,0))</f>
        <v>#REF!</v>
      </c>
      <c r="F308" s="1069" t="e">
        <f>SUMIFS(#REF!,#REF!,"&lt;&gt;0",#REF!,"&gt;="&amp;B301,#REF!,"&lt;="&amp;EOMONTH(B301,0))</f>
        <v>#REF!</v>
      </c>
      <c r="G308" s="1098" t="e">
        <f t="shared" si="133"/>
        <v>#REF!</v>
      </c>
      <c r="H308" s="1113" t="e">
        <f ca="1">MINIFS(#REF!,#REF!,"&lt;&gt;0",#REF!,"&gt;="&amp;B301,#REF!,"&lt;="&amp;EOMONTH(B301,0))</f>
        <v>#NAME?</v>
      </c>
      <c r="I308" s="1078" t="e">
        <f ca="1">MAXIFS(#REF!,#REF!,"&lt;&gt;0",#REF!,"&gt;="&amp;B301,#REF!,"&lt;="&amp;EOMONTH(B301,0))</f>
        <v>#NAME?</v>
      </c>
      <c r="J308" s="1114" t="e">
        <f>COUNTIFS(#REF!,"&gt;="&amp;D308,#REF!,"&gt;="&amp;B301,#REF!,"&lt;="&amp;EOMONTH(B301,0))</f>
        <v>#REF!</v>
      </c>
      <c r="K308" s="1341" t="e">
        <f t="shared" si="134"/>
        <v>#REF!</v>
      </c>
      <c r="L308" s="1115"/>
      <c r="M308" s="1082"/>
      <c r="N308" s="1076">
        <f>Parametres!$L$12</f>
        <v>100000</v>
      </c>
      <c r="O308" s="1077">
        <f>COUNTIFS('Degrémont Entrée'!$AG$14:$AG$379,"&gt;0",'Degrémont Entrée'!$A$14:$A$379,"&gt;="&amp;B301,'Degrémont Entrée'!$A$14:$A$379,"&lt;="&amp;EOMONTH(B301,0))</f>
        <v>29</v>
      </c>
      <c r="P308" s="1078">
        <f>SUMIFS('Degrémont Entrée'!$AG$14:$AG$379,'Degrémont Entrée'!$AG$14:$AG$379,"&lt;&gt;0",'Degrémont Entrée'!$A$14:$A$379,"&gt;="&amp;B301,'Degrémont Entrée'!$A$14:$A$379,"&lt;="&amp;EOMONTH(B301,0))</f>
        <v>0.54000000000000015</v>
      </c>
      <c r="Q308" s="1078">
        <f>IF(O308=0,0,P308/O308)</f>
        <v>1.8620689655172419E-2</v>
      </c>
      <c r="R308" s="1078" t="e">
        <f ca="1">MINIFS('Degrémont Entrée'!$AG$14:$AG$379,'Degrémont Entrée'!$AG$14:$AG$379,"&lt;&gt;0",'Degrémont Entrée'!$A$14:$A$379,"&gt;="&amp;B301,'Degrémont Entrée'!$A$14:$A$379,"&lt;="&amp;EOMONTH(B301,0))</f>
        <v>#NAME?</v>
      </c>
      <c r="S308" s="1078" t="e">
        <f ca="1">MAXIFS('Degrémont Entrée'!$AG$14:$AG$379,'Degrémont Entrée'!$AG$14:$AG$379,"&lt;&gt;0",'Degrémont Entrée'!$A$14:$A$379,"&gt;="&amp;B301,'Degrémont Entrée'!$A$14:$A$379,"&lt;="&amp;EOMONTH(B301,0))</f>
        <v>#NAME?</v>
      </c>
      <c r="T308" s="1140" t="s">
        <v>153</v>
      </c>
      <c r="U308" s="1140" t="s">
        <v>153</v>
      </c>
      <c r="V308" s="1082"/>
      <c r="W308" s="1083">
        <f>Parametres!$T$12</f>
        <v>0.1</v>
      </c>
      <c r="X308" s="1142">
        <f>COUNTIFS('Degrémont sortie'!$AA$14:$AA$379,"&gt;0",'Degrémont sortie'!$A$14:$A$379,"&gt;="&amp;B301,'Degrémont sortie'!$A$14:$A$379,"&lt;="&amp;EOMONTH(B301,0))</f>
        <v>29</v>
      </c>
      <c r="Y308" s="1085">
        <f>SUMIFS('Degrémont sortie'!$AA$14:$AA$379,'Degrémont sortie'!$AA$14:$AA$379,"&lt;&gt;0",'Degrémont sortie'!$A$14:$A$379,"&gt;="&amp;B301,'Degrémont sortie'!$A$14:$A$379,"&lt;="&amp;EOMONTH(B301,0))</f>
        <v>0.37000000000000011</v>
      </c>
      <c r="Z308" s="1069">
        <f t="shared" ref="Z308:Z310" si="136">IF(X308=0,0,Y308/X308)</f>
        <v>1.2758620689655177E-2</v>
      </c>
      <c r="AA308" s="1069" t="e">
        <f ca="1">MINIFS('Degrémont sortie'!$AA$14:$AA$379,'Degrémont sortie'!$AA$14:$AA$379,"&lt;&gt;0",'Degrémont sortie'!$A$14:$A$379,"&gt;="&amp;B301,'Degrémont sortie'!$A$14:$A$379,"&lt;="&amp;EOMONTH(B301,0))</f>
        <v>#NAME?</v>
      </c>
      <c r="AB308" s="1069" t="e">
        <f ca="1">MAXIFS('Degrémont sortie'!$AA$14:$AA$379,'Degrémont sortie'!$AA$14:$AA$379,"&lt;&gt;0",'Degrémont sortie'!$A$14:$A$379,"&gt;="&amp;B301,'Degrémont sortie'!$A$14:$A$379,"&lt;="&amp;EOMONTH(B301,0))</f>
        <v>#NAME?</v>
      </c>
      <c r="AC308" s="1142">
        <f>COUNTIFS('Degrémont sortie'!$AA$14:$AA$379,"&gt;="&amp;W308,'Degrémont sortie'!$A$14:$A$379,"&gt;="&amp;B301,'Degrémont sortie'!$A$14:$A$379,"&lt;="&amp;EOMONTH(B301,0))</f>
        <v>0</v>
      </c>
      <c r="AD308" s="1087">
        <f t="shared" ref="AD308:AD310" si="137">AC308/X308</f>
        <v>0</v>
      </c>
      <c r="AE308" s="1082"/>
      <c r="AF308" s="1105"/>
      <c r="AG308" s="1106"/>
      <c r="AH308" s="1106"/>
      <c r="AI308" s="1106"/>
      <c r="AJ308" s="1106"/>
      <c r="AK308" s="1082"/>
      <c r="AL308" s="1116"/>
      <c r="AM308" s="1117"/>
      <c r="AN308" s="1117"/>
      <c r="AO308" s="1117"/>
      <c r="AP308" s="1117"/>
      <c r="AQ308" s="1082"/>
      <c r="AR308" s="1118"/>
      <c r="AS308" s="1105"/>
      <c r="AT308" s="1106"/>
      <c r="AU308" s="1106"/>
      <c r="AV308" s="1106"/>
      <c r="AW308" s="1119"/>
      <c r="AX308" s="1120"/>
      <c r="AY308" s="1094"/>
      <c r="AZ308" s="1095" t="e">
        <f t="shared" si="135"/>
        <v>#REF!</v>
      </c>
      <c r="BA308" s="2"/>
    </row>
    <row r="309" spans="1:53" ht="15.75" hidden="1" customHeight="1" outlineLevel="1">
      <c r="A309" s="1027"/>
      <c r="B309" s="1096"/>
      <c r="C309" s="1139" t="s">
        <v>286</v>
      </c>
      <c r="D309" s="1122">
        <f>Parametres!$D$13</f>
        <v>0.5</v>
      </c>
      <c r="E309" s="1068" t="e">
        <f>COUNTIFS(#REF!,"&gt;0",#REF!,"&gt;="&amp;B301,#REF!,"&lt;="&amp;EOMONTH(B301,0))</f>
        <v>#REF!</v>
      </c>
      <c r="F309" s="1069" t="e">
        <f>SUMIFS(#REF!,#REF!,"&lt;&gt;0",#REF!,"&gt;="&amp;B301,#REF!,"&lt;="&amp;EOMONTH(B301,0))</f>
        <v>#REF!</v>
      </c>
      <c r="G309" s="1098" t="e">
        <f t="shared" si="133"/>
        <v>#REF!</v>
      </c>
      <c r="H309" s="1113" t="e">
        <f ca="1">MINIFS(#REF!,#REF!,"&lt;&gt;0",#REF!,"&gt;="&amp;B301,#REF!,"&lt;="&amp;EOMONTH(B301,0))</f>
        <v>#NAME?</v>
      </c>
      <c r="I309" s="1078" t="e">
        <f ca="1">MAXIFS(#REF!,#REF!,"&lt;&gt;0",#REF!,"&gt;="&amp;B301,#REF!,"&lt;="&amp;EOMONTH(B301,0))</f>
        <v>#NAME?</v>
      </c>
      <c r="J309" s="1114" t="e">
        <f>COUNTIFS(#REF!,"&gt;="&amp;D309,#REF!,"&gt;="&amp;B301,#REF!,"&lt;="&amp;EOMONTH(B301,0))</f>
        <v>#REF!</v>
      </c>
      <c r="K309" s="1341" t="e">
        <f t="shared" si="134"/>
        <v>#REF!</v>
      </c>
      <c r="L309" s="1115"/>
      <c r="M309" s="1082"/>
      <c r="N309" s="1129"/>
      <c r="O309" s="1129"/>
      <c r="P309" s="1069"/>
      <c r="Q309" s="1069"/>
      <c r="R309" s="1069"/>
      <c r="S309" s="1069"/>
      <c r="T309" s="1143"/>
      <c r="U309" s="1143"/>
      <c r="V309" s="1132"/>
      <c r="W309" s="1083">
        <f>Parametres!$T$13</f>
        <v>0.08</v>
      </c>
      <c r="X309" s="1142">
        <f>COUNTIFS('Degrémont sortie'!$AD$14:$AD$379,"&gt;0",'Degrémont sortie'!$A$14:$A$379,"&gt;="&amp;B301,'Degrémont sortie'!$A$14:$A$379,"&lt;="&amp;EOMONTH(B301,0))</f>
        <v>0</v>
      </c>
      <c r="Y309" s="1085">
        <f>SUMIFS('Degrémont sortie'!$AD$14:$AD$379,'Degrémont sortie'!$AD$14:$AD$379,"&lt;&gt;0",'Degrémont sortie'!$A$14:$A$379,"&gt;="&amp;B301,'Degrémont sortie'!$A$14:$A$379,"&lt;="&amp;EOMONTH(B301,0))</f>
        <v>0</v>
      </c>
      <c r="Z309" s="1069">
        <f t="shared" si="136"/>
        <v>0</v>
      </c>
      <c r="AA309" s="1069" t="e">
        <f ca="1">MINIFS('Degrémont sortie'!$AD$14:$AD$379,'Degrémont sortie'!$AD$14:$AD$379,"&lt;&gt;0",'Degrémont sortie'!$A$14:$A$379,"&gt;="&amp;B301,'Degrémont sortie'!$A$14:$A$379,"&lt;="&amp;EOMONTH(B301,0))</f>
        <v>#NAME?</v>
      </c>
      <c r="AB309" s="1069" t="e">
        <f ca="1">MAXIFS('Degrémont sortie'!$AD$14:$AD$379,'Degrémont sortie'!$AD$14:$AD$379,"&lt;&gt;0",'Degrémont sortie'!$A$14:$A$379,"&gt;="&amp;B301,'Degrémont sortie'!$A$14:$A$379,"&lt;="&amp;EOMONTH(B301,0))</f>
        <v>#NAME?</v>
      </c>
      <c r="AC309" s="1142">
        <f>COUNTIFS('Degrémont sortie'!$AD$14:$AD$379,"&gt;="&amp;W309,'Degrémont sortie'!$A$14:$A$379,"&gt;="&amp;B301,'Degrémont sortie'!$A$14:$A$379,"&lt;="&amp;EOMONTH(B301,0))</f>
        <v>0</v>
      </c>
      <c r="AD309" s="1087" t="e">
        <f t="shared" si="137"/>
        <v>#DIV/0!</v>
      </c>
      <c r="AE309" s="1132"/>
      <c r="AF309" s="1105"/>
      <c r="AG309" s="1106"/>
      <c r="AH309" s="1106"/>
      <c r="AI309" s="1106"/>
      <c r="AJ309" s="1106"/>
      <c r="AK309" s="1132"/>
      <c r="AL309" s="1105"/>
      <c r="AM309" s="1106"/>
      <c r="AN309" s="1106"/>
      <c r="AO309" s="1106"/>
      <c r="AP309" s="1106"/>
      <c r="AQ309" s="1133"/>
      <c r="AR309" s="1134"/>
      <c r="AS309" s="1135"/>
      <c r="AT309" s="1106"/>
      <c r="AU309" s="1106"/>
      <c r="AV309" s="1106"/>
      <c r="AW309" s="1119"/>
      <c r="AX309" s="1120"/>
      <c r="AY309" s="1094"/>
      <c r="AZ309" s="1095" t="e">
        <f t="shared" si="135"/>
        <v>#REF!</v>
      </c>
      <c r="BA309" s="2"/>
    </row>
    <row r="310" spans="1:53" ht="15.75" hidden="1" customHeight="1" outlineLevel="1">
      <c r="A310" s="1027"/>
      <c r="B310" s="1096"/>
      <c r="C310" s="1139" t="s">
        <v>45</v>
      </c>
      <c r="D310" s="1122">
        <f>Parametres!$D$14</f>
        <v>0.5</v>
      </c>
      <c r="E310" s="1068" t="e">
        <f>COUNTIFS(#REF!,"&gt;0",#REF!,"&gt;="&amp;B301,#REF!,"&lt;="&amp;EOMONTH(B301,0))</f>
        <v>#REF!</v>
      </c>
      <c r="F310" s="1069" t="e">
        <f>SUMIFS(#REF!,#REF!,"&lt;&gt;0",#REF!,"&gt;="&amp;B301,#REF!,"&lt;="&amp;EOMONTH(B301,0))</f>
        <v>#REF!</v>
      </c>
      <c r="G310" s="1098" t="e">
        <f t="shared" si="133"/>
        <v>#REF!</v>
      </c>
      <c r="H310" s="1070" t="e">
        <f ca="1">MINIFS(#REF!,#REF!,"&lt;&gt;0",#REF!,"&gt;="&amp;B301,#REF!,"&lt;="&amp;EOMONTH(B301,0))</f>
        <v>#NAME?</v>
      </c>
      <c r="I310" s="1078" t="e">
        <f ca="1">MAXIFS(#REF!,#REF!,"&lt;&gt;0",#REF!,"&gt;="&amp;B301,#REF!,"&lt;="&amp;EOMONTH(B301,0))</f>
        <v>#NAME?</v>
      </c>
      <c r="J310" s="1114" t="e">
        <f>COUNTIFS(#REF!,"&gt;="&amp;D310,#REF!,"&gt;="&amp;B301,#REF!,"&lt;="&amp;EOMONTH(B301,0))</f>
        <v>#REF!</v>
      </c>
      <c r="K310" s="1341" t="e">
        <f t="shared" si="134"/>
        <v>#REF!</v>
      </c>
      <c r="L310" s="1115"/>
      <c r="M310" s="1082"/>
      <c r="N310" s="1144">
        <f>Parametres!$L$14</f>
        <v>3</v>
      </c>
      <c r="O310" s="1077">
        <f>COUNTIFS('Degrémont Entrée'!$AS$14:$AS$379,"&gt;0",'Degrémont Entrée'!$A$14:$A$379,"&gt;="&amp;B301,'Degrémont Entrée'!$A$14:$A$379,"&lt;="&amp;EOMONTH(B301,0))</f>
        <v>5</v>
      </c>
      <c r="P310" s="1078">
        <f>SUMIFS('Degrémont Entrée'!$AS$14:$AS$379,'Degrémont Entrée'!$AS$14:$AS$379,"&lt;&gt;0",'Degrémont Entrée'!$A$14:$A$379,"&gt;="&amp;B301,'Degrémont Entrée'!$A$14:$A$379,"&lt;="&amp;EOMONTH(B301,0))</f>
        <v>13.48</v>
      </c>
      <c r="Q310" s="1078">
        <f>IF(O310=0,0,P310/O310)</f>
        <v>2.6960000000000002</v>
      </c>
      <c r="R310" s="1069" t="e">
        <f ca="1">MINIFS('Degrémont Entrée'!$AS$14:$AS$379,'Degrémont Entrée'!$AS$14:$AS$379,"&lt;&gt;0",'Degrémont Entrée'!$A$14:$A$379,"&gt;="&amp;B301,'Degrémont Entrée'!$A$14:$A$379,"&lt;="&amp;EOMONTH(B301,0))</f>
        <v>#NAME?</v>
      </c>
      <c r="S310" s="1069" t="e">
        <f ca="1">MAXIFS('Degrémont Entrée'!$AS$14:$AS$379,'Degrémont Entrée'!$AS$14:$AS$379,"&lt;&gt;0",'Degrémont Entrée'!$A$14:$A$379,"&gt;="&amp;B301,'Degrémont Entrée'!$A$14:$A$379,"&lt;="&amp;EOMONTH(B301,0))</f>
        <v>#NAME?</v>
      </c>
      <c r="T310" s="1145">
        <f>COUNTIFS('Degrémont Entrée'!$AS$14:$AS$379,"&gt;="&amp;N310,'Degrémont Entrée'!$A$14:$A$379,"&gt;="&amp;B301,'Degrémont Entrée'!$A$14:$A$379,"&lt;="&amp;EOMONTH(B301,0))</f>
        <v>2</v>
      </c>
      <c r="U310" s="1081">
        <f>T310/O310</f>
        <v>0.4</v>
      </c>
      <c r="V310" s="1132"/>
      <c r="W310" s="1083">
        <f>Parametres!$T$14</f>
        <v>0.12</v>
      </c>
      <c r="X310" s="1142">
        <f>COUNTIFS('Degrémont sortie'!$AM$14:$AM$379,"&gt;0",'Degrémont sortie'!$A$14:$A$379,"&gt;="&amp;B301,'Degrémont sortie'!$A$14:$A$379,"&lt;="&amp;EOMONTH(B301,0))</f>
        <v>5</v>
      </c>
      <c r="Y310" s="1085">
        <f>SUMIFS('Degrémont sortie'!$AM$14:$AM$379,'Degrémont sortie'!$AM$14:$AM$379,"&lt;&gt;0",'Degrémont sortie'!$A$14:$A$379,"&gt;="&amp;B301,'Degrémont sortie'!$A$14:$A$379,"&lt;="&amp;EOMONTH(B301,0))</f>
        <v>0.15000000000000002</v>
      </c>
      <c r="Z310" s="1069">
        <f t="shared" si="136"/>
        <v>3.0000000000000006E-2</v>
      </c>
      <c r="AA310" s="1069" t="e">
        <f ca="1">MINIFS('Degrémont sortie'!$AM$14:$AM$379,'Degrémont sortie'!$AM$14:$AM$379,"&lt;&gt;0",'Degrémont sortie'!$A$14:$A$379,"&gt;="&amp;B301,'Degrémont sortie'!$A$14:$A$379,"&lt;="&amp;EOMONTH(B301,0))</f>
        <v>#NAME?</v>
      </c>
      <c r="AB310" s="1069" t="e">
        <f ca="1">MAXIFS('Degrémont sortie'!$AM$14:$AM$379,'Degrémont sortie'!$AM$14:$AM$379,"&lt;&gt;0",'Degrémont sortie'!$A$14:$A$379,"&gt;="&amp;B301,'Degrémont sortie'!$A$14:$A$379,"&lt;="&amp;EOMONTH(B301,0))</f>
        <v>#NAME?</v>
      </c>
      <c r="AC310" s="1142">
        <f>COUNTIFS('Degrémont sortie'!$AM$14:$AM$379,"&gt;="&amp;W310,'Degrémont sortie'!$A$14:$A$379,"&gt;="&amp;B301,'Degrémont sortie'!$A$14:$A$379,"&lt;="&amp;EOMONTH(B301,0))</f>
        <v>0</v>
      </c>
      <c r="AD310" s="1087">
        <f t="shared" si="137"/>
        <v>0</v>
      </c>
      <c r="AE310" s="1132"/>
      <c r="AF310" s="1105"/>
      <c r="AG310" s="1106"/>
      <c r="AH310" s="1106"/>
      <c r="AI310" s="1106"/>
      <c r="AJ310" s="1106"/>
      <c r="AK310" s="1132"/>
      <c r="AL310" s="1105"/>
      <c r="AM310" s="1106"/>
      <c r="AN310" s="1106"/>
      <c r="AO310" s="1106"/>
      <c r="AP310" s="1106"/>
      <c r="AQ310" s="1132"/>
      <c r="AR310" s="1148"/>
      <c r="AS310" s="1105"/>
      <c r="AT310" s="1106"/>
      <c r="AU310" s="1106"/>
      <c r="AV310" s="1106"/>
      <c r="AW310" s="1138"/>
      <c r="AX310" s="1120"/>
      <c r="AY310" s="1094"/>
      <c r="AZ310" s="1095" t="e">
        <f t="shared" si="135"/>
        <v>#REF!</v>
      </c>
      <c r="BA310" s="2"/>
    </row>
    <row r="311" spans="1:53" ht="15.75" hidden="1" customHeight="1" outlineLevel="1">
      <c r="A311" s="1027"/>
      <c r="B311" s="1096"/>
      <c r="C311" s="1121" t="s">
        <v>20</v>
      </c>
      <c r="D311" s="1122">
        <f>Parametres!$D$15</f>
        <v>0.1</v>
      </c>
      <c r="E311" s="1068" t="e">
        <f>COUNTIFS(#REF!,"&gt;0",#REF!,"&gt;="&amp;B301,#REF!,"&lt;="&amp;EOMONTH(B301,0))</f>
        <v>#REF!</v>
      </c>
      <c r="F311" s="1069" t="e">
        <f>SUMIFS(#REF!,#REF!,"&lt;&gt;0",#REF!,"&gt;="&amp;B301,#REF!,"&lt;="&amp;EOMONTH(B301,0))</f>
        <v>#REF!</v>
      </c>
      <c r="G311" s="1098" t="e">
        <f t="shared" si="133"/>
        <v>#REF!</v>
      </c>
      <c r="H311" s="1070" t="e">
        <f ca="1">MINIFS(#REF!,#REF!,"&lt;&gt;0",#REF!,"&gt;="&amp;B301,#REF!,"&lt;="&amp;EOMONTH(B301,0))</f>
        <v>#NAME?</v>
      </c>
      <c r="I311" s="1078" t="e">
        <f ca="1">MAXIFS(#REF!,#REF!,"&lt;&gt;0",#REF!,"&gt;="&amp;B301,#REF!,"&lt;="&amp;EOMONTH(B301,0))</f>
        <v>#NAME?</v>
      </c>
      <c r="J311" s="1072" t="e">
        <f>COUNTIFS(#REF!,"&gt;="&amp;D311,#REF!,"&gt;="&amp;B301,#REF!,"&lt;="&amp;EOMONTH(B301,0))</f>
        <v>#REF!</v>
      </c>
      <c r="K311" s="1341" t="e">
        <f t="shared" si="134"/>
        <v>#REF!</v>
      </c>
      <c r="L311" s="1115"/>
      <c r="M311" s="1082"/>
      <c r="N311" s="1129"/>
      <c r="O311" s="1129"/>
      <c r="P311" s="1069"/>
      <c r="Q311" s="1069"/>
      <c r="R311" s="1069"/>
      <c r="S311" s="1069"/>
      <c r="T311" s="1143"/>
      <c r="U311" s="1143"/>
      <c r="V311" s="1132"/>
      <c r="W311" s="1129"/>
      <c r="X311" s="1129"/>
      <c r="Y311" s="1069"/>
      <c r="Z311" s="1069"/>
      <c r="AA311" s="1069"/>
      <c r="AB311" s="1069"/>
      <c r="AC311" s="1130"/>
      <c r="AD311" s="1131"/>
      <c r="AE311" s="1132"/>
      <c r="AF311" s="1105"/>
      <c r="AG311" s="1106"/>
      <c r="AH311" s="1106"/>
      <c r="AI311" s="1106"/>
      <c r="AJ311" s="1106"/>
      <c r="AK311" s="1132"/>
      <c r="AL311" s="1105"/>
      <c r="AM311" s="1106"/>
      <c r="AN311" s="1106"/>
      <c r="AO311" s="1106"/>
      <c r="AP311" s="1106"/>
      <c r="AQ311" s="1132"/>
      <c r="AR311" s="1148"/>
      <c r="AS311" s="1105"/>
      <c r="AT311" s="1106"/>
      <c r="AU311" s="1106"/>
      <c r="AV311" s="1106"/>
      <c r="AW311" s="1119"/>
      <c r="AX311" s="1120"/>
      <c r="AY311" s="1094"/>
      <c r="AZ311" s="1095" t="e">
        <f t="shared" si="135"/>
        <v>#REF!</v>
      </c>
      <c r="BA311" s="2"/>
    </row>
    <row r="312" spans="1:53" ht="15.75" hidden="1" customHeight="1" outlineLevel="1">
      <c r="A312" s="1027"/>
      <c r="B312" s="1096"/>
      <c r="C312" s="1121" t="s">
        <v>14</v>
      </c>
      <c r="D312" s="1122">
        <f>Parametres!$D$16</f>
        <v>10000000</v>
      </c>
      <c r="E312" s="1068" t="e">
        <f>COUNTIFS(#REF!,"&gt;0",#REF!,"&gt;="&amp;B301,#REF!,"&lt;="&amp;EOMONTH(B301,0))</f>
        <v>#REF!</v>
      </c>
      <c r="F312" s="1069" t="e">
        <f>SUMIFS(#REF!,#REF!,"&lt;&gt;0",#REF!,"&gt;="&amp;B301,#REF!,"&lt;="&amp;EOMONTH(B301,0))</f>
        <v>#REF!</v>
      </c>
      <c r="G312" s="1098" t="e">
        <f t="shared" si="133"/>
        <v>#REF!</v>
      </c>
      <c r="H312" s="1070" t="e">
        <f ca="1">MINIFS(#REF!,#REF!,"&lt;&gt;0",#REF!,"&gt;="&amp;B301,#REF!,"&lt;="&amp;EOMONTH(B301,0))</f>
        <v>#NAME?</v>
      </c>
      <c r="I312" s="1078" t="e">
        <f ca="1">MAXIFS(#REF!,#REF!,"&lt;&gt;0",#REF!,"&gt;="&amp;B301,#REF!,"&lt;="&amp;EOMONTH(B301,0))</f>
        <v>#NAME?</v>
      </c>
      <c r="J312" s="1072" t="e">
        <f>COUNTIFS(#REF!,"&gt;="&amp;D312,#REF!,"&gt;="&amp;B301,#REF!,"&lt;="&amp;EOMONTH(B301,0))</f>
        <v>#REF!</v>
      </c>
      <c r="K312" s="1341" t="e">
        <f t="shared" si="134"/>
        <v>#REF!</v>
      </c>
      <c r="L312" s="1115"/>
      <c r="M312" s="1082"/>
      <c r="N312" s="1129"/>
      <c r="O312" s="1129"/>
      <c r="P312" s="1069"/>
      <c r="Q312" s="1069"/>
      <c r="R312" s="1069"/>
      <c r="S312" s="1069"/>
      <c r="T312" s="1143"/>
      <c r="U312" s="1143"/>
      <c r="V312" s="1132"/>
      <c r="W312" s="1129"/>
      <c r="X312" s="1129"/>
      <c r="Y312" s="1069"/>
      <c r="Z312" s="1069"/>
      <c r="AA312" s="1069"/>
      <c r="AB312" s="1069"/>
      <c r="AC312" s="1130"/>
      <c r="AD312" s="1131"/>
      <c r="AE312" s="1132"/>
      <c r="AF312" s="1105"/>
      <c r="AG312" s="1106"/>
      <c r="AH312" s="1106"/>
      <c r="AI312" s="1106"/>
      <c r="AJ312" s="1106"/>
      <c r="AK312" s="1082"/>
      <c r="AL312" s="1136"/>
      <c r="AM312" s="1137"/>
      <c r="AN312" s="1137"/>
      <c r="AO312" s="1137"/>
      <c r="AP312" s="1137"/>
      <c r="AQ312" s="1082"/>
      <c r="AR312" s="1118"/>
      <c r="AS312" s="1105"/>
      <c r="AT312" s="1106"/>
      <c r="AU312" s="1106"/>
      <c r="AV312" s="1106"/>
      <c r="AW312" s="1138"/>
      <c r="AX312" s="1120"/>
      <c r="AY312" s="1094"/>
      <c r="AZ312" s="1095" t="e">
        <f t="shared" si="135"/>
        <v>#REF!</v>
      </c>
      <c r="BA312" s="2"/>
    </row>
    <row r="313" spans="1:53" ht="15.75" hidden="1" customHeight="1" outlineLevel="1">
      <c r="A313" s="1027"/>
      <c r="B313" s="1096"/>
      <c r="C313" s="1139" t="s">
        <v>284</v>
      </c>
      <c r="D313" s="1122">
        <f>Parametres!$D$17</f>
        <v>450</v>
      </c>
      <c r="E313" s="1068" t="e">
        <f>COUNTIFS(#REF!,"&gt;0",#REF!,"&gt;="&amp;B301,#REF!,"&lt;="&amp;EOMONTH(B301,0))</f>
        <v>#REF!</v>
      </c>
      <c r="F313" s="1069" t="e">
        <f>SUMIFS(#REF!,#REF!,"&lt;&gt;0",#REF!,"&gt;="&amp;B301,#REF!,"&lt;="&amp;EOMONTH(B301,0))</f>
        <v>#REF!</v>
      </c>
      <c r="G313" s="1069" t="e">
        <f t="shared" si="133"/>
        <v>#REF!</v>
      </c>
      <c r="H313" s="1070" t="e">
        <f ca="1">MINIFS(#REF!,#REF!,"&lt;&gt;0",#REF!,"&gt;="&amp;B301,#REF!,"&lt;="&amp;EOMONTH(B301,0))</f>
        <v>#NAME?</v>
      </c>
      <c r="I313" s="1078" t="e">
        <f ca="1">MAXIFS(#REF!,#REF!,"&lt;&gt;0",#REF!,"&gt;="&amp;B301,#REF!,"&lt;="&amp;EOMONTH(B301,0))</f>
        <v>#NAME?</v>
      </c>
      <c r="J313" s="1114" t="e">
        <f>COUNTIFS(#REF!,"&gt;="&amp;D313,#REF!,"&gt;="&amp;B301,#REF!,"&lt;="&amp;EOMONTH(B301,0))</f>
        <v>#REF!</v>
      </c>
      <c r="K313" s="1073" t="e">
        <f t="shared" si="134"/>
        <v>#REF!</v>
      </c>
      <c r="L313" s="1115"/>
      <c r="M313" s="1082"/>
      <c r="N313" s="1171"/>
      <c r="O313" s="1171"/>
      <c r="P313" s="1173"/>
      <c r="Q313" s="1173"/>
      <c r="R313" s="1173"/>
      <c r="S313" s="1173"/>
      <c r="T313" s="1175"/>
      <c r="U313" s="1175"/>
      <c r="V313" s="1177"/>
      <c r="W313" s="1129"/>
      <c r="X313" s="1129"/>
      <c r="Y313" s="1069"/>
      <c r="Z313" s="1069"/>
      <c r="AA313" s="1069"/>
      <c r="AB313" s="1069"/>
      <c r="AC313" s="1130"/>
      <c r="AD313" s="1131"/>
      <c r="AE313" s="1082"/>
      <c r="AF313" s="1105"/>
      <c r="AG313" s="1106"/>
      <c r="AH313" s="1106"/>
      <c r="AI313" s="1106"/>
      <c r="AJ313" s="1106"/>
      <c r="AK313" s="1132"/>
      <c r="AL313" s="1105"/>
      <c r="AM313" s="1106"/>
      <c r="AN313" s="1106"/>
      <c r="AO313" s="1106"/>
      <c r="AP313" s="1119"/>
      <c r="AQ313" s="1132"/>
      <c r="AR313" s="1148"/>
      <c r="AS313" s="1105"/>
      <c r="AT313" s="1106"/>
      <c r="AU313" s="1106"/>
      <c r="AV313" s="1106"/>
      <c r="AW313" s="1119"/>
      <c r="AX313" s="1120"/>
      <c r="AY313" s="1094"/>
      <c r="AZ313" s="1095" t="e">
        <f t="shared" si="135"/>
        <v>#REF!</v>
      </c>
      <c r="BA313" s="2"/>
    </row>
    <row r="314" spans="1:53" ht="15.75" hidden="1" customHeight="1" outlineLevel="1">
      <c r="A314" s="1027"/>
      <c r="B314" s="1096"/>
      <c r="C314" s="1182" t="s">
        <v>35</v>
      </c>
      <c r="D314" s="1122">
        <f>Parametres!$D$18</f>
        <v>1750</v>
      </c>
      <c r="E314" s="1068" t="e">
        <f>COUNTIFS(#REF!,"&gt;0",#REF!,"&gt;="&amp;B301,#REF!,"&lt;="&amp;EOMONTH(B301,0))</f>
        <v>#REF!</v>
      </c>
      <c r="F314" s="1069" t="e">
        <f>SUMIFS(#REF!,#REF!,"&lt;&gt;0",#REF!,"&gt;="&amp;B301,#REF!,"&lt;="&amp;EOMONTH(B301,0))</f>
        <v>#REF!</v>
      </c>
      <c r="G314" s="1069" t="e">
        <f t="shared" si="133"/>
        <v>#REF!</v>
      </c>
      <c r="H314" s="1070" t="e">
        <f ca="1">MINIFS(#REF!,#REF!,"&lt;&gt;0",#REF!,"&gt;="&amp;B301,#REF!,"&lt;="&amp;EOMONTH(B301,0))</f>
        <v>#NAME?</v>
      </c>
      <c r="I314" s="1078" t="e">
        <f ca="1">MAXIFS(#REF!,#REF!,"&lt;&gt;0",#REF!,"&gt;="&amp;B301,#REF!,"&lt;="&amp;EOMONTH(B301,0))</f>
        <v>#NAME?</v>
      </c>
      <c r="J314" s="1114" t="e">
        <f>COUNTIFS(#REF!,"&gt;="&amp;D314,#REF!,"&gt;="&amp;B301,#REF!,"&lt;="&amp;EOMONTH(B301,0))</f>
        <v>#REF!</v>
      </c>
      <c r="K314" s="1073" t="e">
        <f t="shared" si="134"/>
        <v>#REF!</v>
      </c>
      <c r="L314" s="1115"/>
      <c r="M314" s="1082"/>
      <c r="N314" s="1144">
        <f>Parametres!$L$18</f>
        <v>5000</v>
      </c>
      <c r="O314" s="1077">
        <f>COUNTIFS('Degrémont Entrée'!$K$14:$K$379,"&gt;0",'Degrémont Entrée'!$A$14:$A$379,"&gt;="&amp;B301,'Degrémont Entrée'!$A$14:$A$379,"&lt;="&amp;EOMONTH(B301,0))</f>
        <v>28</v>
      </c>
      <c r="P314" s="1078">
        <f>SUMIFS('Degrémont Entrée'!$K$14:$K$379,'Degrémont Entrée'!$K$14:$K$379,"&lt;&gt;0",'Degrémont Entrée'!$A$14:$A$379,"&gt;="&amp;B301,'Degrémont Entrée'!$A$14:$A$379,"&lt;="&amp;EOMONTH(B301,0))</f>
        <v>258332</v>
      </c>
      <c r="Q314" s="1078">
        <f t="shared" ref="Q314:Q316" si="138">IF(O314=0,0,P314/O314)</f>
        <v>9226.1428571428569</v>
      </c>
      <c r="R314" s="1078" t="e">
        <f ca="1">MINIFS('Degrémont Entrée'!$K$14:$K$379,'Degrémont Entrée'!$K$14:$K$379,"&lt;&gt;0",'Degrémont Entrée'!$A$14:$A$379,"&gt;="&amp;B301,'Degrémont Entrée'!$A$14:$A$379,"&lt;="&amp;EOMONTH(B301,0))</f>
        <v>#NAME?</v>
      </c>
      <c r="S314" s="1078" t="e">
        <f ca="1">MAXIFS('Degrémont Entrée'!$K$14:$K$379,'Degrémont Entrée'!$K$14:$K$379,"&lt;&gt;0",'Degrémont Entrée'!$A$14:$A$379,"&gt;="&amp;B301,'Degrémont Entrée'!$A$14:$A$379,"&lt;="&amp;EOMONTH(B301,0))</f>
        <v>#NAME?</v>
      </c>
      <c r="T314" s="1080">
        <f>COUNTIFS('Degrémont Entrée'!$K$14:$K$379,"&gt;="&amp;N314,'Degrémont Entrée'!$A$14:$A$379,"&gt;="&amp;B301,'Degrémont Entrée'!$A$14:$A$379,"&lt;="&amp;EOMONTH(B301,0))</f>
        <v>18</v>
      </c>
      <c r="U314" s="1081">
        <f>T314/O314</f>
        <v>0.6428571428571429</v>
      </c>
      <c r="V314" s="1082"/>
      <c r="W314" s="1083">
        <f>Parametres!$T$18</f>
        <v>2000</v>
      </c>
      <c r="X314" s="1142">
        <f>COUNTIFS('Degrémont sortie'!$I$14:$I$379,"&gt;0",'Degrémont sortie'!$A$14:$A$379,"&gt;="&amp;B301,'Degrémont sortie'!$A$14:$A$379,"&lt;="&amp;EOMONTH(B301,0))</f>
        <v>28</v>
      </c>
      <c r="Y314" s="1085">
        <f>SUMIFS('Degrémont sortie'!$I$14:$I$379,'Degrémont sortie'!$I$14:$I$379,"&lt;&gt;0",'Degrémont sortie'!$A$14:$A$379,"&gt;="&amp;B301,'Degrémont sortie'!$A$14:$A$379,"&lt;="&amp;EOMONTH(B301,0))</f>
        <v>34027</v>
      </c>
      <c r="Z314" s="1069">
        <f>IF(X314=0,0,Y314/X314)</f>
        <v>1215.25</v>
      </c>
      <c r="AA314" s="1069" t="e">
        <f ca="1">MINIFS('Degrémont sortie'!$I$14:$I$379,'Degrémont sortie'!$I$14:$I$379,"&lt;&gt;0",'Degrémont sortie'!$A$14:$A$379,"&gt;="&amp;B301,'Degrémont sortie'!$A$14:$A$379,"&lt;="&amp;EOMONTH(B301,0))</f>
        <v>#NAME?</v>
      </c>
      <c r="AB314" s="1069" t="e">
        <f ca="1">MAXIFS('Degrémont sortie'!$I$14:$I$379,'Degrémont sortie'!$I$14:$I$379,"&lt;&gt;0",'Degrémont sortie'!$A$14:$A$379,"&gt;="&amp;B301,'Degrémont sortie'!$A$14:$A$379,"&lt;="&amp;EOMONTH(B301,0))</f>
        <v>#NAME?</v>
      </c>
      <c r="AC314" s="1142">
        <f>COUNTIFS('Degrémont sortie'!$I$14:$I$379,"&gt;="&amp;W314,'Degrémont sortie'!$A$14:$A$379,"&gt;="&amp;B301,'Degrémont sortie'!$A$14:$A$379,"&lt;="&amp;EOMONTH(B301,0))</f>
        <v>3</v>
      </c>
      <c r="AD314" s="1087">
        <f>AC314/X314</f>
        <v>0.10714285714285714</v>
      </c>
      <c r="AE314" s="1082"/>
      <c r="AF314" s="1205" t="e">
        <f>COUNTIFS(#REF!,"&gt;0",#REF!,"&gt;="&amp;B301,#REF!,"&lt;="&amp;EOMONTH(B301,0))</f>
        <v>#REF!</v>
      </c>
      <c r="AG314" s="1208" t="e">
        <f>SUMIFS(#REF!,#REF!,"&lt;&gt;0",#REF!,"&gt;="&amp;B301,#REF!,"&lt;="&amp;EOMONTH(B301,0))</f>
        <v>#REF!</v>
      </c>
      <c r="AH314" s="1208" t="e">
        <f>IF(AF314=0,0,AG314/AF314)</f>
        <v>#REF!</v>
      </c>
      <c r="AI314" s="1208" t="e">
        <f ca="1">MINIFS(#REF!,#REF!,"&lt;&gt;0",#REF!,"&gt;="&amp;B301,#REF!,"&lt;="&amp;EOMONTH(B301,0))</f>
        <v>#NAME?</v>
      </c>
      <c r="AJ314" s="1211" t="e">
        <f ca="1">MAXIFS(#REF!,#REF!,"&lt;&gt;0",#REF!,"&gt;="&amp;B301,#REF!,"&lt;="&amp;EOMONTH(B301,0))</f>
        <v>#NAME?</v>
      </c>
      <c r="AK314" s="1132"/>
      <c r="AL314" s="1205" t="e">
        <f>COUNTIFS(#REF!,"&gt;0",#REF!,"&gt;="&amp;B301,#REF!,"&lt;="&amp;EOMONTH(B301,0))</f>
        <v>#REF!</v>
      </c>
      <c r="AM314" s="1208" t="e">
        <f>SUMIFS(#REF!,#REF!,"&lt;&gt;0",#REF!,"&gt;="&amp;B301,#REF!,"&lt;="&amp;EOMONTH(B301,0))</f>
        <v>#REF!</v>
      </c>
      <c r="AN314" s="1208" t="e">
        <f>IF(AL314=0,0,AM314/AL314)</f>
        <v>#REF!</v>
      </c>
      <c r="AO314" s="1208" t="e">
        <f ca="1">MINIFS(#REF!,#REF!,"&lt;&gt;0",#REF!,"&gt;="&amp;B301,#REF!,"&lt;="&amp;EOMONTH(B301,0))</f>
        <v>#NAME?</v>
      </c>
      <c r="AP314" s="1218" t="e">
        <f ca="1">MAXIFS(#REF!,#REF!,"&lt;&gt;0",#REF!,"&gt;="&amp;B301,#REF!,"&lt;="&amp;EOMONTH(B301,0))</f>
        <v>#NAME?</v>
      </c>
      <c r="AQ314" s="1132"/>
      <c r="AR314" s="1220">
        <f>Parametres!$AM$18</f>
        <v>17000</v>
      </c>
      <c r="AS314" s="1205" t="e">
        <f>COUNTIFS(#REF!,"&gt;0",#REF!,"&gt;="&amp;B301,#REF!,"&lt;="&amp;EOMONTH(B301,0))</f>
        <v>#REF!</v>
      </c>
      <c r="AT314" s="1208" t="e">
        <f>SUMIFS(#REF!,#REF!,"&lt;&gt;0",#REF!,"&gt;="&amp;B301,#REF!,"&lt;="&amp;EOMONTH(B301,0))</f>
        <v>#REF!</v>
      </c>
      <c r="AU314" s="1208" t="e">
        <f>IF(AS314=0,0,AT314/AS314)</f>
        <v>#REF!</v>
      </c>
      <c r="AV314" s="1208" t="e">
        <f ca="1">MINIFS(#REF!,#REF!,"&lt;&gt;0",#REF!,"&gt;="&amp;B301,#REF!,"&lt;="&amp;EOMONTH(B301,0))</f>
        <v>#NAME?</v>
      </c>
      <c r="AW314" s="1222" t="e">
        <f ca="1">MAXIFS(#REF!,#REF!,"&lt;&gt;0",#REF!,"&gt;="&amp;B301,#REF!,"&lt;="&amp;EOMONTH(B301,0))</f>
        <v>#NAME?</v>
      </c>
      <c r="AX314" s="1223" t="e">
        <f>COUNTIFS(#REF!,"&gt;="&amp;AR314,#REF!,"&gt;="&amp;B301,#REF!,"&lt;="&amp;EOMONTH(B301,0))</f>
        <v>#REF!</v>
      </c>
      <c r="AY314" s="1224" t="e">
        <f>AX314/AS314</f>
        <v>#REF!</v>
      </c>
      <c r="AZ314" s="1095" t="e">
        <f t="shared" si="135"/>
        <v>#REF!</v>
      </c>
      <c r="BA314" s="2"/>
    </row>
    <row r="315" spans="1:53" ht="15.75" hidden="1" customHeight="1" outlineLevel="1">
      <c r="A315" s="1027"/>
      <c r="B315" s="1096"/>
      <c r="C315" s="1139" t="s">
        <v>36</v>
      </c>
      <c r="D315" s="1122">
        <f>Parametres!$D$19</f>
        <v>100000</v>
      </c>
      <c r="E315" s="1068" t="e">
        <f>COUNTIFS(#REF!,"&gt;0",#REF!,"&gt;="&amp;B301,#REF!,"&lt;="&amp;EOMONTH(B301,0))</f>
        <v>#REF!</v>
      </c>
      <c r="F315" s="1069" t="e">
        <f>SUMIFS(#REF!,#REF!,"&lt;&gt;0",#REF!,"&gt;="&amp;B301,#REF!,"&lt;="&amp;EOMONTH(B301,0))</f>
        <v>#REF!</v>
      </c>
      <c r="G315" s="1069" t="e">
        <f t="shared" si="133"/>
        <v>#REF!</v>
      </c>
      <c r="H315" s="1070" t="e">
        <f ca="1">MINIFS(#REF!,#REF!,"&lt;&gt;0",#REF!,"&gt;="&amp;B301,#REF!,"&lt;="&amp;EOMONTH(B301,0))</f>
        <v>#NAME?</v>
      </c>
      <c r="I315" s="1078" t="e">
        <f ca="1">MAXIFS(#REF!,#REF!,"&lt;&gt;0",#REF!,"&gt;="&amp;B301,#REF!,"&lt;="&amp;EOMONTH(B301,0))</f>
        <v>#NAME?</v>
      </c>
      <c r="J315" s="1072" t="s">
        <v>153</v>
      </c>
      <c r="K315" s="1072" t="s">
        <v>153</v>
      </c>
      <c r="L315" s="1115"/>
      <c r="M315" s="1082"/>
      <c r="N315" s="1144">
        <f>Parametres!$L$19</f>
        <v>100000</v>
      </c>
      <c r="O315" s="1077">
        <f>COUNTIFS('Degrémont Entrée'!$O$14:$O$379,"&gt;0",'Degrémont Entrée'!$A$14:$A$379,"&gt;="&amp;B301,'Degrémont Entrée'!$A$14:$A$379,"&lt;="&amp;EOMONTH(B301,0))</f>
        <v>27</v>
      </c>
      <c r="P315" s="1078">
        <f>SUMIFS('Degrémont Entrée'!$O$14:$O$379,'Degrémont Entrée'!$O$14:$O$379,"&lt;&gt;0",'Degrémont Entrée'!$A$14:$A$379,"&gt;="&amp;B301,'Degrémont Entrée'!$A$14:$A$379,"&lt;="&amp;EOMONTH(B301,0))</f>
        <v>38030</v>
      </c>
      <c r="Q315" s="1078">
        <f t="shared" si="138"/>
        <v>1408.5185185185185</v>
      </c>
      <c r="R315" s="1173" t="e">
        <f ca="1">MINIFS('Degrémont Entrée'!$O$14:$O$379,'Degrémont Entrée'!$O$14:$O$379,"&lt;&gt;0",'Degrémont Entrée'!$A$14:$A$379,"&gt;="&amp;B301,'Degrémont Entrée'!$A$14:$A$379,"&lt;="&amp;EOMONTH(B301,0))</f>
        <v>#NAME?</v>
      </c>
      <c r="S315" s="1227" t="e">
        <f ca="1">MAXIFS('Degrémont Entrée'!$O$14:$O$379,'Degrémont Entrée'!$O$14:$O$379,"&lt;&gt;0",'Degrémont Entrée'!$A$14:$A$379,"&gt;="&amp;B301,'Degrémont Entrée'!$A$14:$A$379,"&lt;="&amp;EOMONTH(B301,0))</f>
        <v>#NAME?</v>
      </c>
      <c r="T315" s="1228" t="s">
        <v>153</v>
      </c>
      <c r="U315" s="1228" t="s">
        <v>153</v>
      </c>
      <c r="V315" s="1177"/>
      <c r="W315" s="1129"/>
      <c r="X315" s="1129"/>
      <c r="Y315" s="1069"/>
      <c r="Z315" s="1069"/>
      <c r="AA315" s="1069"/>
      <c r="AB315" s="1069"/>
      <c r="AC315" s="1130"/>
      <c r="AD315" s="1131"/>
      <c r="AE315" s="1082"/>
      <c r="AF315" s="1106"/>
      <c r="AG315" s="1106"/>
      <c r="AH315" s="1106"/>
      <c r="AI315" s="1106"/>
      <c r="AJ315" s="1106"/>
      <c r="AK315" s="1132"/>
      <c r="AL315" s="1106"/>
      <c r="AM315" s="1106"/>
      <c r="AN315" s="1106"/>
      <c r="AO315" s="1106"/>
      <c r="AP315" s="1119"/>
      <c r="AQ315" s="1132"/>
      <c r="AR315" s="1106"/>
      <c r="AS315" s="1106"/>
      <c r="AT315" s="1106"/>
      <c r="AU315" s="1106"/>
      <c r="AV315" s="1106"/>
      <c r="AW315" s="1119"/>
      <c r="AX315" s="1120"/>
      <c r="AY315" s="1094"/>
      <c r="AZ315" s="1095" t="e">
        <f t="shared" si="135"/>
        <v>#REF!</v>
      </c>
      <c r="BA315" s="2"/>
    </row>
    <row r="316" spans="1:53" ht="15.75" hidden="1" customHeight="1" outlineLevel="1">
      <c r="A316" s="1027"/>
      <c r="B316" s="1096"/>
      <c r="C316" s="1139" t="s">
        <v>32</v>
      </c>
      <c r="D316" s="1122">
        <f>Parametres!$D$20</f>
        <v>4800</v>
      </c>
      <c r="E316" s="1068" t="e">
        <f>COUNTIFS(#REF!,"&gt;0",#REF!,"&gt;="&amp;B301,#REF!,"&lt;="&amp;EOMONTH(B301,0))</f>
        <v>#REF!</v>
      </c>
      <c r="F316" s="1069" t="e">
        <f>SUMIFS(#REF!,#REF!,"&lt;&gt;0",#REF!,"&gt;="&amp;B301,#REF!,"&lt;="&amp;EOMONTH(B301,0))</f>
        <v>#REF!</v>
      </c>
      <c r="G316" s="1069" t="e">
        <f t="shared" si="133"/>
        <v>#REF!</v>
      </c>
      <c r="H316" s="1070" t="e">
        <f ca="1">MINIFS(#REF!,#REF!,"&lt;&gt;0",#REF!,"&gt;="&amp;B301,#REF!,"&lt;="&amp;EOMONTH(B301,0))</f>
        <v>#NAME?</v>
      </c>
      <c r="I316" s="1078" t="e">
        <f ca="1">MAXIFS(#REF!,#REF!,"&lt;&gt;0",#REF!,"&gt;="&amp;B301,#REF!,"&lt;="&amp;EOMONTH(B301,0))</f>
        <v>#NAME?</v>
      </c>
      <c r="J316" s="1072" t="e">
        <f>COUNTIFS(#REF!,"&gt;="&amp;D316,#REF!,"&gt;="&amp;B301,#REF!,"&lt;="&amp;EOMONTH(B301,0))</f>
        <v>#REF!</v>
      </c>
      <c r="K316" s="1341" t="e">
        <f t="shared" ref="K316:K317" si="139">J316/E316</f>
        <v>#REF!</v>
      </c>
      <c r="L316" s="1115"/>
      <c r="M316" s="1082"/>
      <c r="N316" s="1144">
        <f>Parametres!$L$20</f>
        <v>1000</v>
      </c>
      <c r="O316" s="1077">
        <f>COUNTIFS('Degrémont Entrée'!$B$14:$B$379,"&gt;0",'Degrémont Entrée'!$A$14:$A$379,"&gt;="&amp;B301,'Degrémont Entrée'!$A$14:$A$379,"&lt;="&amp;EOMONTH(B301,0))</f>
        <v>14</v>
      </c>
      <c r="P316" s="1078">
        <f>SUMIFS('Degrémont Entrée'!$B$14:$B$379,'Degrémont Entrée'!$B$14:$B$379,"&lt;&gt;0",'Degrémont Entrée'!$A$14:$A$379,"&gt;="&amp;B301,'Degrémont Entrée'!$A$14:$A$379,"&lt;="&amp;EOMONTH(B301,0))</f>
        <v>10533</v>
      </c>
      <c r="Q316" s="1078">
        <f t="shared" si="138"/>
        <v>752.35714285714289</v>
      </c>
      <c r="R316" s="1173" t="e">
        <f ca="1">MINIFS('Degrémont Entrée'!$B$14:$B$379,'Degrémont Entrée'!$B$14:$B$379,"&lt;&gt;0",'Degrémont Entrée'!$A$14:$A$379,"&gt;="&amp;B301,'Degrémont Entrée'!$A$14:$A$379,"&lt;="&amp;EOMONTH(B301,0))</f>
        <v>#NAME?</v>
      </c>
      <c r="S316" s="1078" t="e">
        <f ca="1">MAXIFS('Degrémont Entrée'!$B$14:$B$379,'Degrémont Entrée'!$B$14:$B$379,"&lt;&gt;0",'Degrémont Entrée'!$A$14:$A$379,"&gt;="&amp;B301,'Degrémont Entrée'!$A$14:$A$379,"&lt;="&amp;EOMONTH(B301,0))</f>
        <v>#NAME?</v>
      </c>
      <c r="T316" s="1236">
        <f>COUNTIFS('Degrémont Entrée'!$B$14:$B$379,"&gt;="&amp;N316,'Degrémont Entrée'!$A$14:$A$379,"&gt;="&amp;B301,'Degrémont Entrée'!$A$14:$A$379,"&lt;="&amp;EOMONTH(B301,0))</f>
        <v>7</v>
      </c>
      <c r="U316" s="1081">
        <f>T316/O316</f>
        <v>0.5</v>
      </c>
      <c r="V316" s="1177"/>
      <c r="W316" s="1083">
        <f>Parametres!$T$20</f>
        <v>1000</v>
      </c>
      <c r="X316" s="1142">
        <f>COUNTIFS('Degrémont sortie'!$B$14:$B$379,"&gt;0",'Degrémont sortie'!$A$14:$A$379,"&gt;="&amp;B301,'Degrémont sortie'!$A$14:$A$379,"&lt;="&amp;EOMONTH(B301,0))</f>
        <v>14</v>
      </c>
      <c r="Y316" s="1085">
        <f>SUMIFS('Degrémont sortie'!$B$14:$B$379,'Degrémont sortie'!$B$14:$B$379,"&lt;&gt;0",'Degrémont sortie'!$A$14:$A$379,"&gt;="&amp;B301,'Degrémont sortie'!$A$14:$A$379,"&lt;="&amp;EOMONTH(B301,0))</f>
        <v>10533</v>
      </c>
      <c r="Z316" s="1069">
        <f>IF(X316=0,0,Y316/X316)</f>
        <v>752.35714285714289</v>
      </c>
      <c r="AA316" s="1069" t="e">
        <f ca="1">MINIFS('Degrémont sortie'!$B$14:$B$379,'Degrémont sortie'!$B$14:$B$379,"&lt;&gt;0",'Degrémont sortie'!$A$14:$A$379,"&gt;="&amp;B301,'Degrémont sortie'!$A$14:$A$379,"&lt;="&amp;EOMONTH(B301,0))</f>
        <v>#NAME?</v>
      </c>
      <c r="AB316" s="1069" t="e">
        <f ca="1">MAXIFS('Degrémont sortie'!$B$14:$B$379,'Degrémont sortie'!$B$14:$B$379,"&lt;&gt;0",'Degrémont sortie'!$A$14:$A$379,"&gt;="&amp;B301,'Degrémont sortie'!$A$14:$A$379,"&lt;="&amp;EOMONTH(B301,0))</f>
        <v>#NAME?</v>
      </c>
      <c r="AC316" s="1142">
        <f>COUNTIFS('Degrémont sortie'!$B$14:$B$379,"&gt;="&amp;W316,'Degrémont sortie'!$A$14:$A$379,"&gt;="&amp;B301,'Degrémont sortie'!$A$14:$A$379,"&lt;="&amp;EOMONTH(B301,0))</f>
        <v>7</v>
      </c>
      <c r="AD316" s="1087">
        <f>AC316/X316</f>
        <v>0.5</v>
      </c>
      <c r="AE316" s="1082"/>
      <c r="AF316" s="1205" t="e">
        <f>COUNTIFS(#REF!,"&gt;0",#REF!,"&gt;="&amp;B301,#REF!,"&lt;="&amp;EOMONTH(B301,0))</f>
        <v>#REF!</v>
      </c>
      <c r="AG316" s="1208" t="e">
        <f>SUMIFS(#REF!,#REF!,"&lt;&gt;0",#REF!,"&gt;="&amp;B301,#REF!,"&lt;="&amp;EOMONTH(B301,0))</f>
        <v>#REF!</v>
      </c>
      <c r="AH316" s="1208" t="e">
        <f>IF(AF316=0,0,AG316/AF316)</f>
        <v>#REF!</v>
      </c>
      <c r="AI316" s="1208" t="e">
        <f ca="1">MINIFS(#REF!,#REF!,"&lt;&gt;0",#REF!,"&gt;="&amp;B301,#REF!,"&lt;="&amp;EOMONTH(B301,0))</f>
        <v>#NAME?</v>
      </c>
      <c r="AJ316" s="1208" t="e">
        <f ca="1">MAXIFS(#REF!,#REF!,"&lt;&gt;0",#REF!,"&gt;="&amp;B301,#REF!,"&lt;="&amp;EOMONTH(B301,0))</f>
        <v>#NAME?</v>
      </c>
      <c r="AK316" s="1132"/>
      <c r="AL316" s="1106"/>
      <c r="AM316" s="1106"/>
      <c r="AN316" s="1106"/>
      <c r="AO316" s="1106"/>
      <c r="AP316" s="1119"/>
      <c r="AQ316" s="1132"/>
      <c r="AR316" s="1220">
        <f>Parametres!$AM$20</f>
        <v>1000000</v>
      </c>
      <c r="AS316" s="1205" t="e">
        <f>COUNTIFS(#REF!,"&gt;0",#REF!,"&gt;="&amp;B301,#REF!,"&lt;="&amp;EOMONTH(B301,0))</f>
        <v>#REF!</v>
      </c>
      <c r="AT316" s="1208" t="e">
        <f>SUMIFS(#REF!,#REF!,"&lt;&gt;0",#REF!,"&gt;="&amp;B301,#REF!,"&lt;="&amp;EOMONTH(B301,0))</f>
        <v>#REF!</v>
      </c>
      <c r="AU316" s="1208" t="e">
        <f>IF(AS316=0,0,AT316/AS316)</f>
        <v>#REF!</v>
      </c>
      <c r="AV316" s="1208" t="e">
        <f ca="1">MINIFS(#REF!,#REF!,"&lt;&gt;0",#REF!,"&gt;="&amp;B301,#REF!,"&lt;="&amp;EOMONTH(B301,0))</f>
        <v>#NAME?</v>
      </c>
      <c r="AW316" s="1222" t="e">
        <f ca="1">MAXIFS(#REF!,#REF!,"&lt;&gt;0",#REF!,"&gt;="&amp;B301,#REF!,"&lt;="&amp;EOMONTH(B301,0))</f>
        <v>#NAME?</v>
      </c>
      <c r="AX316" s="1243" t="s">
        <v>153</v>
      </c>
      <c r="AY316" s="1224" t="e">
        <f>AX316/AS316</f>
        <v>#VALUE!</v>
      </c>
      <c r="AZ316" s="1095" t="e">
        <f t="shared" si="135"/>
        <v>#REF!</v>
      </c>
      <c r="BA316" s="2"/>
    </row>
    <row r="317" spans="1:53" ht="15.75" hidden="1" customHeight="1" outlineLevel="1">
      <c r="A317" s="1027"/>
      <c r="B317" s="1096"/>
      <c r="C317" s="1121" t="s">
        <v>21</v>
      </c>
      <c r="D317" s="1122">
        <f>Parametres!$D$22</f>
        <v>2</v>
      </c>
      <c r="E317" s="1068" t="e">
        <f>COUNTIFS(#REF!,"&gt;0",#REF!,"&gt;="&amp;B301,#REF!,"&lt;="&amp;EOMONTH(B301,0))</f>
        <v>#REF!</v>
      </c>
      <c r="F317" s="1069" t="e">
        <f>SUMIFS(#REF!,#REF!,"&lt;&gt;0",#REF!,"&gt;="&amp;B301,#REF!,"&lt;="&amp;EOMONTH(B301,0))</f>
        <v>#REF!</v>
      </c>
      <c r="G317" s="1069" t="e">
        <f t="shared" si="133"/>
        <v>#REF!</v>
      </c>
      <c r="H317" s="1070" t="e">
        <f ca="1">MINIFS(#REF!,#REF!,"&lt;&gt;0",#REF!,"&gt;="&amp;B301,#REF!,"&lt;="&amp;EOMONTH(B301,0))</f>
        <v>#NAME?</v>
      </c>
      <c r="I317" s="1078" t="e">
        <f ca="1">MAXIFS(#REF!,#REF!,"&lt;&gt;0",#REF!,"&gt;="&amp;B301,#REF!,"&lt;="&amp;EOMONTH(B301,0))</f>
        <v>#NAME?</v>
      </c>
      <c r="J317" s="1072" t="e">
        <f>COUNTIFS(#REF!,"&gt;="&amp;D317,#REF!,"&gt;="&amp;B301,#REF!,"&lt;="&amp;EOMONTH(B301,0))</f>
        <v>#REF!</v>
      </c>
      <c r="K317" s="1341" t="e">
        <f t="shared" si="139"/>
        <v>#REF!</v>
      </c>
      <c r="L317" s="1115"/>
      <c r="M317" s="1082"/>
      <c r="N317" s="1171"/>
      <c r="O317" s="1171"/>
      <c r="P317" s="1173"/>
      <c r="Q317" s="1173"/>
      <c r="R317" s="1173"/>
      <c r="S317" s="1173"/>
      <c r="T317" s="1175"/>
      <c r="U317" s="1175"/>
      <c r="V317" s="1082"/>
      <c r="W317" s="1106"/>
      <c r="X317" s="1106"/>
      <c r="Y317" s="1069"/>
      <c r="Z317" s="1069"/>
      <c r="AA317" s="1069"/>
      <c r="AB317" s="1069"/>
      <c r="AC317" s="1248"/>
      <c r="AD317" s="1249"/>
      <c r="AE317" s="1082"/>
      <c r="AF317" s="1106"/>
      <c r="AG317" s="1106"/>
      <c r="AH317" s="1106"/>
      <c r="AI317" s="1106"/>
      <c r="AJ317" s="1106"/>
      <c r="AK317" s="1132"/>
      <c r="AL317" s="1106"/>
      <c r="AM317" s="1106"/>
      <c r="AN317" s="1106"/>
      <c r="AO317" s="1106"/>
      <c r="AP317" s="1119"/>
      <c r="AQ317" s="1132"/>
      <c r="AR317" s="1106"/>
      <c r="AS317" s="1106"/>
      <c r="AT317" s="1106"/>
      <c r="AU317" s="1106"/>
      <c r="AV317" s="1106"/>
      <c r="AW317" s="1119"/>
      <c r="AX317" s="1120"/>
      <c r="AY317" s="1094"/>
      <c r="AZ317" s="1095" t="e">
        <f t="shared" si="135"/>
        <v>#REF!</v>
      </c>
      <c r="BA317" s="2"/>
    </row>
    <row r="318" spans="1:53" ht="15.75" hidden="1" customHeight="1" outlineLevel="1">
      <c r="A318" s="1027"/>
      <c r="B318" s="1096"/>
      <c r="C318" s="1121" t="s">
        <v>22</v>
      </c>
      <c r="D318" s="1122">
        <f>Parametres!$D$23</f>
        <v>1000000</v>
      </c>
      <c r="E318" s="1068" t="e">
        <f>COUNTIFS(#REF!,"&gt;0",#REF!,"&gt;="&amp;B301,#REF!,"&lt;="&amp;EOMONTH(B301,0))</f>
        <v>#REF!</v>
      </c>
      <c r="F318" s="1069" t="e">
        <f>SUMIFS(#REF!,#REF!,"&lt;&gt;0",#REF!,"&gt;="&amp;B301,#REF!,"&lt;="&amp;EOMONTH(B301,0))</f>
        <v>#REF!</v>
      </c>
      <c r="G318" s="1069" t="e">
        <f t="shared" si="133"/>
        <v>#REF!</v>
      </c>
      <c r="H318" s="1070" t="e">
        <f ca="1">MINIFS(#REF!,#REF!,"&lt;&gt;0",#REF!,"&gt;="&amp;B301,#REF!,"&lt;="&amp;EOMONTH(B301,0))</f>
        <v>#NAME?</v>
      </c>
      <c r="I318" s="1078" t="e">
        <f ca="1">MAXIFS(#REF!,#REF!,"&lt;&gt;0",#REF!,"&gt;="&amp;B301,#REF!,"&lt;="&amp;EOMONTH(B301,0))</f>
        <v>#NAME?</v>
      </c>
      <c r="J318" s="1072" t="s">
        <v>153</v>
      </c>
      <c r="K318" s="1072" t="s">
        <v>153</v>
      </c>
      <c r="L318" s="1115"/>
      <c r="M318" s="1082"/>
      <c r="N318" s="1171"/>
      <c r="O318" s="1171"/>
      <c r="P318" s="1173"/>
      <c r="Q318" s="1173"/>
      <c r="R318" s="1173"/>
      <c r="S318" s="1173"/>
      <c r="T318" s="1175"/>
      <c r="U318" s="1175"/>
      <c r="V318" s="1082"/>
      <c r="W318" s="1106"/>
      <c r="X318" s="1106"/>
      <c r="Y318" s="1069"/>
      <c r="Z318" s="1069"/>
      <c r="AA318" s="1069"/>
      <c r="AB318" s="1069"/>
      <c r="AC318" s="1248"/>
      <c r="AD318" s="1249"/>
      <c r="AE318" s="1082"/>
      <c r="AF318" s="1106"/>
      <c r="AG318" s="1106"/>
      <c r="AH318" s="1106"/>
      <c r="AI318" s="1106"/>
      <c r="AJ318" s="1106"/>
      <c r="AK318" s="1132"/>
      <c r="AL318" s="1106"/>
      <c r="AM318" s="1106"/>
      <c r="AN318" s="1106"/>
      <c r="AO318" s="1106"/>
      <c r="AP318" s="1119"/>
      <c r="AQ318" s="1132"/>
      <c r="AR318" s="1106"/>
      <c r="AS318" s="1106"/>
      <c r="AT318" s="1106"/>
      <c r="AU318" s="1106"/>
      <c r="AV318" s="1106"/>
      <c r="AW318" s="1119"/>
      <c r="AX318" s="1120"/>
      <c r="AY318" s="1094"/>
      <c r="AZ318" s="1095" t="e">
        <f t="shared" si="135"/>
        <v>#REF!</v>
      </c>
      <c r="BA318" s="2"/>
    </row>
    <row r="319" spans="1:53" ht="15.75" hidden="1" customHeight="1" outlineLevel="1">
      <c r="A319" s="1027"/>
      <c r="B319" s="1096"/>
      <c r="C319" s="1139" t="s">
        <v>44</v>
      </c>
      <c r="D319" s="1122">
        <f>Parametres!$D$24</f>
        <v>5</v>
      </c>
      <c r="E319" s="1068" t="e">
        <f>COUNTIFS(#REF!,"&gt;0",#REF!,"&gt;="&amp;B301,#REF!,"&lt;="&amp;EOMONTH(B301,0))</f>
        <v>#REF!</v>
      </c>
      <c r="F319" s="1069" t="e">
        <f>SUMIFS(#REF!,#REF!,"&lt;&gt;0",#REF!,"&gt;="&amp;B301,#REF!,"&lt;="&amp;EOMONTH(B301,0))</f>
        <v>#REF!</v>
      </c>
      <c r="G319" s="1069" t="e">
        <f t="shared" si="133"/>
        <v>#REF!</v>
      </c>
      <c r="H319" s="1070" t="e">
        <f ca="1">MINIFS(#REF!,#REF!,"&lt;&gt;0",#REF!,"&gt;="&amp;B301,#REF!,"&lt;="&amp;EOMONTH(B301,0))</f>
        <v>#NAME?</v>
      </c>
      <c r="I319" s="1078" t="e">
        <f ca="1">MAXIFS(#REF!,#REF!,"&lt;&gt;0",#REF!,"&gt;="&amp;B301,#REF!,"&lt;="&amp;EOMONTH(B301,0))</f>
        <v>#NAME?</v>
      </c>
      <c r="J319" s="1072" t="e">
        <f>COUNTIFS(#REF!,"&gt;="&amp;D319,#REF!,"&gt;="&amp;B301,#REF!,"&lt;="&amp;EOMONTH(B301,0))</f>
        <v>#REF!</v>
      </c>
      <c r="K319" s="1341" t="e">
        <f t="shared" ref="K319:K327" si="140">J319/E319</f>
        <v>#REF!</v>
      </c>
      <c r="L319" s="1115"/>
      <c r="M319" s="1082"/>
      <c r="N319" s="1144">
        <f>Parametres!$L$24</f>
        <v>60</v>
      </c>
      <c r="O319" s="1077">
        <f>COUNTIFS('Degrémont Entrée'!$AP$14:$AP$379,"&gt;0",'Degrémont Entrée'!$A$14:$A$379,"&gt;="&amp;B301,'Degrémont Entrée'!$A$14:$A$379,"&lt;="&amp;EOMONTH(B301,0))</f>
        <v>5</v>
      </c>
      <c r="P319" s="1078">
        <f>SUMIFS('Degrémont Entrée'!$AP$14:$AP$379,'Degrémont Entrée'!$AP$14:$AP$379,"&lt;&gt;0",'Degrémont Entrée'!$A$14:$A$379,"&gt;="&amp;B301,'Degrémont Entrée'!$A$14:$A$379,"&lt;="&amp;EOMONTH(B301,0))</f>
        <v>991.85</v>
      </c>
      <c r="Q319" s="1078">
        <f>IF(O319=0,0,P319/O319)</f>
        <v>198.37</v>
      </c>
      <c r="R319" s="1078" t="e">
        <f ca="1">MINIFS('Degrémont Entrée'!$AP$14:$AP$379,'Degrémont Entrée'!$AP$14:$AP$379,"&lt;&gt;0",'Degrémont Entrée'!$A$14:$A$379,"&gt;="&amp;B301,'Degrémont Entrée'!$A$14:$A$379,"&lt;="&amp;EOMONTH(B301,0))</f>
        <v>#NAME?</v>
      </c>
      <c r="S319" s="1078" t="e">
        <f ca="1">MAXIFS('Degrémont Entrée'!$AP$14:$AP$379,'Degrémont Entrée'!$AP$14:$AP$379,"&lt;&gt;0",'Degrémont Entrée'!$A$14:$A$379,"&gt;="&amp;B301,'Degrémont Entrée'!$A$14:$A$379,"&lt;="&amp;EOMONTH(B301,0))</f>
        <v>#NAME?</v>
      </c>
      <c r="T319" s="1080">
        <f>COUNTIFS('Degrémont Entrée'!$AP$14:$AP$379,"&gt;="&amp;N319,'Degrémont Entrée'!$A$14:$A$379,"&gt;="&amp;B301,'Degrémont Entrée'!$A$14:$A$379,"&lt;="&amp;EOMONTH(B301,0))</f>
        <v>5</v>
      </c>
      <c r="U319" s="1081">
        <f>T319/O319</f>
        <v>1</v>
      </c>
      <c r="V319" s="1082"/>
      <c r="W319" s="1083">
        <f>Parametres!$T$24</f>
        <v>1.6</v>
      </c>
      <c r="X319" s="1142">
        <f>COUNTIFS('Degrémont sortie'!$AJ$14:$AJ$379,"&gt;0",'Degrémont sortie'!$A$14:$A$379,"&gt;="&amp;B301,'Degrémont sortie'!$A$14:$A$379,"&lt;="&amp;EOMONTH(B301,0))</f>
        <v>5</v>
      </c>
      <c r="Y319" s="1085">
        <f>SUMIFS('Degrémont sortie'!$AJ$14:$AJ$379,'Degrémont sortie'!$AJ$14:$AJ$379,"&lt;&gt;0",'Degrémont sortie'!$A$14:$A$379,"&gt;="&amp;B301,'Degrémont sortie'!$A$14:$A$379,"&lt;="&amp;EOMONTH(B301,0))</f>
        <v>3.0999999999999996</v>
      </c>
      <c r="Z319" s="1069">
        <f>IF(X319=0,0,Y319/X319)</f>
        <v>0.61999999999999988</v>
      </c>
      <c r="AA319" s="1069" t="e">
        <f ca="1">MINIFS('Degrémont sortie'!$AJ$14:$AJ$379,'Degrémont sortie'!$AJ$14:$AJ$379,"&lt;&gt;0",'Degrémont sortie'!$A$14:$A$379,"&gt;="&amp;B301,'Degrémont sortie'!$A$14:$A$379,"&lt;="&amp;EOMONTH(B301,0))</f>
        <v>#NAME?</v>
      </c>
      <c r="AB319" s="1069" t="e">
        <f ca="1">MAXIFS('Degrémont sortie'!$AJ$14:$AJ$379,'Degrémont sortie'!$AJ$14:$AJ$379,"&lt;&gt;0",'Degrémont sortie'!$A$14:$A$379,"&gt;="&amp;B301,'Degrémont sortie'!$A$14:$A$379,"&lt;="&amp;EOMONTH(B301,0))</f>
        <v>#NAME?</v>
      </c>
      <c r="AC319" s="1142">
        <f>COUNTIFS('Degrémont sortie'!$AJ$14:$AJ$379,"&gt;="&amp;W319,'Degrémont sortie'!$A$14:$A$379,"&gt;="&amp;B301,'Degrémont sortie'!$A$14:$A$379,"&lt;="&amp;EOMONTH(B301,0))</f>
        <v>0</v>
      </c>
      <c r="AD319" s="1087">
        <f>AC319/X319</f>
        <v>0</v>
      </c>
      <c r="AE319" s="1082"/>
      <c r="AF319" s="1106"/>
      <c r="AG319" s="1106"/>
      <c r="AH319" s="1106"/>
      <c r="AI319" s="1106"/>
      <c r="AJ319" s="1106"/>
      <c r="AK319" s="1132"/>
      <c r="AL319" s="1106"/>
      <c r="AM319" s="1106"/>
      <c r="AN319" s="1106"/>
      <c r="AO319" s="1106"/>
      <c r="AP319" s="1119"/>
      <c r="AQ319" s="1132"/>
      <c r="AR319" s="1106"/>
      <c r="AS319" s="1106"/>
      <c r="AT319" s="1106"/>
      <c r="AU319" s="1106"/>
      <c r="AV319" s="1106"/>
      <c r="AW319" s="1119"/>
      <c r="AX319" s="1120"/>
      <c r="AY319" s="1094"/>
      <c r="AZ319" s="1095" t="e">
        <f t="shared" si="135"/>
        <v>#REF!</v>
      </c>
      <c r="BA319" s="2"/>
    </row>
    <row r="320" spans="1:53" ht="15.75" hidden="1" customHeight="1" outlineLevel="1">
      <c r="A320" s="1027"/>
      <c r="B320" s="1096"/>
      <c r="C320" s="1121" t="s">
        <v>169</v>
      </c>
      <c r="D320" s="1122">
        <f>Parametres!$D$25</f>
        <v>4</v>
      </c>
      <c r="E320" s="1068" t="e">
        <f>COUNTIFS(#REF!,"&gt;0",#REF!,"&gt;="&amp;B301,#REF!,"&lt;="&amp;EOMONTH(B301,0))</f>
        <v>#REF!</v>
      </c>
      <c r="F320" s="1069" t="e">
        <f>SUMIFS(#REF!,#REF!,"&lt;&gt;0",#REF!,"&gt;="&amp;B301,#REF!,"&lt;="&amp;EOMONTH(B301,0))</f>
        <v>#REF!</v>
      </c>
      <c r="G320" s="1069" t="e">
        <f t="shared" si="133"/>
        <v>#REF!</v>
      </c>
      <c r="H320" s="1070" t="e">
        <f ca="1">MINIFS(#REF!,#REF!,"&lt;&gt;0",#REF!,"&gt;="&amp;B301,#REF!,"&lt;="&amp;EOMONTH(B301,0))</f>
        <v>#NAME?</v>
      </c>
      <c r="I320" s="1078" t="e">
        <f ca="1">MAXIFS(#REF!,#REF!,"&lt;&gt;0",#REF!,"&gt;="&amp;B301,#REF!,"&lt;="&amp;EOMONTH(B301,0))</f>
        <v>#NAME?</v>
      </c>
      <c r="J320" s="1072" t="e">
        <f>COUNTIFS(#REF!,"&gt;="&amp;D320,#REF!,"&gt;="&amp;B301,#REF!,"&lt;="&amp;EOMONTH(B301,0))</f>
        <v>#REF!</v>
      </c>
      <c r="K320" s="1341" t="e">
        <f t="shared" si="140"/>
        <v>#REF!</v>
      </c>
      <c r="L320" s="1115"/>
      <c r="M320" s="1082"/>
      <c r="N320" s="1263"/>
      <c r="O320" s="1263"/>
      <c r="P320" s="1078"/>
      <c r="Q320" s="1078"/>
      <c r="R320" s="1078"/>
      <c r="S320" s="1078"/>
      <c r="T320" s="1264"/>
      <c r="U320" s="1264"/>
      <c r="V320" s="1082"/>
      <c r="W320" s="1106"/>
      <c r="X320" s="1106"/>
      <c r="Y320" s="1069"/>
      <c r="Z320" s="1069"/>
      <c r="AA320" s="1069"/>
      <c r="AB320" s="1069"/>
      <c r="AC320" s="1248"/>
      <c r="AD320" s="1249"/>
      <c r="AE320" s="1082"/>
      <c r="AF320" s="1106"/>
      <c r="AG320" s="1106"/>
      <c r="AH320" s="1106"/>
      <c r="AI320" s="1106"/>
      <c r="AJ320" s="1106"/>
      <c r="AK320" s="1132"/>
      <c r="AL320" s="1106"/>
      <c r="AM320" s="1106"/>
      <c r="AN320" s="1106"/>
      <c r="AO320" s="1106"/>
      <c r="AP320" s="1138"/>
      <c r="AQ320" s="1132"/>
      <c r="AR320" s="1106"/>
      <c r="AS320" s="1106"/>
      <c r="AT320" s="1106"/>
      <c r="AU320" s="1106"/>
      <c r="AV320" s="1106"/>
      <c r="AW320" s="1119"/>
      <c r="AX320" s="1120"/>
      <c r="AY320" s="1094"/>
      <c r="AZ320" s="1095" t="e">
        <f t="shared" si="135"/>
        <v>#REF!</v>
      </c>
      <c r="BA320" s="2"/>
    </row>
    <row r="321" spans="1:53" ht="15.75" hidden="1" customHeight="1" outlineLevel="1">
      <c r="A321" s="1027"/>
      <c r="B321" s="1096"/>
      <c r="C321" s="1139" t="s">
        <v>165</v>
      </c>
      <c r="D321" s="1122">
        <f>Parametres!$D$26</f>
        <v>10</v>
      </c>
      <c r="E321" s="1068" t="e">
        <f>COUNTIFS(#REF!,"&gt;0",#REF!,"&gt;="&amp;B301,#REF!,"&lt;="&amp;EOMONTH(B301,0))</f>
        <v>#REF!</v>
      </c>
      <c r="F321" s="1069" t="e">
        <f>SUMIFS(#REF!,#REF!,"&lt;&gt;0",#REF!,"&gt;="&amp;B301,#REF!,"&lt;="&amp;EOMONTH(B301,0))</f>
        <v>#REF!</v>
      </c>
      <c r="G321" s="1069" t="e">
        <f t="shared" si="133"/>
        <v>#REF!</v>
      </c>
      <c r="H321" s="1070" t="e">
        <f ca="1">MINIFS(#REF!,#REF!,"&lt;&gt;0",#REF!,"&gt;="&amp;B301,#REF!,"&lt;="&amp;EOMONTH(B301,0))</f>
        <v>#NAME?</v>
      </c>
      <c r="I321" s="1078" t="e">
        <f ca="1">MAXIFS(#REF!,#REF!,"&lt;&gt;0",#REF!,"&gt;="&amp;B301,#REF!,"&lt;="&amp;EOMONTH(B301,0))</f>
        <v>#NAME?</v>
      </c>
      <c r="J321" s="1114" t="e">
        <f>COUNTIFS(#REF!,"&gt;="&amp;D321,#REF!,"&gt;="&amp;B301,#REF!,"&lt;="&amp;EOMONTH(B301,0))</f>
        <v>#REF!</v>
      </c>
      <c r="K321" s="1341" t="e">
        <f t="shared" si="140"/>
        <v>#REF!</v>
      </c>
      <c r="L321" s="1115"/>
      <c r="M321" s="1075"/>
      <c r="N321" s="1265"/>
      <c r="O321" s="1265"/>
      <c r="P321" s="1266"/>
      <c r="Q321" s="1266"/>
      <c r="R321" s="1266"/>
      <c r="S321" s="1266"/>
      <c r="T321" s="1267"/>
      <c r="U321" s="1267"/>
      <c r="V321" s="1075"/>
      <c r="W321" s="1106"/>
      <c r="X321" s="1106"/>
      <c r="Y321" s="1069"/>
      <c r="Z321" s="1069"/>
      <c r="AA321" s="1069"/>
      <c r="AB321" s="1069"/>
      <c r="AC321" s="1248"/>
      <c r="AD321" s="1249"/>
      <c r="AE321" s="1082"/>
      <c r="AF321" s="1106"/>
      <c r="AG321" s="1106"/>
      <c r="AH321" s="1106"/>
      <c r="AI321" s="1106"/>
      <c r="AJ321" s="1106"/>
      <c r="AK321" s="1132"/>
      <c r="AL321" s="1106"/>
      <c r="AM321" s="1106"/>
      <c r="AN321" s="1106"/>
      <c r="AO321" s="1106"/>
      <c r="AP321" s="1138"/>
      <c r="AQ321" s="1132"/>
      <c r="AR321" s="1106"/>
      <c r="AS321" s="1106"/>
      <c r="AT321" s="1106"/>
      <c r="AU321" s="1106"/>
      <c r="AV321" s="1106"/>
      <c r="AW321" s="1119"/>
      <c r="AX321" s="1120"/>
      <c r="AY321" s="1094"/>
      <c r="AZ321" s="1095" t="e">
        <f t="shared" si="135"/>
        <v>#REF!</v>
      </c>
      <c r="BA321" s="2"/>
    </row>
    <row r="322" spans="1:53" ht="15.75" hidden="1" customHeight="1" outlineLevel="1">
      <c r="A322" s="1027"/>
      <c r="B322" s="1096"/>
      <c r="C322" s="1121" t="s">
        <v>23</v>
      </c>
      <c r="D322" s="1122">
        <f>Parametres!$D$27</f>
        <v>0.05</v>
      </c>
      <c r="E322" s="1068" t="e">
        <f>COUNTIFS(#REF!,"&gt;0",#REF!,"&gt;="&amp;B301,#REF!,"&lt;="&amp;EOMONTH(B301,0))</f>
        <v>#REF!</v>
      </c>
      <c r="F322" s="1069" t="e">
        <f>SUMIFS(#REF!,#REF!,"&lt;&gt;0",#REF!,"&gt;="&amp;B301,#REF!,"&lt;="&amp;EOMONTH(B301,0))</f>
        <v>#REF!</v>
      </c>
      <c r="G322" s="1069" t="e">
        <f t="shared" si="133"/>
        <v>#REF!</v>
      </c>
      <c r="H322" s="1070" t="e">
        <f ca="1">MINIFS(#REF!,#REF!,"&lt;&gt;0",#REF!,"&gt;="&amp;B301,#REF!,"&lt;="&amp;EOMONTH(B301,0))</f>
        <v>#NAME?</v>
      </c>
      <c r="I322" s="1078" t="e">
        <f ca="1">MAXIFS(#REF!,#REF!,"&lt;&gt;0",#REF!,"&gt;="&amp;B301,#REF!,"&lt;="&amp;EOMONTH(B301,0))</f>
        <v>#NAME?</v>
      </c>
      <c r="J322" s="1072" t="e">
        <f>COUNTIFS(#REF!,"&gt;="&amp;D322,#REF!,"&gt;="&amp;B301,#REF!,"&lt;="&amp;EOMONTH(B301,0))</f>
        <v>#REF!</v>
      </c>
      <c r="K322" s="1341" t="e">
        <f t="shared" si="140"/>
        <v>#REF!</v>
      </c>
      <c r="L322" s="1115"/>
      <c r="M322" s="1082"/>
      <c r="N322" s="1129"/>
      <c r="O322" s="1129"/>
      <c r="P322" s="1069"/>
      <c r="Q322" s="1069"/>
      <c r="R322" s="1069"/>
      <c r="S322" s="1069"/>
      <c r="T322" s="1143"/>
      <c r="U322" s="1143"/>
      <c r="V322" s="1132"/>
      <c r="W322" s="1106"/>
      <c r="X322" s="1106"/>
      <c r="Y322" s="1069"/>
      <c r="Z322" s="1069"/>
      <c r="AA322" s="1069"/>
      <c r="AB322" s="1069"/>
      <c r="AC322" s="1248"/>
      <c r="AD322" s="1249"/>
      <c r="AE322" s="1132"/>
      <c r="AF322" s="1106"/>
      <c r="AG322" s="1106"/>
      <c r="AH322" s="1106"/>
      <c r="AI322" s="1106"/>
      <c r="AJ322" s="1106"/>
      <c r="AK322" s="1132"/>
      <c r="AL322" s="1106"/>
      <c r="AM322" s="1106"/>
      <c r="AN322" s="1106"/>
      <c r="AO322" s="1106"/>
      <c r="AP322" s="1138"/>
      <c r="AQ322" s="1132"/>
      <c r="AR322" s="1106"/>
      <c r="AS322" s="1106"/>
      <c r="AT322" s="1106"/>
      <c r="AU322" s="1106"/>
      <c r="AV322" s="1106"/>
      <c r="AW322" s="1119"/>
      <c r="AX322" s="1120"/>
      <c r="AY322" s="1094"/>
      <c r="AZ322" s="1095" t="e">
        <f t="shared" si="135"/>
        <v>#REF!</v>
      </c>
      <c r="BA322" s="2"/>
    </row>
    <row r="323" spans="1:53" ht="15.75" hidden="1" customHeight="1" outlineLevel="1">
      <c r="A323" s="1027"/>
      <c r="B323" s="1096"/>
      <c r="C323" s="1139" t="s">
        <v>201</v>
      </c>
      <c r="D323" s="1122">
        <f>Parametres!$D$28</f>
        <v>8</v>
      </c>
      <c r="E323" s="1068" t="e">
        <f>COUNTIFS(#REF!,"&gt;0",#REF!,"&gt;="&amp;B301,#REF!,"&lt;="&amp;EOMONTH(B301,0))</f>
        <v>#REF!</v>
      </c>
      <c r="F323" s="1069" t="e">
        <f>SUMIFS(#REF!,#REF!,"&lt;&gt;0",#REF!,"&gt;="&amp;B301,#REF!,"&lt;="&amp;EOMONTH(B301,0))</f>
        <v>#REF!</v>
      </c>
      <c r="G323" s="1069" t="e">
        <f t="shared" si="133"/>
        <v>#REF!</v>
      </c>
      <c r="H323" s="1070" t="e">
        <f ca="1">MINIFS(#REF!,#REF!,"&lt;&gt;0",#REF!,"&gt;="&amp;B301,#REF!,"&lt;="&amp;EOMONTH(B301,0))</f>
        <v>#NAME?</v>
      </c>
      <c r="I323" s="1078" t="e">
        <f ca="1">MAXIFS(#REF!,#REF!,"&lt;&gt;0",#REF!,"&gt;="&amp;B301,#REF!,"&lt;="&amp;EOMONTH(B301,0))</f>
        <v>#NAME?</v>
      </c>
      <c r="J323" s="1114" t="e">
        <f>COUNTIFS(#REF!,"&gt;="&amp;D323,#REF!,"&gt;="&amp;B301,#REF!,"&lt;="&amp;EOMONTH(B301,0))</f>
        <v>#REF!</v>
      </c>
      <c r="K323" s="1341" t="e">
        <f t="shared" si="140"/>
        <v>#REF!</v>
      </c>
      <c r="L323" s="1115"/>
      <c r="M323" s="1082"/>
      <c r="N323" s="1171"/>
      <c r="O323" s="1171"/>
      <c r="P323" s="1173"/>
      <c r="Q323" s="1173"/>
      <c r="R323" s="1173"/>
      <c r="S323" s="1173"/>
      <c r="T323" s="1175"/>
      <c r="U323" s="1175"/>
      <c r="V323" s="1177"/>
      <c r="W323" s="1106"/>
      <c r="X323" s="1106"/>
      <c r="Y323" s="1069"/>
      <c r="Z323" s="1069"/>
      <c r="AA323" s="1069"/>
      <c r="AB323" s="1069"/>
      <c r="AC323" s="1248"/>
      <c r="AD323" s="1249"/>
      <c r="AE323" s="1082"/>
      <c r="AF323" s="1106"/>
      <c r="AG323" s="1106"/>
      <c r="AH323" s="1106"/>
      <c r="AI323" s="1106"/>
      <c r="AJ323" s="1106"/>
      <c r="AK323" s="1082"/>
      <c r="AL323" s="1205" t="e">
        <f>COUNTIFS(#REF!,"&gt;0",#REF!,"&gt;="&amp;B301,#REF!,"&lt;="&amp;EOMONTH(B301,0))</f>
        <v>#REF!</v>
      </c>
      <c r="AM323" s="1208" t="e">
        <f>SUMIFS(#REF!,#REF!,"&lt;&gt;0",#REF!,"&gt;="&amp;B301,#REF!,"&lt;="&amp;EOMONTH(B301,0))</f>
        <v>#REF!</v>
      </c>
      <c r="AN323" s="1208" t="e">
        <f>IF(AL323=0,0,AM323/AL323)</f>
        <v>#REF!</v>
      </c>
      <c r="AO323" s="1269" t="e">
        <f ca="1">MINIFS(#REF!,#REF!,"&lt;&gt;0",#REF!,"&gt;="&amp;B301,#REF!,"&lt;="&amp;EOMONTH(B301,0))</f>
        <v>#NAME?</v>
      </c>
      <c r="AP323" s="1269" t="e">
        <f ca="1">MAXIFS(#REF!,#REF!,"&lt;&gt;0",#REF!,"&gt;="&amp;B301,#REF!,"&lt;="&amp;EOMONTH(B301,0))</f>
        <v>#NAME?</v>
      </c>
      <c r="AQ323" s="1082"/>
      <c r="AR323" s="1220">
        <f>Parametres!$AM$28</f>
        <v>500</v>
      </c>
      <c r="AS323" s="1205" t="e">
        <f>COUNTIFS(#REF!,"&gt;0",#REF!,"&gt;="&amp;B301,#REF!,"&lt;="&amp;EOMONTH(B301,0))</f>
        <v>#REF!</v>
      </c>
      <c r="AT323" s="1208" t="e">
        <f>SUMIFS(#REF!,#REF!,"&lt;&gt;0",#REF!,"&gt;="&amp;B301,#REF!,"&lt;="&amp;EOMONTH(B301,0))</f>
        <v>#REF!</v>
      </c>
      <c r="AU323" s="1208" t="e">
        <f>IF(AS323=0,0,AT323/AS323)</f>
        <v>#REF!</v>
      </c>
      <c r="AV323" s="1208" t="e">
        <f ca="1">MINIFS(#REF!,#REF!,"&lt;&gt;0",#REF!,"&gt;="&amp;B301,#REF!,"&lt;="&amp;EOMONTH(B301,0))</f>
        <v>#NAME?</v>
      </c>
      <c r="AW323" s="1222" t="e">
        <f ca="1">MAXIFS(#REF!,#REF!,"&lt;&gt;0",#REF!,"&gt;="&amp;B301,#REF!,"&lt;="&amp;EOMONTH(B301,0))</f>
        <v>#NAME?</v>
      </c>
      <c r="AX323" s="1223" t="e">
        <f>COUNTIFS(#REF!,"&gt;="&amp;AR323,#REF!,"&gt;="&amp;B301,#REF!,"&lt;="&amp;EOMONTH(B301,0))</f>
        <v>#REF!</v>
      </c>
      <c r="AY323" s="1224" t="e">
        <f>AX323/AS323</f>
        <v>#REF!</v>
      </c>
      <c r="AZ323" s="1095" t="e">
        <f t="shared" si="135"/>
        <v>#REF!</v>
      </c>
      <c r="BA323" s="2"/>
    </row>
    <row r="324" spans="1:53" ht="15.75" hidden="1" customHeight="1" outlineLevel="1">
      <c r="A324" s="1027"/>
      <c r="B324" s="1096"/>
      <c r="C324" s="1121" t="s">
        <v>333</v>
      </c>
      <c r="D324" s="1122">
        <f>Parametres!$D$29</f>
        <v>0.3</v>
      </c>
      <c r="E324" s="1068" t="e">
        <f>COUNTIFS(#REF!,"&gt;0",#REF!,"&gt;="&amp;B301,#REF!,"&lt;="&amp;EOMONTH(B301,0))</f>
        <v>#REF!</v>
      </c>
      <c r="F324" s="1069" t="e">
        <f>SUMIFS(#REF!,#REF!,"&lt;&gt;0",#REF!,"&gt;="&amp;B301,#REF!,"&lt;="&amp;EOMONTH(B301,0))</f>
        <v>#REF!</v>
      </c>
      <c r="G324" s="1069" t="e">
        <f t="shared" si="133"/>
        <v>#REF!</v>
      </c>
      <c r="H324" s="1070" t="e">
        <f ca="1">MINIFS(#REF!,#REF!,"&lt;&gt;0",#REF!,"&gt;="&amp;B301,#REF!,"&lt;="&amp;EOMONTH(B301,0))</f>
        <v>#NAME?</v>
      </c>
      <c r="I324" s="1069" t="e">
        <f ca="1">MAXIFS(#REF!,#REF!,"&lt;&gt;0",#REF!,"&gt;="&amp;B301,#REF!,"&lt;="&amp;EOMONTH(B301,0))</f>
        <v>#NAME?</v>
      </c>
      <c r="J324" s="1072" t="e">
        <f>COUNTIFS(#REF!,"&gt;="&amp;D324,#REF!,"&gt;="&amp;B301,#REF!,"&lt;="&amp;EOMONTH(B301,0))</f>
        <v>#REF!</v>
      </c>
      <c r="K324" s="1341" t="e">
        <f t="shared" si="140"/>
        <v>#REF!</v>
      </c>
      <c r="L324" s="1099"/>
      <c r="M324" s="1132"/>
      <c r="N324" s="1102"/>
      <c r="O324" s="1102"/>
      <c r="P324" s="1069"/>
      <c r="Q324" s="1069"/>
      <c r="R324" s="1069"/>
      <c r="S324" s="1069"/>
      <c r="T324" s="1270"/>
      <c r="U324" s="1270"/>
      <c r="V324" s="1132"/>
      <c r="W324" s="1106"/>
      <c r="X324" s="1106"/>
      <c r="Y324" s="1069"/>
      <c r="Z324" s="1069"/>
      <c r="AA324" s="1069"/>
      <c r="AB324" s="1069"/>
      <c r="AC324" s="1248"/>
      <c r="AD324" s="1249"/>
      <c r="AE324" s="1132"/>
      <c r="AF324" s="1106"/>
      <c r="AG324" s="1106"/>
      <c r="AH324" s="1106"/>
      <c r="AI324" s="1106"/>
      <c r="AJ324" s="1106"/>
      <c r="AK324" s="1082"/>
      <c r="AL324" s="1117"/>
      <c r="AM324" s="1117"/>
      <c r="AN324" s="1117"/>
      <c r="AO324" s="1117"/>
      <c r="AP324" s="1117"/>
      <c r="AQ324" s="1082"/>
      <c r="AR324" s="1106"/>
      <c r="AS324" s="1106"/>
      <c r="AT324" s="1106"/>
      <c r="AU324" s="1106"/>
      <c r="AV324" s="1106"/>
      <c r="AW324" s="1119"/>
      <c r="AX324" s="1120"/>
      <c r="AY324" s="1094"/>
      <c r="AZ324" s="1095" t="e">
        <f t="shared" si="135"/>
        <v>#REF!</v>
      </c>
      <c r="BA324" s="2"/>
    </row>
    <row r="325" spans="1:53" ht="15.75" hidden="1" customHeight="1" outlineLevel="1">
      <c r="A325" s="1027"/>
      <c r="B325" s="1096"/>
      <c r="C325" s="1139" t="s">
        <v>46</v>
      </c>
      <c r="D325" s="1122">
        <f>Parametres!$D$30</f>
        <v>1</v>
      </c>
      <c r="E325" s="1068" t="e">
        <f>COUNTIFS(#REF!,"&gt;0",#REF!,"&gt;="&amp;B301,#REF!,"&lt;="&amp;EOMONTH(B301,0))</f>
        <v>#REF!</v>
      </c>
      <c r="F325" s="1069" t="e">
        <f>SUMIFS(#REF!,#REF!,"&lt;&gt;0",#REF!,"&gt;="&amp;B301,#REF!,"&lt;="&amp;EOMONTH(B301,0))</f>
        <v>#REF!</v>
      </c>
      <c r="G325" s="1069" t="e">
        <f t="shared" si="133"/>
        <v>#REF!</v>
      </c>
      <c r="H325" s="1070" t="e">
        <f ca="1">MINIFS(#REF!,#REF!,"&lt;&gt;0",#REF!,"&gt;="&amp;B301,#REF!,"&lt;="&amp;EOMONTH(B301,0))</f>
        <v>#NAME?</v>
      </c>
      <c r="I325" s="1266" t="e">
        <f ca="1">MAXIFS(#REF!,#REF!,"&lt;&gt;0",#REF!,"&gt;="&amp;B301,#REF!,"&lt;="&amp;EOMONTH(B301,0))</f>
        <v>#NAME?</v>
      </c>
      <c r="J325" s="1072" t="e">
        <f>COUNTIFS(#REF!,"&gt;="&amp;D325,#REF!,"&gt;="&amp;B301,#REF!,"&lt;="&amp;EOMONTH(B301,0))</f>
        <v>#REF!</v>
      </c>
      <c r="K325" s="1341" t="e">
        <f t="shared" si="140"/>
        <v>#REF!</v>
      </c>
      <c r="L325" s="1273"/>
      <c r="M325" s="1274"/>
      <c r="N325" s="1144">
        <f>Parametres!$L$30</f>
        <v>40</v>
      </c>
      <c r="O325" s="1077">
        <f>COUNTIFS('Degrémont Entrée'!$AV$14:$AV$379,"&gt;0",'Degrémont Entrée'!$A$14:$A$379,"&gt;="&amp;B301,'Degrémont Entrée'!$A$14:$A$379,"&lt;="&amp;EOMONTH(B301,0))</f>
        <v>5</v>
      </c>
      <c r="P325" s="1078">
        <f>SUMIFS('Degrémont Entrée'!$AV$14:$AV$379,'Degrémont Entrée'!$AV$14:$AV$379,"&lt;&gt;0",'Degrémont Entrée'!$A$14:$A$379,"&gt;="&amp;B301,'Degrémont Entrée'!$A$14:$A$379,"&lt;="&amp;EOMONTH(B301,0))</f>
        <v>150.37</v>
      </c>
      <c r="Q325" s="1266">
        <f t="shared" ref="Q325:Q326" si="141">IF(O325=0,0,P325/O325)</f>
        <v>30.074000000000002</v>
      </c>
      <c r="R325" s="1266" t="e">
        <f ca="1">MINIFS('Degrémont Entrée'!$AV$14:$AV$379,'Degrémont Entrée'!$AV$14:$AV$379,"&lt;&gt;0",'Degrémont Entrée'!$A$14:$A$379,"&gt;="&amp;B301,'Degrémont Entrée'!$A$14:$A$379,"&lt;="&amp;EOMONTH(B301,0))</f>
        <v>#NAME?</v>
      </c>
      <c r="S325" s="1266" t="e">
        <f ca="1">MAXIFS('Degrémont Entrée'!$AV$14:$AV$379,'Degrémont Entrée'!$AV$14:$AV$379,"&lt;&gt;0",'Degrémont Entrée'!$A$14:$A$379,"&gt;="&amp;B301,'Degrémont Entrée'!$A$14:$A$379,"&lt;="&amp;EOMONTH(B301,0))</f>
        <v>#NAME?</v>
      </c>
      <c r="T325" s="1276">
        <f>COUNTIFS('Degrémont Entrée'!$AV$14:$AV$379,"&gt;="&amp;N325,'Degrémont Entrée'!$A$14:$A$379,"&gt;="&amp;B301,'Degrémont Entrée'!$A$14:$A$379,"&lt;="&amp;EOMONTH(B301,0))</f>
        <v>1</v>
      </c>
      <c r="U325" s="1081">
        <f t="shared" ref="U325:U326" si="142">T325/O325</f>
        <v>0.2</v>
      </c>
      <c r="V325" s="1075"/>
      <c r="W325" s="1083">
        <f>Parametres!$T$30</f>
        <v>0.8</v>
      </c>
      <c r="X325" s="1142">
        <f>COUNTIFS('Degrémont sortie'!$AP$14:$AP$379,"&gt;0",'Degrémont sortie'!$A$14:$A$379,"&gt;="&amp;B301,'Degrémont sortie'!$A$14:$A$379,"&lt;="&amp;EOMONTH(B301,0))</f>
        <v>5</v>
      </c>
      <c r="Y325" s="1085">
        <f>SUMIFS('Degrémont sortie'!$AP$14:$AP$379,'Degrémont sortie'!$AP$14:$AP$379,"&lt;&gt;0",'Degrémont sortie'!$A$14:$A$379,"&gt;="&amp;B301,'Degrémont sortie'!$A$14:$A$379,"&lt;="&amp;EOMONTH(B301,0))</f>
        <v>1.19</v>
      </c>
      <c r="Z325" s="1069">
        <f t="shared" ref="Z325:Z327" si="143">IF(X325=0,0,Y325/X325)</f>
        <v>0.23799999999999999</v>
      </c>
      <c r="AA325" s="1277" t="e">
        <f ca="1">MINIFS('Degrémont sortie'!$AP$14:$AP$379,'Degrémont sortie'!$AP$14:$AP$379,"&lt;&gt;0",'Degrémont sortie'!$A$14:$A$379,"&gt;="&amp;B301,'Degrémont sortie'!$A$14:$A$379,"&lt;="&amp;EOMONTH(B301,0))</f>
        <v>#NAME?</v>
      </c>
      <c r="AB325" s="1069" t="e">
        <f ca="1">MAXIFS('Degrémont sortie'!$AP$14:$AP$379,'Degrémont sortie'!$AP$14:$AP$379,"&lt;&gt;0",'Degrémont sortie'!$A$14:$A$379,"&gt;="&amp;B301,'Degrémont sortie'!$A$14:$A$379,"&lt;="&amp;EOMONTH(B301,0))</f>
        <v>#NAME?</v>
      </c>
      <c r="AC325" s="1142">
        <f>COUNTIFS('Degrémont sortie'!$AP$14:$AP$379,"&gt;="&amp;W325,'Degrémont sortie'!$A$14:$A$379,"&gt;="&amp;B301,'Degrémont sortie'!$A$14:$A$379,"&lt;="&amp;EOMONTH(B301,0))</f>
        <v>0</v>
      </c>
      <c r="AD325" s="1087">
        <f t="shared" ref="AD325:AD326" si="144">AC325/X325</f>
        <v>0</v>
      </c>
      <c r="AE325" s="1075"/>
      <c r="AF325" s="1278"/>
      <c r="AG325" s="1278"/>
      <c r="AH325" s="1278"/>
      <c r="AI325" s="1278"/>
      <c r="AJ325" s="1278"/>
      <c r="AK325" s="1279"/>
      <c r="AL325" s="1278"/>
      <c r="AM325" s="1278"/>
      <c r="AN325" s="1278"/>
      <c r="AO325" s="1278"/>
      <c r="AP325" s="1278"/>
      <c r="AQ325" s="1279"/>
      <c r="AR325" s="1278"/>
      <c r="AS325" s="1278"/>
      <c r="AT325" s="1278"/>
      <c r="AU325" s="1278"/>
      <c r="AV325" s="1278"/>
      <c r="AW325" s="1278"/>
      <c r="AX325" s="1280"/>
      <c r="AY325" s="1094"/>
      <c r="AZ325" s="1095" t="e">
        <f t="shared" si="135"/>
        <v>#REF!</v>
      </c>
      <c r="BA325" s="2"/>
    </row>
    <row r="326" spans="1:53" ht="15.75" hidden="1" customHeight="1" outlineLevel="1">
      <c r="A326" s="1027"/>
      <c r="B326" s="1096"/>
      <c r="C326" s="1139" t="s">
        <v>34</v>
      </c>
      <c r="D326" s="1122">
        <f>Parametres!$D$32</f>
        <v>400</v>
      </c>
      <c r="E326" s="1068" t="e">
        <f>COUNTIFS(#REF!,"&gt;0",#REF!,"&gt;="&amp;B301,#REF!,"&lt;="&amp;EOMONTH(B301,0))</f>
        <v>#REF!</v>
      </c>
      <c r="F326" s="1069" t="e">
        <f>SUMIFS(#REF!,#REF!,"&lt;&gt;0",#REF!,"&gt;="&amp;B301,#REF!,"&lt;="&amp;EOMONTH(B301,0))</f>
        <v>#REF!</v>
      </c>
      <c r="G326" s="1069" t="e">
        <f t="shared" si="133"/>
        <v>#REF!</v>
      </c>
      <c r="H326" s="1070" t="e">
        <f ca="1">MINIFS(#REF!,#REF!,"&lt;&gt;0",#REF!,"&gt;="&amp;B301,#REF!,"&lt;="&amp;EOMONTH(B301,0))</f>
        <v>#NAME?</v>
      </c>
      <c r="I326" s="1069" t="e">
        <f ca="1">MAXIFS(#REF!,#REF!,"&lt;&gt;0",#REF!,"&gt;="&amp;B301,#REF!,"&lt;="&amp;EOMONTH(B301,0))</f>
        <v>#NAME?</v>
      </c>
      <c r="J326" s="1114" t="e">
        <f>COUNTIFS(#REF!,"&gt;="&amp;D326,#REF!,"&gt;="&amp;B301,#REF!,"&lt;="&amp;EOMONTH(B301,0))</f>
        <v>#REF!</v>
      </c>
      <c r="K326" s="1341" t="e">
        <f t="shared" si="140"/>
        <v>#REF!</v>
      </c>
      <c r="L326" s="1281"/>
      <c r="M326" s="1282"/>
      <c r="N326" s="1144">
        <f>Parametres!$L$32</f>
        <v>4000</v>
      </c>
      <c r="O326" s="1077">
        <f>COUNTIFS('Degrémont Entrée'!$G$14:$G$379,"&gt;0",'Degrémont Entrée'!$A$14:$A$379,"&gt;="&amp;B301,'Degrémont Entrée'!$A$14:$A$379,"&lt;="&amp;EOMONTH(B301,0))</f>
        <v>28</v>
      </c>
      <c r="P326" s="1078">
        <f>SUMIFS('Degrémont Entrée'!$G$14:$G$379,'Degrémont Entrée'!$G$14:$G$379,"&lt;&gt;0",'Degrémont Entrée'!$A$14:$A$379,"&gt;="&amp;B301,'Degrémont Entrée'!$A$14:$A$379,"&lt;="&amp;EOMONTH(B301,0))</f>
        <v>224641.65108958367</v>
      </c>
      <c r="Q326" s="1283">
        <f t="shared" si="141"/>
        <v>8022.9161103422739</v>
      </c>
      <c r="R326" s="1069" t="e">
        <f ca="1">MINIFS('Degrémont Entrée'!$G$14:$G$379,'Degrémont Entrée'!$G$14:$G$379,"&lt;&gt;0",'Degrémont Entrée'!$A$14:$A$379,"&gt;="&amp;B301,'Degrémont Entrée'!$A$14:$A$379,"&lt;="&amp;EOMONTH(B301,0))</f>
        <v>#NAME?</v>
      </c>
      <c r="S326" s="1284" t="e">
        <f ca="1">MAXIFS('Degrémont Entrée'!$G$14:$G$379,'Degrémont Entrée'!$G$14:$G$379,"&lt;&gt;0",'Degrémont Entrée'!$A$14:$A$379,"&gt;="&amp;B301,'Degrémont Entrée'!$A$14:$A$379,"&lt;="&amp;EOMONTH(B301,0))</f>
        <v>#NAME?</v>
      </c>
      <c r="T326" s="1141">
        <f>COUNTIFS('Degrémont Entrée'!$G$14:$G$379,"&gt;="&amp;N326,'Degrémont Entrée'!$A$14:$A$379,"&gt;="&amp;B301,'Degrémont Entrée'!$A$14:$A$379,"&lt;="&amp;EOMONTH(B301,0))</f>
        <v>19</v>
      </c>
      <c r="U326" s="1081">
        <f t="shared" si="142"/>
        <v>0.6785714285714286</v>
      </c>
      <c r="V326" s="1285"/>
      <c r="W326" s="1083">
        <f>Parametres!$T$32</f>
        <v>55</v>
      </c>
      <c r="X326" s="1142">
        <f>COUNTIFS('Degrémont sortie'!$G$14:$G$379,"&gt;0",'Degrémont sortie'!$A$14:$A$379,"&gt;="&amp;B301,'Degrémont sortie'!$A$14:$A$379,"&lt;="&amp;EOMONTH(B301,0))</f>
        <v>28</v>
      </c>
      <c r="Y326" s="1085">
        <f>SUMIFS('Degrémont sortie'!$G$14:$G$379,'Degrémont sortie'!$G$14:$G$379,"&lt;&gt;0",'Degrémont sortie'!$A$14:$A$379,"&gt;="&amp;B301,'Degrémont sortie'!$A$14:$A$379,"&lt;="&amp;EOMONTH(B301,0))</f>
        <v>936.80525030525041</v>
      </c>
      <c r="Z326" s="1069">
        <f t="shared" si="143"/>
        <v>33.457330368044659</v>
      </c>
      <c r="AA326" s="1286" t="e">
        <f ca="1">MINIFS('Degrémont sortie'!$G$14:$G$379,'Degrémont sortie'!$G$14:G$379,"&lt;&gt;0",'Degrémont sortie'!$A$14:$A$379,"&gt;="&amp;B301,'Degrémont sortie'!$A$14:$A$379,"&lt;="&amp;EOMONTH(B301,0))</f>
        <v>#NAME?</v>
      </c>
      <c r="AB326" s="1286" t="e">
        <f ca="1">MAXIFS('Degrémont sortie'!$G$14:$G$379,'Degrémont sortie'!$G$14:$G$379,"&lt;&gt;0",'Degrémont sortie'!$A$14:$A$379,"&gt;="&amp;B301,'Degrémont sortie'!$A$14:$A$379,"&lt;="&amp;EOMONTH(B301,0))</f>
        <v>#NAME?</v>
      </c>
      <c r="AC326" s="1141">
        <f>COUNTIFS('Degrémont sortie'!$G$14:$G$379,"&gt;="&amp;W326,'Degrémont sortie'!$A$14:$A$379,"&gt;="&amp;B301,'Degrémont sortie'!$A$14:$A$379,"&lt;="&amp;EOMONTH(B301,0))</f>
        <v>3</v>
      </c>
      <c r="AD326" s="1087">
        <f t="shared" si="144"/>
        <v>0.10714285714285714</v>
      </c>
      <c r="AE326" s="1285"/>
      <c r="AF326" s="1205" t="e">
        <f>COUNTIFS(#REF!,"&gt;0",#REF!,"&gt;="&amp;B301,#REF!,"&lt;="&amp;EOMONTH(B301,0))</f>
        <v>#REF!</v>
      </c>
      <c r="AG326" s="1208" t="e">
        <f>SUMIFS(#REF!,#REF!,"&lt;&gt;0",#REF!,"&gt;="&amp;B301,#REF!,"&lt;="&amp;EOMONTH(B301,0))</f>
        <v>#REF!</v>
      </c>
      <c r="AH326" s="1208" t="e">
        <f>IF(AF326=0,0,AG326/AF326)</f>
        <v>#REF!</v>
      </c>
      <c r="AI326" s="1208" t="e">
        <f ca="1">MINIFS(#REF!,#REF!,"&lt;&gt;0",#REF!,"&gt;="&amp;B301,#REF!,"&lt;="&amp;EOMONTH(B301,0))</f>
        <v>#NAME?</v>
      </c>
      <c r="AJ326" s="1208" t="e">
        <f ca="1">MAXIFS(#REF!,#REF!,"&lt;&gt;0",#REF!,"&gt;="&amp;B301,#REF!,"&lt;="&amp;EOMONTH(B301,0))</f>
        <v>#NAME?</v>
      </c>
      <c r="AK326" s="1285"/>
      <c r="AL326" s="1205" t="e">
        <f>COUNTIFS(#REF!,"&gt;0",#REF!,"&gt;="&amp;B301,#REF!,"&lt;="&amp;EOMONTH(B301,0))</f>
        <v>#REF!</v>
      </c>
      <c r="AM326" s="1208" t="e">
        <f>SUMIFS(#REF!,#REF!,"&lt;&gt;0",#REF!,"&gt;="&amp;B301,#REF!,"&lt;="&amp;EOMONTH(B301,0))</f>
        <v>#REF!</v>
      </c>
      <c r="AN326" s="1208" t="e">
        <f>IF(AL326=0,0,AM326/AL326)</f>
        <v>#REF!</v>
      </c>
      <c r="AO326" s="1141" t="e">
        <f ca="1">MINIFS(#REF!,#REF!,"&lt;&gt;0",#REF!,"&gt;="&amp;B301,#REF!,"&lt;="&amp;EOMONTH(B301,0))</f>
        <v>#NAME?</v>
      </c>
      <c r="AP326" s="1141" t="e">
        <f ca="1">MAXIFS(#REF!,#REF!,"&lt;&gt;0",#REF!,"&gt;="&amp;B301,#REF!,"&lt;="&amp;EOMONTH(B301,0))</f>
        <v>#NAME?</v>
      </c>
      <c r="AQ326" s="1285"/>
      <c r="AR326" s="1220">
        <f>Parametres!$AM$32</f>
        <v>2600</v>
      </c>
      <c r="AS326" s="1205" t="e">
        <f>COUNTIFS(#REF!,"&gt;0",#REF!,"&gt;="&amp;B301,#REF!,"&lt;="&amp;EOMONTH(B301,0))</f>
        <v>#REF!</v>
      </c>
      <c r="AT326" s="1208" t="e">
        <f>SUMIFS(#REF!,#REF!,"&lt;&gt;0",#REF!,"&gt;="&amp;B301,#REF!,"&lt;="&amp;EOMONTH(B301,0))</f>
        <v>#REF!</v>
      </c>
      <c r="AU326" s="1208" t="e">
        <f>IF(AS326=0,0,AT326/AS326)</f>
        <v>#REF!</v>
      </c>
      <c r="AV326" s="1287" t="e">
        <f ca="1">MINIFS(#REF!,#REF!,"&lt;&gt;0",#REF!,"&gt;="&amp;B301,#REF!,"&lt;="&amp;EOMONTH(B301,0))</f>
        <v>#NAME?</v>
      </c>
      <c r="AW326" s="1141" t="e">
        <f ca="1">MAXIFS(#REF!,#REF!,"&lt;&gt;0",#REF!,"&gt;="&amp;B301,#REF!,"&lt;="&amp;EOMONTH(B301,0))</f>
        <v>#NAME?</v>
      </c>
      <c r="AX326" s="1288" t="e">
        <f>COUNTIFS(#REF!,"&gt;="&amp;AR326,#REF!,"&gt;="&amp;B301,#REF!,"&lt;="&amp;EOMONTH(B301,0))</f>
        <v>#REF!</v>
      </c>
      <c r="AY326" s="1224" t="e">
        <f>AX326/AS326</f>
        <v>#REF!</v>
      </c>
      <c r="AZ326" s="1095" t="e">
        <f t="shared" si="135"/>
        <v>#REF!</v>
      </c>
      <c r="BA326" s="2"/>
    </row>
    <row r="327" spans="1:53" ht="15.75" hidden="1" customHeight="1" outlineLevel="1">
      <c r="A327" s="1027"/>
      <c r="B327" s="1096"/>
      <c r="C327" s="1139" t="s">
        <v>118</v>
      </c>
      <c r="D327" s="1122">
        <f>Parametres!$D$33</f>
        <v>75</v>
      </c>
      <c r="E327" s="1068" t="e">
        <f>COUNTIFS(#REF!,"&gt;0",#REF!,"&gt;="&amp;B301,#REF!,"&lt;="&amp;EOMONTH(B301,0))</f>
        <v>#REF!</v>
      </c>
      <c r="F327" s="1069" t="e">
        <f>SUMIFS(#REF!,#REF!,"&lt;&gt;0",#REF!,"&gt;="&amp;B301,#REF!,"&lt;="&amp;EOMONTH(B301,0))</f>
        <v>#REF!</v>
      </c>
      <c r="G327" s="1069" t="e">
        <f t="shared" si="133"/>
        <v>#REF!</v>
      </c>
      <c r="H327" s="1070" t="e">
        <f ca="1">MINIFS(#REF!,#REF!,"&lt;&gt;0",#REF!,"&gt;="&amp;B301,#REF!,"&lt;="&amp;EOMONTH(B301,0))</f>
        <v>#NAME?</v>
      </c>
      <c r="I327" s="1069" t="e">
        <f ca="1">MAXIFS(#REF!,#REF!,"&lt;&gt;0",#REF!,"&gt;="&amp;B301,#REF!,"&lt;="&amp;EOMONTH(B301,0))</f>
        <v>#NAME?</v>
      </c>
      <c r="J327" s="1114" t="e">
        <f>COUNTIFS(#REF!,"&gt;="&amp;D327,#REF!,"&gt;="&amp;B301,#REF!,"&lt;="&amp;EOMONTH(B301,0))</f>
        <v>#REF!</v>
      </c>
      <c r="K327" s="1341" t="e">
        <f t="shared" si="140"/>
        <v>#REF!</v>
      </c>
      <c r="L327" s="1281"/>
      <c r="M327" s="1289"/>
      <c r="N327" s="1290"/>
      <c r="O327" s="1290"/>
      <c r="P327" s="1286"/>
      <c r="Q327" s="1283"/>
      <c r="R327" s="1286"/>
      <c r="S327" s="1286"/>
      <c r="T327" s="1290"/>
      <c r="U327" s="1290"/>
      <c r="V327" s="1285"/>
      <c r="W327" s="1083">
        <f>Parametres!$T$33</f>
        <v>150</v>
      </c>
      <c r="X327" s="1142">
        <f>COUNTIFS('Degrémont sortie'!$X$14:$X$379,"&gt;0",'Degrémont sortie'!$A$14:$A$379,"&gt;="&amp;B301,'Degrémont sortie'!$A$14:$A$379,"&lt;="&amp;EOMONTH(B301,0))</f>
        <v>4</v>
      </c>
      <c r="Y327" s="1085">
        <f>SUMIFS('Degrémont sortie'!$X$14:$X$379,'Degrémont sortie'!$X$14:$X$379,"&lt;&gt;0",'Degrémont sortie'!$A$14:$A$379,"&gt;="&amp;B301,'Degrémont sortie'!$A$14:$A$379,"&lt;="&amp;EOMONTH(B301,0))</f>
        <v>49.7</v>
      </c>
      <c r="Z327" s="1069">
        <f t="shared" si="143"/>
        <v>12.425000000000001</v>
      </c>
      <c r="AA327" s="1286" t="e">
        <f ca="1">MINIFS('Degrémont sortie'!$X$14:$X$379,'Degrémont sortie'!$X$14:$X$379,"&lt;&gt;0",'Degrémont sortie'!$A$14:$A$379,"&gt;="&amp;B301,'Degrémont sortie'!$A$14:$A$379,"&lt;="&amp;EOMONTH(B301,0))</f>
        <v>#NAME?</v>
      </c>
      <c r="AB327" s="1286" t="e">
        <f ca="1">MAXIFS('Degrémont sortie'!$X$14:$X$379,'Degrémont sortie'!$X$14:$X$379,"&lt;&gt;0",'Degrémont sortie'!$A$14:$A$379,"&gt;="&amp;B301,'Degrémont sortie'!$A$14:$A$379,"&lt;="&amp;EOMONTH(B301,0))</f>
        <v>#NAME?</v>
      </c>
      <c r="AC327" s="1291" t="s">
        <v>153</v>
      </c>
      <c r="AD327" s="1292" t="s">
        <v>153</v>
      </c>
      <c r="AE327" s="1285"/>
      <c r="AF327" s="1293"/>
      <c r="AG327" s="1293"/>
      <c r="AH327" s="1293"/>
      <c r="AI327" s="1293"/>
      <c r="AJ327" s="1293"/>
      <c r="AK327" s="1285"/>
      <c r="AL327" s="1293"/>
      <c r="AM327" s="1293"/>
      <c r="AN327" s="1293"/>
      <c r="AO327" s="1293"/>
      <c r="AP327" s="1293"/>
      <c r="AQ327" s="1285"/>
      <c r="AR327" s="1293"/>
      <c r="AS327" s="1293"/>
      <c r="AT327" s="1293"/>
      <c r="AU327" s="1293"/>
      <c r="AV327" s="1293"/>
      <c r="AW327" s="1293"/>
      <c r="AX327" s="1294"/>
      <c r="AY327" s="1295"/>
      <c r="AZ327" s="1095" t="e">
        <f t="shared" si="135"/>
        <v>#REF!</v>
      </c>
      <c r="BA327" s="2"/>
    </row>
    <row r="328" spans="1:53" ht="15.75" hidden="1" customHeight="1" outlineLevel="1">
      <c r="A328" s="1027"/>
      <c r="B328" s="1096"/>
      <c r="C328" s="1139" t="s">
        <v>285</v>
      </c>
      <c r="D328" s="1122">
        <f>Parametres!$D$34</f>
        <v>10000000</v>
      </c>
      <c r="E328" s="1068" t="e">
        <f>COUNTIFS(#REF!,"&gt;0",#REF!,"&gt;="&amp;B301,#REF!,"&lt;="&amp;EOMONTH(B301,0))</f>
        <v>#REF!</v>
      </c>
      <c r="F328" s="1069" t="e">
        <f>SUMIFS(#REF!,#REF!,"&lt;&gt;0",#REF!,"&gt;="&amp;B301,#REF!,"&lt;="&amp;EOMONTH(B301,0))</f>
        <v>#REF!</v>
      </c>
      <c r="G328" s="1069" t="e">
        <f t="shared" si="133"/>
        <v>#REF!</v>
      </c>
      <c r="H328" s="1070" t="e">
        <f ca="1">MINIFS(#REF!,#REF!,"&lt;&gt;0",#REF!,"&gt;="&amp;B301,#REF!,"&lt;="&amp;EOMONTH(B301,0))</f>
        <v>#NAME?</v>
      </c>
      <c r="I328" s="1069" t="e">
        <f ca="1">MAXIFS(#REF!,#REF!,"&lt;&gt;0",#REF!,"&gt;="&amp;B301,#REF!,"&lt;="&amp;EOMONTH(B301,0))</f>
        <v>#NAME?</v>
      </c>
      <c r="J328" s="1072" t="s">
        <v>153</v>
      </c>
      <c r="K328" s="1072" t="s">
        <v>153</v>
      </c>
      <c r="L328" s="1281"/>
      <c r="M328" s="1289"/>
      <c r="N328" s="1290"/>
      <c r="O328" s="1290"/>
      <c r="P328" s="1286"/>
      <c r="Q328" s="1283"/>
      <c r="R328" s="1286"/>
      <c r="S328" s="1286"/>
      <c r="T328" s="1290"/>
      <c r="U328" s="1290"/>
      <c r="V328" s="1285"/>
      <c r="W328" s="1293"/>
      <c r="X328" s="1293"/>
      <c r="Y328" s="1286"/>
      <c r="Z328" s="1286"/>
      <c r="AA328" s="1286"/>
      <c r="AB328" s="1286"/>
      <c r="AC328" s="1293"/>
      <c r="AD328" s="1249"/>
      <c r="AE328" s="1285"/>
      <c r="AF328" s="1293"/>
      <c r="AG328" s="1293"/>
      <c r="AH328" s="1293"/>
      <c r="AI328" s="1293"/>
      <c r="AJ328" s="1293"/>
      <c r="AK328" s="1285"/>
      <c r="AL328" s="1293"/>
      <c r="AM328" s="1293"/>
      <c r="AN328" s="1293"/>
      <c r="AO328" s="1293"/>
      <c r="AP328" s="1293"/>
      <c r="AQ328" s="1285"/>
      <c r="AR328" s="1293"/>
      <c r="AS328" s="1293"/>
      <c r="AT328" s="1293"/>
      <c r="AU328" s="1293"/>
      <c r="AV328" s="1293"/>
      <c r="AW328" s="1293"/>
      <c r="AX328" s="1294"/>
      <c r="AY328" s="1295"/>
      <c r="AZ328" s="1095" t="e">
        <f t="shared" si="135"/>
        <v>#REF!</v>
      </c>
      <c r="BA328" s="2"/>
    </row>
    <row r="329" spans="1:53" ht="15.75" hidden="1" customHeight="1" outlineLevel="1">
      <c r="A329" s="1027"/>
      <c r="B329" s="1096"/>
      <c r="C329" s="1139" t="s">
        <v>48</v>
      </c>
      <c r="D329" s="1122">
        <f>Parametres!$D$35</f>
        <v>0.5</v>
      </c>
      <c r="E329" s="1068" t="e">
        <f>COUNTIFS(#REF!,"&gt;0",#REF!,"&gt;="&amp;B301,#REF!,"&lt;="&amp;EOMONTH(B301,0))</f>
        <v>#REF!</v>
      </c>
      <c r="F329" s="1069" t="e">
        <f>SUMIFS(#REF!,#REF!,"&lt;&gt;0",#REF!,"&gt;="&amp;B301,#REF!,"&lt;="&amp;EOMONTH(B301,0))</f>
        <v>#REF!</v>
      </c>
      <c r="G329" s="1069" t="e">
        <f t="shared" si="133"/>
        <v>#REF!</v>
      </c>
      <c r="H329" s="1070" t="e">
        <f ca="1">MINIFS(#REF!,#REF!,"&lt;&gt;0",#REF!,"&gt;="&amp;B301,#REF!,"&lt;="&amp;EOMONTH(B301,0))</f>
        <v>#NAME?</v>
      </c>
      <c r="I329" s="1069" t="e">
        <f ca="1">MAXIFS(#REF!,#REF!,"&lt;&gt;0",#REF!,"&gt;="&amp;B301,#REF!,"&lt;="&amp;EOMONTH(B301,0))</f>
        <v>#NAME?</v>
      </c>
      <c r="J329" s="1114" t="e">
        <f>COUNTIFS(#REF!,"&gt;="&amp;D329,#REF!,"&gt;="&amp;B301,#REF!,"&lt;="&amp;EOMONTH(B301,0))</f>
        <v>#REF!</v>
      </c>
      <c r="K329" s="1341" t="e">
        <f>J329/E329</f>
        <v>#REF!</v>
      </c>
      <c r="L329" s="1281"/>
      <c r="M329" s="1289"/>
      <c r="N329" s="1144">
        <f>Parametres!$L$35</f>
        <v>30</v>
      </c>
      <c r="O329" s="1077">
        <f>COUNTIFS('Degrémont Entrée'!$BB$14:$BB$379,"&gt;0",'Degrémont Entrée'!$A$14:$A$379,"&gt;="&amp;B301,'Degrémont Entrée'!$A$14:$A$379,"&lt;="&amp;EOMONTH(B301,0))</f>
        <v>5</v>
      </c>
      <c r="P329" s="1078">
        <f>SUMIFS('Degrémont Entrée'!$BB$14:$BB$379,'Degrémont Entrée'!$BB$14:$BB$379,"&lt;&gt;0",'Degrémont Entrée'!$A$14:$A$379,"&gt;="&amp;B301,'Degrémont Entrée'!$A$14:$A$379,"&lt;="&amp;EOMONTH(B301,0))</f>
        <v>0.75</v>
      </c>
      <c r="Q329" s="1283">
        <f>IF(O329=0,0,P329/O329)</f>
        <v>0.15</v>
      </c>
      <c r="R329" s="1286" t="e">
        <f ca="1">MINIFS('Degrémont Entrée'!$BB$14:$BB$379,'Degrémont Entrée'!$BB$14:$BB$379,"&lt;&gt;0",'Degrémont Entrée'!$A$14:$A$379,"&gt;="&amp;B301,'Degrémont Entrée'!$A$14:$A$379,"&lt;="&amp;EOMONTH(B301,0))</f>
        <v>#NAME?</v>
      </c>
      <c r="S329" s="1286" t="e">
        <f ca="1">MAXIFS('Degrémont Entrée'!$BB$14:$BB$379,'Degrémont Entrée'!$BB$14:$BB$379,"&lt;&gt;0",'Degrémont Entrée'!$A$14:$A$379,"&gt;="&amp;B301,'Degrémont Entrée'!$A$14:$A$379,"&lt;="&amp;EOMONTH(B301,0))</f>
        <v>#NAME?</v>
      </c>
      <c r="T329" s="1141">
        <f>COUNTIFS('Degrémont Entrée'!$BB$14:$BB$379,"&gt;="&amp;N329,'Degrémont Entrée'!$A$14:$A$379,"&gt;="&amp;B301,'Degrémont Entrée'!$A$14:$A$379,"&lt;="&amp;EOMONTH(B301,0))</f>
        <v>0</v>
      </c>
      <c r="U329" s="1081">
        <f>T329/O329</f>
        <v>0</v>
      </c>
      <c r="V329" s="1285"/>
      <c r="W329" s="1083">
        <f>Parametres!$T$35</f>
        <v>0.16</v>
      </c>
      <c r="X329" s="1142">
        <f>COUNTIFS('Degrémont sortie'!$AV$14:$AV$379,"&gt;0",'Degrémont sortie'!$A$14:$A$379,"&gt;="&amp;B301,'Degrémont sortie'!$A$14:$A$379,"&lt;="&amp;EOMONTH(B301,0))</f>
        <v>5</v>
      </c>
      <c r="Y329" s="1085">
        <f>SUMIFS('Degrémont sortie'!$AV$14:$AV$379,'Degrémont sortie'!$AV$14:$AV$379,"&lt;&gt;0",'Degrémont sortie'!$A$14:$A$379,"&gt;="&amp;B301,'Degrémont sortie'!$A$14:$A$379,"&lt;="&amp;EOMONTH(B301,0))</f>
        <v>0.75</v>
      </c>
      <c r="Z329" s="1069">
        <f t="shared" ref="Z329:Z331" si="145">IF(X329=0,0,Y329/X329)</f>
        <v>0.15</v>
      </c>
      <c r="AA329" s="1286" t="e">
        <f ca="1">MINIFS('Degrémont sortie'!$AV$14:$AV$379,'Degrémont sortie'!$AV$14:$AV$379,"&lt;&gt;0",'Degrémont sortie'!$A$14:$A$379,"&gt;="&amp;B301,'Degrémont sortie'!$A$14:$A$379,"&lt;="&amp;EOMONTH(B301,0))</f>
        <v>#NAME?</v>
      </c>
      <c r="AB329" s="1286" t="e">
        <f ca="1">MAXIFS('Degrémont sortie'!$AV$14:$AV$379,'Degrémont sortie'!$AV$14:$AV$379,"&lt;&gt;0",'Degrémont sortie'!$A$14:$A$379,"&gt;="&amp;B301,'Degrémont sortie'!$A$14:$A$379,"&lt;="&amp;EOMONTH(B301,0))</f>
        <v>#NAME?</v>
      </c>
      <c r="AC329" s="1141">
        <f>COUNTIFS('Degrémont sortie'!$AV$14:$AV$379,"&gt;="&amp;W329,'Degrémont sortie'!$A$14:$A$379,"&gt;="&amp;B301,'Degrémont sortie'!$A$14:$A$379,"&lt;="&amp;EOMONTH(B301,0))</f>
        <v>0</v>
      </c>
      <c r="AD329" s="1087">
        <f>AC329/X329</f>
        <v>0</v>
      </c>
      <c r="AE329" s="1285"/>
      <c r="AF329" s="1293"/>
      <c r="AG329" s="1293"/>
      <c r="AH329" s="1293"/>
      <c r="AI329" s="1293"/>
      <c r="AJ329" s="1293"/>
      <c r="AK329" s="1285"/>
      <c r="AL329" s="1293"/>
      <c r="AM329" s="1293"/>
      <c r="AN329" s="1293"/>
      <c r="AO329" s="1293"/>
      <c r="AP329" s="1293"/>
      <c r="AQ329" s="1285"/>
      <c r="AR329" s="1293"/>
      <c r="AS329" s="1293"/>
      <c r="AT329" s="1293"/>
      <c r="AU329" s="1293"/>
      <c r="AV329" s="1293"/>
      <c r="AW329" s="1293"/>
      <c r="AX329" s="1294"/>
      <c r="AY329" s="1295"/>
      <c r="AZ329" s="1095" t="e">
        <f t="shared" si="135"/>
        <v>#REF!</v>
      </c>
      <c r="BA329" s="2"/>
    </row>
    <row r="330" spans="1:53" ht="15.75" hidden="1" customHeight="1" outlineLevel="1">
      <c r="A330" s="1027"/>
      <c r="B330" s="1096"/>
      <c r="C330" s="1139" t="s">
        <v>39</v>
      </c>
      <c r="D330" s="1122">
        <f>Parametres!$D$36</f>
        <v>10000000</v>
      </c>
      <c r="E330" s="1068" t="e">
        <f>COUNTIFS(#REF!,"&gt;0",#REF!,"&gt;="&amp;B301,#REF!,"&lt;="&amp;EOMONTH(B301,0))</f>
        <v>#REF!</v>
      </c>
      <c r="F330" s="1069" t="e">
        <f>SUMIFS(#REF!,#REF!,"&lt;&gt;0",#REF!,"&gt;="&amp;B301,#REF!,"&lt;="&amp;EOMONTH(B301,0))</f>
        <v>#REF!</v>
      </c>
      <c r="G330" s="1069" t="e">
        <f t="shared" si="133"/>
        <v>#REF!</v>
      </c>
      <c r="H330" s="1070" t="e">
        <f ca="1">MINIFS(#REF!,#REF!,"&lt;&gt;0",#REF!,"&gt;="&amp;B301,#REF!,"&lt;="&amp;EOMONTH(B301,0))</f>
        <v>#NAME?</v>
      </c>
      <c r="I330" s="1277" t="e">
        <f ca="1">MAXIFS(#REF!,#REF!,"&lt;&gt;0",#REF!,"&gt;="&amp;B301,#REF!,"&lt;="&amp;EOMONTH(B301,0))</f>
        <v>#NAME?</v>
      </c>
      <c r="J330" s="1072" t="s">
        <v>153</v>
      </c>
      <c r="K330" s="1072" t="s">
        <v>153</v>
      </c>
      <c r="L330" s="1281"/>
      <c r="M330" s="1289"/>
      <c r="N330" s="1290"/>
      <c r="O330" s="1290"/>
      <c r="P330" s="1286"/>
      <c r="Q330" s="1286"/>
      <c r="R330" s="1286"/>
      <c r="S330" s="1286"/>
      <c r="T330" s="1290"/>
      <c r="U330" s="1290"/>
      <c r="V330" s="1285"/>
      <c r="W330" s="1083">
        <f>Parametres!$T$36</f>
        <v>100000000</v>
      </c>
      <c r="X330" s="1142">
        <f>COUNTIFS('Degrémont sortie'!$R$14:$R$379,"&gt;0",'Degrémont sortie'!$A$14:$A$379,"&gt;="&amp;B301,'Degrémont sortie'!$A$14:$A$379,"&lt;="&amp;EOMONTH(B301,0))</f>
        <v>0</v>
      </c>
      <c r="Y330" s="1085">
        <f>SUMIFS('Degrémont sortie'!$R$14:$R$379,'Degrémont sortie'!$R$14:$R$379,"&lt;&gt;0",'Degrémont sortie'!$A$14:$A$379,"&gt;="&amp;B301,'Degrémont sortie'!$A$14:$A$379,"&lt;="&amp;EOMONTH(B301,0))</f>
        <v>0</v>
      </c>
      <c r="Z330" s="1069">
        <f t="shared" si="145"/>
        <v>0</v>
      </c>
      <c r="AA330" s="1286" t="e">
        <f ca="1">MINIFS('Degrémont sortie'!$R$14:$R$379,'Degrémont sortie'!$R$14:$R$379,"&lt;&gt;0",'Degrémont sortie'!$A$14:$A$379,"&gt;="&amp;B301,'Degrémont sortie'!$A$14:$A$379,"&lt;="&amp;EOMONTH(B301,0))</f>
        <v>#NAME?</v>
      </c>
      <c r="AB330" s="1286" t="e">
        <f ca="1">MAXIFS('Degrémont sortie'!$R$14:$R$379,'Degrémont sortie'!$R$14:$R$379,"&lt;&gt;0",'Degrémont sortie'!$A$14:$A$379,"&gt;="&amp;B301,'Degrémont sortie'!$A$14:$A$379,"&lt;="&amp;EOMONTH(B301,0))</f>
        <v>#NAME?</v>
      </c>
      <c r="AC330" s="1291" t="s">
        <v>153</v>
      </c>
      <c r="AD330" s="1292" t="s">
        <v>153</v>
      </c>
      <c r="AE330" s="1285"/>
      <c r="AF330" s="1293"/>
      <c r="AG330" s="1293"/>
      <c r="AH330" s="1293"/>
      <c r="AI330" s="1293"/>
      <c r="AJ330" s="1293"/>
      <c r="AK330" s="1285"/>
      <c r="AL330" s="1293"/>
      <c r="AM330" s="1293"/>
      <c r="AN330" s="1293"/>
      <c r="AO330" s="1293"/>
      <c r="AP330" s="1293"/>
      <c r="AQ330" s="1285"/>
      <c r="AR330" s="1293"/>
      <c r="AS330" s="1293"/>
      <c r="AT330" s="1293"/>
      <c r="AU330" s="1293"/>
      <c r="AV330" s="1293"/>
      <c r="AW330" s="1293"/>
      <c r="AX330" s="1294"/>
      <c r="AY330" s="1295"/>
      <c r="AZ330" s="1095" t="e">
        <f t="shared" si="135"/>
        <v>#REF!</v>
      </c>
      <c r="BA330" s="2"/>
    </row>
    <row r="331" spans="1:53" ht="15.75" hidden="1" customHeight="1" outlineLevel="1">
      <c r="A331" s="1027"/>
      <c r="B331" s="1096"/>
      <c r="C331" s="1139" t="s">
        <v>40</v>
      </c>
      <c r="D331" s="1122">
        <f>Parametres!$D$37</f>
        <v>10000000</v>
      </c>
      <c r="E331" s="1068" t="e">
        <f>COUNTIFS(#REF!,"&gt;0",#REF!,"&gt;="&amp;B301,#REF!,"&lt;="&amp;EOMONTH(B301,0))</f>
        <v>#REF!</v>
      </c>
      <c r="F331" s="1069" t="e">
        <f>SUMIFS(#REF!,#REF!,"&lt;&gt;0",#REF!,"&gt;="&amp;B301,#REF!,"&lt;="&amp;EOMONTH(B301,0))</f>
        <v>#REF!</v>
      </c>
      <c r="G331" s="1069" t="e">
        <f t="shared" si="133"/>
        <v>#REF!</v>
      </c>
      <c r="H331" s="1070" t="e">
        <f ca="1">MINIFS(#REF!,#REF!,"&lt;&gt;0",#REF!,"&gt;="&amp;B301,#REF!,"&lt;="&amp;EOMONTH(B301,0))</f>
        <v>#NAME?</v>
      </c>
      <c r="I331" s="1069" t="e">
        <f ca="1">MAXIFS(#REF!,#REF!,"&lt;&gt;0",#REF!,"&gt;="&amp;B301,#REF!,"&lt;="&amp;EOMONTH(B301,0))</f>
        <v>#NAME?</v>
      </c>
      <c r="J331" s="1072" t="s">
        <v>153</v>
      </c>
      <c r="K331" s="1072" t="s">
        <v>153</v>
      </c>
      <c r="L331" s="1281"/>
      <c r="M331" s="1289"/>
      <c r="N331" s="1290"/>
      <c r="O331" s="1290"/>
      <c r="P331" s="1286"/>
      <c r="Q331" s="1286"/>
      <c r="R331" s="1286"/>
      <c r="S331" s="1286"/>
      <c r="T331" s="1290"/>
      <c r="U331" s="1290"/>
      <c r="V331" s="1285"/>
      <c r="W331" s="1083">
        <f>Parametres!$T$37</f>
        <v>100000000</v>
      </c>
      <c r="X331" s="1142">
        <f>COUNTIFS('Degrémont sortie'!$U$14:$U$379,"&gt;0",'Degrémont sortie'!$A$14:$A$379,"&gt;="&amp;B301,'Degrémont sortie'!$A$14:$A$379,"&lt;="&amp;EOMONTH(B301,0))</f>
        <v>0</v>
      </c>
      <c r="Y331" s="1085">
        <f>SUMIFS('Degrémont sortie'!$U$14:$U$379,'Degrémont sortie'!$U$14:$U$379,"&lt;&gt;0",'Degrémont sortie'!$A$14:$A$379,"&gt;="&amp;B301,'Degrémont sortie'!$A$14:$A$379,"&lt;="&amp;EOMONTH(B301,0))</f>
        <v>0</v>
      </c>
      <c r="Z331" s="1069">
        <f t="shared" si="145"/>
        <v>0</v>
      </c>
      <c r="AA331" s="1286" t="e">
        <f ca="1">MINIFS('Degrémont sortie'!$U$14:$U$379,'Degrémont sortie'!$U$14:$U$379,"&lt;&gt;0",'Degrémont sortie'!$A$14:$A$379,"&gt;="&amp;B301,'Degrémont sortie'!$A$14:$A$379,"&lt;="&amp;EOMONTH(B301,0))</f>
        <v>#NAME?</v>
      </c>
      <c r="AB331" s="1286" t="e">
        <f ca="1">MAXIFS('Degrémont sortie'!$U$14:$U$379,'Degrémont sortie'!$U$14:$U$379,"&lt;&gt;0",'Degrémont sortie'!$A$14:$A$379,"&gt;="&amp;B301,'Degrémont sortie'!$A$14:$A$379,"&lt;="&amp;EOMONTH(B301,0))</f>
        <v>#NAME?</v>
      </c>
      <c r="AC331" s="1291" t="s">
        <v>153</v>
      </c>
      <c r="AD331" s="1292" t="s">
        <v>153</v>
      </c>
      <c r="AE331" s="1285"/>
      <c r="AF331" s="1293"/>
      <c r="AG331" s="1293"/>
      <c r="AH331" s="1293"/>
      <c r="AI331" s="1293"/>
      <c r="AJ331" s="1293"/>
      <c r="AK331" s="1285"/>
      <c r="AL331" s="1293"/>
      <c r="AM331" s="1293"/>
      <c r="AN331" s="1293"/>
      <c r="AO331" s="1293"/>
      <c r="AP331" s="1293"/>
      <c r="AQ331" s="1285"/>
      <c r="AR331" s="1293"/>
      <c r="AS331" s="1293"/>
      <c r="AT331" s="1293"/>
      <c r="AU331" s="1293"/>
      <c r="AV331" s="1293"/>
      <c r="AW331" s="1293"/>
      <c r="AX331" s="1294"/>
      <c r="AY331" s="1295"/>
      <c r="AZ331" s="1095" t="e">
        <f t="shared" si="135"/>
        <v>#REF!</v>
      </c>
      <c r="BA331" s="2"/>
    </row>
    <row r="332" spans="1:53" ht="15.75" hidden="1" customHeight="1" outlineLevel="1">
      <c r="A332" s="1027"/>
      <c r="B332" s="1096"/>
      <c r="C332" s="1121" t="s">
        <v>15</v>
      </c>
      <c r="D332" s="1122">
        <f>Parametres!$D$38</f>
        <v>1000000</v>
      </c>
      <c r="E332" s="1068" t="e">
        <f>COUNTIFS(#REF!,"&gt;0",#REF!,"&gt;="&amp;B301,#REF!,"&lt;="&amp;EOMONTH(B301,0))</f>
        <v>#REF!</v>
      </c>
      <c r="F332" s="1069" t="e">
        <f>SUMIFS(#REF!,#REF!,"&lt;&gt;0",#REF!,"&gt;="&amp;B301,#REF!,"&lt;="&amp;EOMONTH(B301,0))</f>
        <v>#REF!</v>
      </c>
      <c r="G332" s="1069" t="e">
        <f t="shared" si="133"/>
        <v>#REF!</v>
      </c>
      <c r="H332" s="1070" t="e">
        <f ca="1">MINIFS(#REF!,#REF!,"&lt;&gt;0",#REF!,"&gt;="&amp;B301,#REF!,"&lt;="&amp;EOMONTH(B301,0))</f>
        <v>#NAME?</v>
      </c>
      <c r="I332" s="1069" t="e">
        <f ca="1">MAXIFS(#REF!,#REF!,"&lt;&gt;0",#REF!,"&gt;="&amp;B301,#REF!,"&lt;="&amp;EOMONTH(B301,0))</f>
        <v>#NAME?</v>
      </c>
      <c r="J332" s="1072" t="e">
        <f>COUNTIFS(#REF!,"&gt;="&amp;D332,#REF!,"&gt;="&amp;B301,#REF!,"&lt;="&amp;EOMONTH(B301,0))</f>
        <v>#REF!</v>
      </c>
      <c r="K332" s="1341" t="e">
        <f t="shared" ref="K332:K333" si="146">J332/E332</f>
        <v>#REF!</v>
      </c>
      <c r="L332" s="1281"/>
      <c r="M332" s="1289"/>
      <c r="N332" s="1290"/>
      <c r="O332" s="1290"/>
      <c r="P332" s="1286"/>
      <c r="Q332" s="1286"/>
      <c r="R332" s="1286"/>
      <c r="S332" s="1286"/>
      <c r="T332" s="1290"/>
      <c r="U332" s="1290"/>
      <c r="V332" s="1285"/>
      <c r="W332" s="1293"/>
      <c r="X332" s="1293"/>
      <c r="Y332" s="1286"/>
      <c r="Z332" s="1286"/>
      <c r="AA332" s="1286"/>
      <c r="AB332" s="1286"/>
      <c r="AC332" s="1293"/>
      <c r="AD332" s="1249"/>
      <c r="AE332" s="1285"/>
      <c r="AF332" s="1293"/>
      <c r="AG332" s="1293"/>
      <c r="AH332" s="1293"/>
      <c r="AI332" s="1293"/>
      <c r="AJ332" s="1293"/>
      <c r="AK332" s="1285"/>
      <c r="AL332" s="1293"/>
      <c r="AM332" s="1293"/>
      <c r="AN332" s="1293"/>
      <c r="AO332" s="1293"/>
      <c r="AP332" s="1293"/>
      <c r="AQ332" s="1285"/>
      <c r="AR332" s="1293"/>
      <c r="AS332" s="1293"/>
      <c r="AT332" s="1293"/>
      <c r="AU332" s="1293"/>
      <c r="AV332" s="1293"/>
      <c r="AW332" s="1293"/>
      <c r="AX332" s="1294"/>
      <c r="AY332" s="1295"/>
      <c r="AZ332" s="1095" t="e">
        <f t="shared" si="135"/>
        <v>#REF!</v>
      </c>
      <c r="BA332" s="2"/>
    </row>
    <row r="333" spans="1:53" ht="15.75" hidden="1" customHeight="1" outlineLevel="1">
      <c r="A333" s="1027"/>
      <c r="B333" s="1096"/>
      <c r="C333" s="1121" t="s">
        <v>170</v>
      </c>
      <c r="D333" s="1122">
        <f>Parametres!$D$40</f>
        <v>10000000</v>
      </c>
      <c r="E333" s="1068" t="e">
        <f>COUNTIFS(#REF!,"&gt;0",#REF!,"&gt;="&amp;B301,#REF!,"&lt;="&amp;EOMONTH(B301,0))</f>
        <v>#REF!</v>
      </c>
      <c r="F333" s="1069" t="e">
        <f>SUMIFS(#REF!,#REF!,"&lt;&gt;0",#REF!,"&gt;="&amp;B301,#REF!,"&lt;="&amp;EOMONTH(B301,0))</f>
        <v>#REF!</v>
      </c>
      <c r="G333" s="1069" t="e">
        <f t="shared" si="133"/>
        <v>#REF!</v>
      </c>
      <c r="H333" s="1070" t="e">
        <f ca="1">MINIFS(#REF!,#REF!,"&lt;&gt;0",#REF!,"&gt;="&amp;B301,#REF!,"&lt;="&amp;EOMONTH(B301,0))</f>
        <v>#NAME?</v>
      </c>
      <c r="I333" s="1069" t="e">
        <f ca="1">MAXIFS(#REF!,#REF!,"&lt;&gt;0",#REF!,"&gt;="&amp;B301,#REF!,"&lt;="&amp;EOMONTH(B301,0))</f>
        <v>#NAME?</v>
      </c>
      <c r="J333" s="1114" t="e">
        <f>COUNTIFS(#REF!,"&gt;="&amp;D333,#REF!,"&gt;="&amp;B302,#REF!,"&lt;="&amp;EOMONTH(B302,0))</f>
        <v>#REF!</v>
      </c>
      <c r="K333" s="1341" t="e">
        <f t="shared" si="146"/>
        <v>#REF!</v>
      </c>
      <c r="L333" s="1281"/>
      <c r="M333" s="1289"/>
      <c r="N333" s="1313"/>
      <c r="O333" s="1313"/>
      <c r="P333" s="1315"/>
      <c r="Q333" s="1317"/>
      <c r="R333" s="1286"/>
      <c r="S333" s="1286"/>
      <c r="T333" s="1290"/>
      <c r="U333" s="1290"/>
      <c r="V333" s="1285"/>
      <c r="W333" s="1293"/>
      <c r="X333" s="1293"/>
      <c r="Y333" s="1315"/>
      <c r="Z333" s="1286"/>
      <c r="AA333" s="1286"/>
      <c r="AB333" s="1286"/>
      <c r="AC333" s="1293"/>
      <c r="AD333" s="1249"/>
      <c r="AE333" s="1285"/>
      <c r="AF333" s="1293"/>
      <c r="AG333" s="1293"/>
      <c r="AH333" s="1293"/>
      <c r="AI333" s="1293"/>
      <c r="AJ333" s="1293"/>
      <c r="AK333" s="1285"/>
      <c r="AL333" s="1321"/>
      <c r="AM333" s="1293"/>
      <c r="AN333" s="1293"/>
      <c r="AO333" s="1293"/>
      <c r="AP333" s="1293"/>
      <c r="AQ333" s="1285"/>
      <c r="AR333" s="1293"/>
      <c r="AS333" s="1293"/>
      <c r="AT333" s="1293"/>
      <c r="AU333" s="1293"/>
      <c r="AV333" s="1293"/>
      <c r="AW333" s="1293"/>
      <c r="AX333" s="1294"/>
      <c r="AY333" s="1295"/>
      <c r="AZ333" s="1095"/>
      <c r="BA333" s="2"/>
    </row>
    <row r="334" spans="1:53" ht="15.75" hidden="1" customHeight="1" outlineLevel="1">
      <c r="A334" s="1027"/>
      <c r="B334" s="1096"/>
      <c r="C334" s="1139" t="s">
        <v>38</v>
      </c>
      <c r="D334" s="1122">
        <f>Parametres!$D$39</f>
        <v>1000000</v>
      </c>
      <c r="E334" s="1068" t="e">
        <f>COUNTIFS(#REF!,"&gt;0",#REF!,"&gt;="&amp;B301,#REF!,"&lt;="&amp;EOMONTH(B301,0))</f>
        <v>#REF!</v>
      </c>
      <c r="F334" s="1069" t="e">
        <f>SUMIFS(#REF!,#REF!,"&lt;&gt;0",#REF!,"&gt;="&amp;B301,#REF!,"&lt;="&amp;EOMONTH(B301,0))</f>
        <v>#REF!</v>
      </c>
      <c r="G334" s="1069" t="e">
        <f t="shared" si="133"/>
        <v>#REF!</v>
      </c>
      <c r="H334" s="1070" t="e">
        <f ca="1">MINIFS(#REF!,#REF!,"&lt;&gt;0",#REF!,"&gt;="&amp;B301,#REF!,"&lt;="&amp;EOMONTH(B301,0))</f>
        <v>#NAME?</v>
      </c>
      <c r="I334" s="1069" t="e">
        <f ca="1">MAXIFS(#REF!,#REF!,"&lt;&gt;0",#REF!,"&gt;="&amp;B301,#REF!,"&lt;="&amp;EOMONTH(B301,0))</f>
        <v>#NAME?</v>
      </c>
      <c r="J334" s="1072" t="s">
        <v>153</v>
      </c>
      <c r="K334" s="1072" t="s">
        <v>153</v>
      </c>
      <c r="L334" s="1281"/>
      <c r="M334" s="1289"/>
      <c r="N334" s="1328">
        <f>Parametres!$L$39</f>
        <v>100000</v>
      </c>
      <c r="O334" s="1077">
        <f>COUNTIF('Degrémont Entrée'!$U$14:$U$44,"&gt;0")</f>
        <v>4</v>
      </c>
      <c r="P334" s="1078">
        <f>SUMIFS('Degrémont Entrée'!$U$14:$U$379,'Degrémont Entrée'!$U$14:$U$379,"&lt;&gt;0",'Degrémont Entrée'!$A$14:$A$379,"&gt;="&amp;B301,'Degrémont Entrée'!$A$14:$A$379,"&lt;="&amp;EOMONTH(B301,0))</f>
        <v>330</v>
      </c>
      <c r="Q334" s="1283">
        <f t="shared" ref="Q334:Q337" si="147">IF(O334=0,0,P334/O334)</f>
        <v>82.5</v>
      </c>
      <c r="R334" s="1286" t="e">
        <f ca="1">MINIFS('Degrémont Entrée'!$U$14:$U$379,'Degrémont Entrée'!$U$14:$U$379,"&lt;&gt;0",'Degrémont Entrée'!$A$14:$A$379,"&gt;="&amp;B301,'Degrémont Entrée'!$A$14:$A$379,"&lt;="&amp;EOMONTH(B301,0))</f>
        <v>#NAME?</v>
      </c>
      <c r="S334" s="1286" t="e">
        <f ca="1">MAXIFS('Degrémont Entrée'!$U$14:$U$379,'Degrémont Entrée'!$U$14:$U$379,"&lt;&gt;0",'Degrémont Entrée'!$A$14:$A$379,"&gt;="&amp;B301,'Degrémont Entrée'!$A$14:$A$379,"&lt;="&amp;EOMONTH(B301,0))</f>
        <v>#NAME?</v>
      </c>
      <c r="T334" s="1291" t="s">
        <v>153</v>
      </c>
      <c r="U334" s="1291" t="s">
        <v>153</v>
      </c>
      <c r="V334" s="1285"/>
      <c r="W334" s="1083">
        <f>Parametres!T332</f>
        <v>0</v>
      </c>
      <c r="X334" s="1142">
        <f>COUNTIFS('Degrémont sortie'!$O$14:$O$379,"&gt;0",'Degrémont sortie'!$A$14:$A$379,"&gt;="&amp;B301,'Degrémont sortie'!$A$14:$A$379,"&lt;="&amp;EOMONTH(B301,0))</f>
        <v>4</v>
      </c>
      <c r="Y334" s="1085">
        <f>SUMIFS('Degrémont sortie'!$O$14:$O$379,'Degrémont sortie'!$O$14:$O$379,"&lt;&gt;0",'Degrémont sortie'!$A$14:$A$379,"&gt;="&amp;B301,'Degrémont sortie'!$A$14:$A$379,"&lt;="&amp;EOMONTH(B301,0))</f>
        <v>49.7</v>
      </c>
      <c r="Z334" s="1069">
        <f t="shared" ref="Z334:Z340" si="148">IF(X334=0,0,Y334/X334)</f>
        <v>12.425000000000001</v>
      </c>
      <c r="AA334" s="1286" t="e">
        <f ca="1">MINIFS('Degrémont sortie'!$O$14:$O$379,'Degrémont sortie'!$O$14:$O$379,"&lt;&gt;0",'Degrémont sortie'!$A$14:$A$379,"&gt;="&amp;B301,'Degrémont sortie'!$A$14:$A$379,"&lt;="&amp;EOMONTH(B301,0))</f>
        <v>#NAME?</v>
      </c>
      <c r="AB334" s="1286" t="e">
        <f ca="1">MAXIFS('Degrémont sortie'!$O$14:$O$379,'Degrémont sortie'!$O$14:$O$379,"&lt;&gt;0",'Degrémont sortie'!$A$14:$A$379,"&gt;="&amp;B301,'Degrémont sortie'!$A$14:$A$379,"&lt;="&amp;EOMONTH(B301,0))</f>
        <v>#NAME?</v>
      </c>
      <c r="AC334" s="1291" t="s">
        <v>153</v>
      </c>
      <c r="AD334" s="1292" t="s">
        <v>153</v>
      </c>
      <c r="AE334" s="1285"/>
      <c r="AF334" s="1293"/>
      <c r="AG334" s="1293"/>
      <c r="AH334" s="1293"/>
      <c r="AI334" s="1293"/>
      <c r="AJ334" s="1293"/>
      <c r="AK334" s="1285"/>
      <c r="AL334" s="1205" t="e">
        <f>COUNTIFS(#REF!,"&gt;0",#REF!,"&gt;="&amp;B301,#REF!,"&lt;="&amp;EOMONTH(B301,0))</f>
        <v>#REF!</v>
      </c>
      <c r="AM334" s="1208" t="e">
        <f>SUMIFS(#REF!,#REF!,"&lt;&gt;0",#REF!,"&gt;="&amp;B301,#REF!,"&lt;="&amp;EOMONTH(B301,0))</f>
        <v>#REF!</v>
      </c>
      <c r="AN334" s="1208" t="e">
        <f>IF(AL334=0,0,AM334/AL334)</f>
        <v>#REF!</v>
      </c>
      <c r="AO334" s="1141" t="e">
        <f ca="1">MINIFS(#REF!,#REF!,"&lt;&gt;0",#REF!,"&gt;="&amp;B301,#REF!,"&lt;="&amp;EOMONTH(B301,0))</f>
        <v>#NAME?</v>
      </c>
      <c r="AP334" s="1141" t="e">
        <f ca="1">MAXIFS(#REF!,#REF!,"&lt;&gt;0",#REF!,"&gt;="&amp;B301,#REF!,"&lt;="&amp;EOMONTH(B301,0))</f>
        <v>#NAME?</v>
      </c>
      <c r="AQ334" s="1285"/>
      <c r="AR334" s="1293"/>
      <c r="AS334" s="1293"/>
      <c r="AT334" s="1293"/>
      <c r="AU334" s="1293"/>
      <c r="AV334" s="1293"/>
      <c r="AW334" s="1293"/>
      <c r="AX334" s="1294"/>
      <c r="AY334" s="1295"/>
      <c r="AZ334" s="1095" t="e">
        <f t="shared" ref="AZ334:AZ346" si="149">SUM(E334+O334+X334+AF334+AL334+AS334)</f>
        <v>#REF!</v>
      </c>
      <c r="BA334" s="2"/>
    </row>
    <row r="335" spans="1:53" ht="15.75" hidden="1" customHeight="1" outlineLevel="1">
      <c r="A335" s="1027"/>
      <c r="B335" s="1096"/>
      <c r="C335" s="1139" t="s">
        <v>33</v>
      </c>
      <c r="D335" s="1122" t="str">
        <f>Parametres!$D$41</f>
        <v>5,5-8,5</v>
      </c>
      <c r="E335" s="1068" t="e">
        <f>COUNTIFS(#REF!,"&gt;0",#REF!,"&gt;="&amp;B301,#REF!,"&lt;="&amp;EOMONTH(B301,0))</f>
        <v>#REF!</v>
      </c>
      <c r="F335" s="1069" t="e">
        <f>SUMIFS(#REF!,#REF!,"&lt;&gt;0",#REF!,"&gt;="&amp;B301,#REF!,"&lt;="&amp;EOMONTH(B301,0))</f>
        <v>#REF!</v>
      </c>
      <c r="G335" s="1069" t="e">
        <f t="shared" si="133"/>
        <v>#REF!</v>
      </c>
      <c r="H335" s="1070" t="e">
        <f ca="1">MINIFS(#REF!,#REF!,"&lt;&gt;0",#REF!,"&gt;="&amp;B301,#REF!,"&lt;="&amp;EOMONTH(B301,0))</f>
        <v>#NAME?</v>
      </c>
      <c r="I335" s="1069" t="e">
        <f ca="1">MAXIFS(#REF!,#REF!,"&lt;&gt;0",#REF!,"&gt;="&amp;B301,#REF!,"&lt;="&amp;EOMONTH(B301,0))</f>
        <v>#NAME?</v>
      </c>
      <c r="J335" s="1114" t="e">
        <f>COUNTIFS(#REF!,"&lt;="&amp;D335,#REF!,"&gt;="&amp;B301,#REF!,"&lt;="&amp;EOMONTH(B301,0))</f>
        <v>#REF!</v>
      </c>
      <c r="K335" s="1341" t="e">
        <f t="shared" ref="K335:K337" si="150">J335/E335</f>
        <v>#REF!</v>
      </c>
      <c r="L335" s="1281"/>
      <c r="M335" s="1289"/>
      <c r="N335" s="1144">
        <f>Parametres!$L$41</f>
        <v>100000000</v>
      </c>
      <c r="O335" s="1077">
        <f>COUNTIFS('Degrémont Entrée'!$C$14:$C$379,"&gt;0",'Degrémont Entrée'!$A$14:$A$379,"&gt;="&amp;B301,'Degrémont Entrée'!$A$14:$A$379,"&lt;="&amp;EOMONTH(B301,0))</f>
        <v>28</v>
      </c>
      <c r="P335" s="1078">
        <f>SUMIFS('Degrémont Entrée'!$C$14:$C$379,'Degrémont Entrée'!$C$14:$C$379,"&lt;&gt;0",'Degrémont Entrée'!$A$14:$A$379,"&gt;="&amp;B301,'Degrémont Entrée'!$A$14:$A$379,"&lt;="&amp;EOMONTH(B301,0))</f>
        <v>229.37</v>
      </c>
      <c r="Q335" s="1283">
        <f t="shared" si="147"/>
        <v>8.1917857142857144</v>
      </c>
      <c r="R335" s="1286" t="e">
        <f ca="1">MINIFS('Degrémont Entrée'!$C$14:$C$379,'Degrémont Entrée'!$C$14:$C$379,"&lt;&gt;0",'Degrémont Entrée'!$A$14:$A$379,"&gt;="&amp;B301,'Degrémont Entrée'!$A$14:$A$379,"&lt;="&amp;EOMONTH(B301,0))</f>
        <v>#NAME?</v>
      </c>
      <c r="S335" s="1286" t="e">
        <f ca="1">MAXIFS('Degrémont Entrée'!$C$14:$C$379,'Degrémont Entrée'!$C$14:$C$379,"&lt;&gt;0",'Degrémont Entrée'!$A$14:$A$379,"&gt;="&amp;B301,'Degrémont Entrée'!$A$14:$A$379,"&lt;="&amp;EOMONTH(B301,0))</f>
        <v>#NAME?</v>
      </c>
      <c r="T335" s="1291" t="s">
        <v>153</v>
      </c>
      <c r="U335" s="1291" t="s">
        <v>153</v>
      </c>
      <c r="V335" s="1285"/>
      <c r="W335" s="1083">
        <f>Parametres!$T$41</f>
        <v>100000000</v>
      </c>
      <c r="X335" s="1142">
        <f>COUNTIFS('Degrémont sortie'!$C$14:$C$379,"&gt;0",'Degrémont sortie'!$A$14:$A$379,"&gt;="&amp;B301,'Degrémont sortie'!$A$14:$A$379,"&lt;="&amp;EOMONTH(B301,0))</f>
        <v>28</v>
      </c>
      <c r="Y335" s="1085">
        <f>SUMIFS('Degrémont sortie'!$C$14:$C$379,'Degrémont sortie'!$C$14:$C$379,"&lt;&gt;0",'Degrémont sortie'!$A$14:$A$379,"&gt;="&amp;B301,'Degrémont sortie'!$A$14:$A$379,"&lt;="&amp;EOMONTH(B301,0))</f>
        <v>234.60999999999999</v>
      </c>
      <c r="Z335" s="1069">
        <f t="shared" si="148"/>
        <v>8.3789285714285704</v>
      </c>
      <c r="AA335" s="1286" t="e">
        <f ca="1">MINIFS('Degrémont sortie'!$C$14:$C$379,'Degrémont sortie'!$C$14:$C$379,"&lt;&gt;0",'Degrémont sortie'!$A$14:$A$379,"&gt;="&amp;B301,'Degrémont sortie'!$A$14:$A$379,"&lt;="&amp;EOMONTH(B301,0))</f>
        <v>#NAME?</v>
      </c>
      <c r="AB335" s="1286" t="e">
        <f ca="1">MAXIFS('Degrémont sortie'!$C$14:$C$379,'Degrémont sortie'!$C$14:$C$379,"&lt;&gt;0",'Degrémont sortie'!$A$14:$A$379,"&gt;="&amp;B301,'Degrémont sortie'!$A$14:$A$379,"&lt;="&amp;EOMONTH(B301,0))</f>
        <v>#NAME?</v>
      </c>
      <c r="AC335" s="1291" t="s">
        <v>153</v>
      </c>
      <c r="AD335" s="1292" t="s">
        <v>153</v>
      </c>
      <c r="AE335" s="1285"/>
      <c r="AF335" s="1293"/>
      <c r="AG335" s="1293"/>
      <c r="AH335" s="1293"/>
      <c r="AI335" s="1293"/>
      <c r="AJ335" s="1293"/>
      <c r="AK335" s="1285"/>
      <c r="AL335" s="1293"/>
      <c r="AM335" s="1293"/>
      <c r="AN335" s="1293"/>
      <c r="AO335" s="1293"/>
      <c r="AP335" s="1293"/>
      <c r="AQ335" s="1285"/>
      <c r="AR335" s="1293"/>
      <c r="AS335" s="1293"/>
      <c r="AT335" s="1293"/>
      <c r="AU335" s="1293"/>
      <c r="AV335" s="1293"/>
      <c r="AW335" s="1293"/>
      <c r="AX335" s="1294"/>
      <c r="AY335" s="1295"/>
      <c r="AZ335" s="1095" t="e">
        <f t="shared" si="149"/>
        <v>#REF!</v>
      </c>
      <c r="BA335" s="2"/>
    </row>
    <row r="336" spans="1:53" ht="15.75" hidden="1" customHeight="1" outlineLevel="1">
      <c r="A336" s="1027"/>
      <c r="B336" s="1096"/>
      <c r="C336" s="1139" t="s">
        <v>49</v>
      </c>
      <c r="D336" s="1122">
        <f>Parametres!$D$42</f>
        <v>0.5</v>
      </c>
      <c r="E336" s="1068" t="e">
        <f>COUNTIFS(#REF!,"&gt;0",#REF!,"&gt;="&amp;B301,#REF!,"&lt;="&amp;EOMONTH(B301,0))</f>
        <v>#REF!</v>
      </c>
      <c r="F336" s="1069" t="e">
        <f>SUMIFS(#REF!,#REF!,"&lt;&gt;0",#REF!,"&gt;="&amp;B301,#REF!,"&lt;="&amp;EOMONTH(B301,0))</f>
        <v>#REF!</v>
      </c>
      <c r="G336" s="1069" t="e">
        <f t="shared" si="133"/>
        <v>#REF!</v>
      </c>
      <c r="H336" s="1070" t="e">
        <f ca="1">MINIFS(#REF!,#REF!,"&lt;&gt;0",#REF!,"&gt;="&amp;B301,#REF!,"&lt;="&amp;EOMONTH(B301,0))</f>
        <v>#NAME?</v>
      </c>
      <c r="I336" s="1069" t="e">
        <f ca="1">MAXIFS(#REF!,#REF!,"&lt;&gt;0",#REF!,"&gt;="&amp;B301,#REF!,"&lt;="&amp;EOMONTH(B301,0))</f>
        <v>#NAME?</v>
      </c>
      <c r="J336" s="1114" t="e">
        <f>COUNTIFS(#REF!,"&gt;="&amp;D336,#REF!,"&gt;="&amp;B301,#REF!,"&lt;="&amp;EOMONTH(B301,0))</f>
        <v>#REF!</v>
      </c>
      <c r="K336" s="1341" t="e">
        <f t="shared" si="150"/>
        <v>#REF!</v>
      </c>
      <c r="L336" s="1281"/>
      <c r="M336" s="1289"/>
      <c r="N336" s="1144">
        <f>Parametres!$L$42</f>
        <v>0.3</v>
      </c>
      <c r="O336" s="1077">
        <f>COUNTIFS('Degrémont Entrée'!$BE$14:$BE$379,"&gt;0",'Degrémont Entrée'!$A$14:$A$379,"&gt;="&amp;B301,'Degrémont Entrée'!$A$14:$A$379,"&lt;="&amp;EOMONTH(B301,0))</f>
        <v>5</v>
      </c>
      <c r="P336" s="1078">
        <f>SUMIFS('Degrémont Entrée'!$BE$14:$BE$379,'Degrémont Entrée'!$BE$14:$BE$379,"&lt;&gt;0",'Degrémont Entrée'!$A$14:$A$379,"&gt;="&amp;B301,'Degrémont Entrée'!$A$14:$A$379,"&lt;="&amp;EOMONTH(B301,0))</f>
        <v>0.65</v>
      </c>
      <c r="Q336" s="1283">
        <f t="shared" si="147"/>
        <v>0.13</v>
      </c>
      <c r="R336" s="1286" t="e">
        <f ca="1">MINIFS('Degrémont Entrée'!$BE$14:$BE$379,'Degrémont Entrée'!$BE$14:$BE$379,"&lt;&gt;0",'Degrémont Entrée'!$A$14:$A$379,"&gt;="&amp;B301,'Degrémont Entrée'!$A$14:$A$379,"&lt;="&amp;EOMONTH(B301,0))</f>
        <v>#NAME?</v>
      </c>
      <c r="S336" s="1286" t="e">
        <f ca="1">MAXIFS('Degrémont Entrée'!$BE$14:$BE$379,'Degrémont Entrée'!$BE$14:$BE$379,"&lt;&gt;0",'Degrémont Entrée'!$A$14:$A$379,"&gt;="&amp;B301,'Degrémont Entrée'!$A$14:$A$379,"&lt;="&amp;EOMONTH(B301,0))</f>
        <v>#NAME?</v>
      </c>
      <c r="T336" s="1141">
        <f>COUNTIFS('Degrémont Entrée'!$BE$14:$BE$379,"&gt;="&amp;N336,'Degrémont Entrée'!$A$14:$A$379,"&gt;="&amp;B301,'Degrémont Entrée'!$A$14:$A$379,"&lt;="&amp;EOMONTH(B301,0))</f>
        <v>0</v>
      </c>
      <c r="U336" s="1081">
        <f t="shared" ref="U336:U337" si="151">T336/O336</f>
        <v>0</v>
      </c>
      <c r="V336" s="1285"/>
      <c r="W336" s="1083">
        <f>Parametres!$T$42</f>
        <v>0.08</v>
      </c>
      <c r="X336" s="1142">
        <f>COUNTIFS('Degrémont sortie'!$AY$14:$AY$379,"&gt;0",'Degrémont sortie'!$A$14:$A$379,"&gt;="&amp;B301,'Degrémont sortie'!$A$14:$A$379,"&lt;="&amp;EOMONTH(B301,0))</f>
        <v>5</v>
      </c>
      <c r="Y336" s="1085">
        <f>SUMIFS('Degrémont sortie'!$AY$14:$AY$379,'Degrémont sortie'!$AY$14:$AY$379,"&lt;&gt;0",'Degrémont sortie'!$A$14:$A$379,"&gt;="&amp;B301,'Degrémont sortie'!$A$14:$A$379,"&lt;="&amp;EOMONTH(B301,0))</f>
        <v>0.65</v>
      </c>
      <c r="Z336" s="1069">
        <f t="shared" si="148"/>
        <v>0.13</v>
      </c>
      <c r="AA336" s="1286" t="e">
        <f ca="1">MINIFS('Degrémont sortie'!$AY$14:$AY$379,'Degrémont sortie'!$AY$14:$AY$379,"&lt;&gt;0",'Degrémont sortie'!$A$14:$A$379,"&gt;="&amp;B301,'Degrémont sortie'!$A$14:$A$379,"&lt;="&amp;EOMONTH(B301,0))</f>
        <v>#NAME?</v>
      </c>
      <c r="AB336" s="1286" t="e">
        <f ca="1">MAXIFS('Degrémont sortie'!$AY$14:$AY$379,'Degrémont sortie'!$AY$14:$AY$379,"&lt;&gt;0",'Degrémont sortie'!$A$14:$A$379,"&gt;="&amp;B301,'Degrémont sortie'!$A$14:$A$379,"&lt;="&amp;EOMONTH(B301,0))</f>
        <v>#NAME?</v>
      </c>
      <c r="AC336" s="1141">
        <f>COUNTIFS('Degrémont sortie'!$AY$14:$AY$379,"&gt;="&amp;W336,'Degrémont sortie'!$A$14:$A$379,"&gt;="&amp;B301,'Degrémont sortie'!$A$14:$A$379,"&lt;="&amp;EOMONTH(B301,0))</f>
        <v>5</v>
      </c>
      <c r="AD336" s="1087">
        <f t="shared" ref="AD336:AD337" si="152">AC336/X336</f>
        <v>1</v>
      </c>
      <c r="AE336" s="1285"/>
      <c r="AF336" s="1293"/>
      <c r="AG336" s="1293"/>
      <c r="AH336" s="1293"/>
      <c r="AI336" s="1293"/>
      <c r="AJ336" s="1293"/>
      <c r="AK336" s="1285"/>
      <c r="AL336" s="1293"/>
      <c r="AM336" s="1293"/>
      <c r="AN336" s="1293"/>
      <c r="AO336" s="1293"/>
      <c r="AP336" s="1293"/>
      <c r="AQ336" s="1285"/>
      <c r="AR336" s="1293"/>
      <c r="AS336" s="1293"/>
      <c r="AT336" s="1293"/>
      <c r="AU336" s="1293"/>
      <c r="AV336" s="1293"/>
      <c r="AW336" s="1293"/>
      <c r="AX336" s="1294"/>
      <c r="AY336" s="1295"/>
      <c r="AZ336" s="1095" t="e">
        <f t="shared" si="149"/>
        <v>#REF!</v>
      </c>
      <c r="BA336" s="2"/>
    </row>
    <row r="337" spans="1:53" ht="15.75" hidden="1" customHeight="1" outlineLevel="1">
      <c r="A337" s="1027"/>
      <c r="B337" s="1096"/>
      <c r="C337" s="1139" t="s">
        <v>37</v>
      </c>
      <c r="D337" s="1122">
        <f>Parametres!$D$43</f>
        <v>15</v>
      </c>
      <c r="E337" s="1069"/>
      <c r="F337" s="1069"/>
      <c r="G337" s="1069">
        <f t="shared" si="133"/>
        <v>0</v>
      </c>
      <c r="H337" s="1070" t="e">
        <f ca="1">MINIFS(#REF!,#REF!,"&lt;&gt;0",#REF!,"&gt;="&amp;B301,#REF!,"&lt;="&amp;EOMONTH(B301,0))</f>
        <v>#NAME?</v>
      </c>
      <c r="I337" s="1069" t="e">
        <f ca="1">MAXIFS(#REF!,#REF!,"&lt;&gt;0",#REF!,"&gt;="&amp;B301,#REF!,"&lt;="&amp;EOMONTH(B301,0))</f>
        <v>#NAME?</v>
      </c>
      <c r="J337" s="1114" t="e">
        <f>COUNTIFS(#REF!,"&gt;="&amp;D337,#REF!,"&gt;="&amp;B302,#REF!,"&lt;="&amp;EOMONTH(B302,0))</f>
        <v>#REF!</v>
      </c>
      <c r="K337" s="1341" t="e">
        <f t="shared" si="150"/>
        <v>#REF!</v>
      </c>
      <c r="L337" s="1281"/>
      <c r="M337" s="1289"/>
      <c r="N337" s="1144">
        <f>Parametres!$L$43</f>
        <v>500</v>
      </c>
      <c r="O337" s="1077">
        <f>COUNTIFS('Degrémont Entrée'!$S$14:$S$379,"&gt;0",'Degrémont Entrée'!$A$14:$A$379,"&gt;="&amp;B301,'Degrémont Entrée'!$A$14:$A$379,"&lt;="&amp;EOMONTH(B301,0))</f>
        <v>28</v>
      </c>
      <c r="P337" s="1078">
        <f>SUMIFS('Degrémont Entrée'!$S$14:$S$379,'Degrémont Entrée'!$S$14:$S$379,"&lt;&gt;0",'Degrémont Entrée'!$A$14:$A$379,"&gt;="&amp;B301,'Degrémont Entrée'!$A$14:$A$379,"&lt;="&amp;EOMONTH(B301,0))</f>
        <v>8635.2000000000007</v>
      </c>
      <c r="Q337" s="1283">
        <f t="shared" si="147"/>
        <v>308.40000000000003</v>
      </c>
      <c r="R337" s="1286" t="e">
        <f ca="1">MINIFS('Degrémont Entrée'!$S$14:$S$379,'Degrémont Entrée'!$S$14:$S$379,"&lt;&gt;0",'Degrémont Entrée'!$A$14:$A$379,"&gt;="&amp;B301,'Degrémont Entrée'!$A$14:$A$379,"&lt;="&amp;EOMONTH(B301,0))</f>
        <v>#NAME?</v>
      </c>
      <c r="S337" s="1286" t="e">
        <f ca="1">MAXIFS('Degrémont Entrée'!$S$14:$S$379,'Degrémont Entrée'!$S$14:$S$379,"&lt;&gt;0",'Degrémont Entrée'!$A$14:$A$379,"&gt;="&amp;B301,'Degrémont Entrée'!$A$14:$A$379,"&lt;="&amp;EOMONTH(B301,0))</f>
        <v>#NAME?</v>
      </c>
      <c r="T337" s="1141">
        <f>COUNTIFS('Degrémont Entrée'!$S$14:$S$379,"&gt;="&amp;N337,'Degrémont Entrée'!$A$14:$A$379,"&gt;="&amp;B301,'Degrémont Entrée'!$A$14:$A$379,"&lt;="&amp;EOMONTH(B301,0))</f>
        <v>6</v>
      </c>
      <c r="U337" s="1081">
        <f t="shared" si="151"/>
        <v>0.21428571428571427</v>
      </c>
      <c r="V337" s="1285"/>
      <c r="W337" s="1083">
        <f>Parametres!$T$43</f>
        <v>20</v>
      </c>
      <c r="X337" s="1142">
        <f>COUNTIFS('Degrémont sortie'!$M$14:$M$379,"&gt;0",'Degrémont sortie'!$A$14:$A$379,"&gt;="&amp;B301,'Degrémont sortie'!$A$14:$A$379,"&lt;="&amp;EOMONTH(B301,0))</f>
        <v>27</v>
      </c>
      <c r="Y337" s="1085">
        <f>SUMIFS('Degrémont sortie'!$M$14:$M$379,'Degrémont sortie'!$M$14:$M$379,"&lt;&gt;0",'Degrémont sortie'!$A$14:$A$379,"&gt;="&amp;B301,'Degrémont sortie'!$A$14:$A$379,"&lt;="&amp;EOMONTH(B301,0))</f>
        <v>114.03</v>
      </c>
      <c r="Z337" s="1069">
        <f t="shared" si="148"/>
        <v>4.2233333333333336</v>
      </c>
      <c r="AA337" s="1286" t="e">
        <f ca="1">MINIFS('Degrémont sortie'!$M$14:$M$379,'Degrémont sortie'!$M$14:$M$379,"&lt;&gt;0",'Degrémont sortie'!$A$14:$A$379,"&gt;="&amp;B301,'Degrémont sortie'!$A$14:$A$379,"&lt;="&amp;EOMONTH(B301,0))</f>
        <v>#NAME?</v>
      </c>
      <c r="AB337" s="1286" t="e">
        <f ca="1">MAXIFS('Degrémont sortie'!$M$14:$M$379,'Degrémont sortie'!$M$14:$M$379,"&lt;&gt;0",'Degrémont sortie'!$A$14:$A$379,"&gt;="&amp;B301,'Degrémont sortie'!$A$14:$A$379,"&lt;="&amp;EOMONTH(B301,0))</f>
        <v>#NAME?</v>
      </c>
      <c r="AC337" s="1141">
        <f>COUNTIFS('Degrémont sortie'!$M$14:$M$379,"&gt;="&amp;W337,'Degrémont sortie'!$A$14:$A$379,"&gt;="&amp;B301,'Degrémont sortie'!$A$14:$A$379,"&lt;="&amp;EOMONTH(B301,0))</f>
        <v>1</v>
      </c>
      <c r="AD337" s="1087">
        <f t="shared" si="152"/>
        <v>3.7037037037037035E-2</v>
      </c>
      <c r="AE337" s="1285"/>
      <c r="AF337" s="1293"/>
      <c r="AG337" s="1293"/>
      <c r="AH337" s="1293"/>
      <c r="AI337" s="1293"/>
      <c r="AJ337" s="1293"/>
      <c r="AK337" s="1285"/>
      <c r="AL337" s="1205" t="e">
        <f>COUNTIFS(#REF!,"&gt;0",#REF!,"&gt;="&amp;B301,#REF!,"&lt;="&amp;EOMONTH(B301,0))</f>
        <v>#REF!</v>
      </c>
      <c r="AM337" s="1208" t="e">
        <f>SUMIFS(#REF!,#REF!,"&lt;&gt;0",#REF!,"&gt;="&amp;B301,#REF!,"&lt;="&amp;EOMONTH(B301,0))</f>
        <v>#REF!</v>
      </c>
      <c r="AN337" s="1208" t="e">
        <f t="shared" ref="AN337:AN339" si="153">IF(AL337=0,0,AM337/AL337)</f>
        <v>#REF!</v>
      </c>
      <c r="AO337" s="1141" t="e">
        <f ca="1">MINIFS(#REF!,#REF!,"&lt;&gt;0",#REF!,"&gt;="&amp;B301,#REF!,"&lt;="&amp;EOMONTH(B301,0))</f>
        <v>#NAME?</v>
      </c>
      <c r="AP337" s="1141" t="e">
        <f ca="1">MAXIFS(#REF!,#REF!,"&lt;&gt;0",#REF!,"&gt;="&amp;B301,#REF!,"&lt;="&amp;EOMONTH(B301,0))</f>
        <v>#NAME?</v>
      </c>
      <c r="AQ337" s="1285"/>
      <c r="AR337" s="1293"/>
      <c r="AS337" s="1293"/>
      <c r="AT337" s="1293"/>
      <c r="AU337" s="1293"/>
      <c r="AV337" s="1293"/>
      <c r="AW337" s="1293"/>
      <c r="AX337" s="1294"/>
      <c r="AY337" s="1295"/>
      <c r="AZ337" s="1095" t="e">
        <f t="shared" si="149"/>
        <v>#REF!</v>
      </c>
      <c r="BA337" s="2"/>
    </row>
    <row r="338" spans="1:53" ht="15.75" hidden="1" customHeight="1" outlineLevel="1">
      <c r="A338" s="1027"/>
      <c r="B338" s="1096"/>
      <c r="C338" s="1139" t="s">
        <v>301</v>
      </c>
      <c r="D338" s="1102"/>
      <c r="E338" s="1069"/>
      <c r="F338" s="1069"/>
      <c r="G338" s="1069"/>
      <c r="H338" s="1069"/>
      <c r="I338" s="1069"/>
      <c r="J338" s="1102"/>
      <c r="K338" s="1102"/>
      <c r="L338" s="1281"/>
      <c r="M338" s="1289"/>
      <c r="N338" s="1290"/>
      <c r="O338" s="1290"/>
      <c r="P338" s="1286"/>
      <c r="Q338" s="1283"/>
      <c r="R338" s="1286"/>
      <c r="S338" s="1286"/>
      <c r="T338" s="1290"/>
      <c r="U338" s="1290"/>
      <c r="V338" s="1285"/>
      <c r="W338" s="1083">
        <f>Parametres!$T$44</f>
        <v>100000</v>
      </c>
      <c r="X338" s="1329">
        <f>COUNTIFS('Degrémont sortie'!$BA$14:$BA$379,"&gt;0",'Degrémont sortie'!$A$14:$A$379,"&gt;="&amp;B301,'Degrémont sortie'!$A$14:$A$379,"&lt;="&amp;EOMONTH(B301,0))</f>
        <v>28</v>
      </c>
      <c r="Y338" s="1286" t="e">
        <f>SUMIFS('Degrémont sortie'!$BA$14:$BA$379,'Degrémont sortie'!$BA$14:$BA$379,"&lt;&gt;0",'Degrémont sortie'!$A$14:$A$379,"&gt;="&amp;B301,'Degrémont sortie'!$A$14:$A$379,"&lt;="&amp;EOMONTH(B301,0))</f>
        <v>#DIV/0!</v>
      </c>
      <c r="Z338" s="1069" t="e">
        <f t="shared" si="148"/>
        <v>#DIV/0!</v>
      </c>
      <c r="AA338" s="1286" t="e">
        <f ca="1">MINIFS('Degrémont sortie'!$BA$14:$BA$379,'Degrémont sortie'!$BA$14:$BA$379,"&lt;&gt;0",'Degrémont sortie'!$A$14:$A$379,"&gt;="&amp;B301,'Degrémont sortie'!$A$14:$A$379,"&lt;="&amp;EOMONTH(B301,0))</f>
        <v>#NAME?</v>
      </c>
      <c r="AB338" s="1286" t="e">
        <f ca="1">MAXIFS('Degrémont sortie'!$BA$14:$BA$379,'Degrémont sortie'!$BA$14:$BA$379,"&lt;&gt;0",'Degrémont sortie'!$A$14:$A$379,"&gt;="&amp;B301,'Degrémont sortie'!$A$14:$A$379,"&lt;="&amp;EOMONTH(B301,0))</f>
        <v>#NAME?</v>
      </c>
      <c r="AC338" s="1213" t="s">
        <v>153</v>
      </c>
      <c r="AD338" s="1330" t="s">
        <v>153</v>
      </c>
      <c r="AE338" s="1285"/>
      <c r="AF338" s="1293"/>
      <c r="AG338" s="1293"/>
      <c r="AH338" s="1293"/>
      <c r="AI338" s="1293"/>
      <c r="AJ338" s="1293"/>
      <c r="AK338" s="1285"/>
      <c r="AL338" s="1205" t="e">
        <f>COUNTIFS(#REF!,"&gt;0",#REF!,"&gt;="&amp;B301,#REF!,"&lt;="&amp;EOMONTH(B301,0))</f>
        <v>#REF!</v>
      </c>
      <c r="AM338" s="1208" t="e">
        <f>SUMIFS(#REF!,#REF!,"&lt;&gt;0",#REF!,"&gt;="&amp;B301,#REF!,"&lt;="&amp;EOMONTH(B301,0))</f>
        <v>#REF!</v>
      </c>
      <c r="AN338" s="1208" t="e">
        <f t="shared" si="153"/>
        <v>#REF!</v>
      </c>
      <c r="AO338" s="1208" t="e">
        <f ca="1">MINIFS(#REF!,#REF!,"&lt;&gt;0",#REF!,"&gt;="&amp;B301,#REF!,"&lt;="&amp;EOMONTH(B301,0))</f>
        <v>#NAME?</v>
      </c>
      <c r="AP338" s="1208" t="e">
        <f ca="1">MAXIFS(#REF!,#REF!,"&lt;&gt;0",#REF!,"&gt;="&amp;B301,#REF!,"&lt;="&amp;EOMONTH(B301,0))</f>
        <v>#NAME?</v>
      </c>
      <c r="AQ338" s="1285"/>
      <c r="AR338" s="1293"/>
      <c r="AS338" s="1293"/>
      <c r="AT338" s="1293"/>
      <c r="AU338" s="1293"/>
      <c r="AV338" s="1293"/>
      <c r="AW338" s="1293"/>
      <c r="AX338" s="1294"/>
      <c r="AY338" s="1295"/>
      <c r="AZ338" s="1095" t="e">
        <f t="shared" si="149"/>
        <v>#REF!</v>
      </c>
      <c r="BA338" s="2"/>
    </row>
    <row r="339" spans="1:53" ht="15.75" hidden="1" customHeight="1" outlineLevel="1">
      <c r="A339" s="1027"/>
      <c r="B339" s="1096"/>
      <c r="C339" s="1139" t="s">
        <v>302</v>
      </c>
      <c r="D339" s="1102"/>
      <c r="E339" s="1069"/>
      <c r="F339" s="1069"/>
      <c r="G339" s="1069"/>
      <c r="H339" s="1069"/>
      <c r="I339" s="1069"/>
      <c r="J339" s="1102"/>
      <c r="K339" s="1102"/>
      <c r="L339" s="1281"/>
      <c r="M339" s="1289"/>
      <c r="N339" s="1290"/>
      <c r="O339" s="1290"/>
      <c r="P339" s="1286"/>
      <c r="Q339" s="1283"/>
      <c r="R339" s="1286"/>
      <c r="S339" s="1286"/>
      <c r="T339" s="1290"/>
      <c r="U339" s="1290"/>
      <c r="V339" s="1285"/>
      <c r="W339" s="1083">
        <f>Parametres!$T$45</f>
        <v>10000</v>
      </c>
      <c r="X339" s="1331">
        <f>COUNTIFS('Degrémont sortie'!BB$14:BB$379,"&gt;0",'Degrémont sortie'!$A$14:$A$379,"&gt;="&amp;B301,'Degrémont sortie'!$A$14:$A$379,"&lt;="&amp;EOMONTH(B301,0))</f>
        <v>28</v>
      </c>
      <c r="Y339" s="1286" t="e">
        <f>SUMIFS('Degrémont sortie'!$BB$14:$BB$379,'Degrémont sortie'!$BB$14:$BB$379,"&lt;&gt;0",'Degrémont sortie'!$A$14:$A$379,"&gt;="&amp;B301,'Degrémont sortie'!$A$14:$A$379,"&lt;="&amp;EOMONTH(B301,0))</f>
        <v>#DIV/0!</v>
      </c>
      <c r="Z339" s="1069" t="e">
        <f t="shared" si="148"/>
        <v>#DIV/0!</v>
      </c>
      <c r="AA339" s="1286" t="e">
        <f ca="1">MINIFS('Degrémont sortie'!$BB$14:$BB$379,'Degrémont sortie'!$BB$14:$BB$379,"&lt;&gt;0",'Degrémont sortie'!$A$14:$A$379,"&gt;="&amp;B301,'Degrémont sortie'!$A$14:$A$379,"&lt;="&amp;EOMONTH(B301,0))</f>
        <v>#NAME?</v>
      </c>
      <c r="AB339" s="1286" t="e">
        <f ca="1">MAXIFS('Degrémont sortie'!$BB$14:$BB$379,'Degrémont sortie'!$BB$14:$BB$379,"&lt;&gt;0",'Degrémont sortie'!$A$14:$A$379,"&gt;="&amp;B301,'Degrémont sortie'!$A$14:$A$379,"&lt;="&amp;EOMONTH(B301,0))</f>
        <v>#NAME?</v>
      </c>
      <c r="AC339" s="1213" t="s">
        <v>153</v>
      </c>
      <c r="AD339" s="1330" t="s">
        <v>153</v>
      </c>
      <c r="AE339" s="1285"/>
      <c r="AF339" s="1293"/>
      <c r="AG339" s="1293"/>
      <c r="AH339" s="1293"/>
      <c r="AI339" s="1293"/>
      <c r="AJ339" s="1293"/>
      <c r="AK339" s="1285"/>
      <c r="AL339" s="1205" t="e">
        <f>COUNTIFS(#REF!,"&gt;0",#REF!,"&gt;="&amp;B301,#REF!,"&lt;="&amp;EOMONTH(B301,0))</f>
        <v>#REF!</v>
      </c>
      <c r="AM339" s="1208" t="e">
        <f>SUMIFS(#REF!,#REF!,"&lt;&gt;0",#REF!,"&gt;="&amp;B301,#REF!,"&lt;="&amp;EOMONTH(B301,0))</f>
        <v>#REF!</v>
      </c>
      <c r="AN339" s="1208" t="e">
        <f t="shared" si="153"/>
        <v>#REF!</v>
      </c>
      <c r="AO339" s="1208" t="e">
        <f ca="1">MINIFS(#REF!,#REF!,"&lt;&gt;0",#REF!,"&gt;="&amp;B301,#REF!,"&lt;="&amp;EOMONTH(B301,0))</f>
        <v>#NAME?</v>
      </c>
      <c r="AP339" s="1208" t="e">
        <f ca="1">MAXIFS(#REF!,#REF!,"&lt;&gt;0",#REF!,"&gt;="&amp;B301,#REF!,"&lt;="&amp;EOMONTH(B301,0))</f>
        <v>#NAME?</v>
      </c>
      <c r="AQ339" s="1285"/>
      <c r="AR339" s="1293"/>
      <c r="AS339" s="1293"/>
      <c r="AT339" s="1293"/>
      <c r="AU339" s="1293"/>
      <c r="AV339" s="1293"/>
      <c r="AW339" s="1293"/>
      <c r="AX339" s="1294"/>
      <c r="AY339" s="1295"/>
      <c r="AZ339" s="1095" t="e">
        <f t="shared" si="149"/>
        <v>#REF!</v>
      </c>
      <c r="BA339" s="2"/>
    </row>
    <row r="340" spans="1:53" ht="15.75" hidden="1" customHeight="1" outlineLevel="1">
      <c r="A340" s="1027"/>
      <c r="B340" s="1096"/>
      <c r="C340" s="1139" t="s">
        <v>303</v>
      </c>
      <c r="D340" s="1102"/>
      <c r="E340" s="1069"/>
      <c r="F340" s="1069"/>
      <c r="G340" s="1069"/>
      <c r="H340" s="1069"/>
      <c r="I340" s="1069"/>
      <c r="J340" s="1102"/>
      <c r="K340" s="1102"/>
      <c r="L340" s="1281"/>
      <c r="M340" s="1289"/>
      <c r="N340" s="1290"/>
      <c r="O340" s="1290"/>
      <c r="P340" s="1286"/>
      <c r="Q340" s="1283"/>
      <c r="R340" s="1286"/>
      <c r="S340" s="1286"/>
      <c r="T340" s="1290"/>
      <c r="U340" s="1290"/>
      <c r="V340" s="1285"/>
      <c r="W340" s="1083">
        <f>Parametres!$T$46</f>
        <v>10000</v>
      </c>
      <c r="X340" s="1142">
        <f>COUNTIFS('Degrémont sortie'!$BC$14:$BC$379,"&gt;0",'Degrémont sortie'!$A$14:$A$379,"&gt;="&amp;B301,'Degrémont sortie'!$A$14:$A$379,"&lt;="&amp;EOMONTH(B301,0))</f>
        <v>27</v>
      </c>
      <c r="Y340" s="1085" t="e">
        <f>SUMIFS('Degrémont sortie'!$BC$14:$BC$379,'Degrémont sortie'!$BC$14:$BC$379,"&lt;&gt;0",'Degrémont sortie'!$A$14:$A$379,"&gt;="&amp;B301,'Degrémont sortie'!$A$14:$A$379,"&lt;="&amp;EOMONTH(B301,0))</f>
        <v>#VALUE!</v>
      </c>
      <c r="Z340" s="1069" t="e">
        <f t="shared" si="148"/>
        <v>#VALUE!</v>
      </c>
      <c r="AA340" s="1286" t="e">
        <f ca="1">MINIFS('Degrémont sortie'!$BC$14:$BC$379,'Degrémont sortie'!$BC$14:$BC$379,"&lt;&gt;0",'Degrémont sortie'!$A$14:$A$379,"&gt;="&amp;B301,'Degrémont sortie'!$A$14:$A$379,"&lt;="&amp;EOMONTH(B301,0))</f>
        <v>#NAME?</v>
      </c>
      <c r="AB340" s="1286" t="e">
        <f ca="1">MAXIFS('Degrémont sortie'!$BC$14:$BC$379,'Degrémont sortie'!$BC$14:$BC$379,"&lt;&gt;0",'Degrémont sortie'!$A$14:$A$379,"&gt;="&amp;B301,'Degrémont sortie'!$A$14:$A$379,"&lt;="&amp;EOMONTH(B301,0))</f>
        <v>#NAME?</v>
      </c>
      <c r="AC340" s="1291" t="s">
        <v>153</v>
      </c>
      <c r="AD340" s="1292" t="s">
        <v>153</v>
      </c>
      <c r="AE340" s="1285"/>
      <c r="AF340" s="1293"/>
      <c r="AG340" s="1293"/>
      <c r="AH340" s="1293"/>
      <c r="AI340" s="1293"/>
      <c r="AJ340" s="1293"/>
      <c r="AK340" s="1285"/>
      <c r="AL340" s="1293"/>
      <c r="AM340" s="1293"/>
      <c r="AN340" s="1293"/>
      <c r="AO340" s="1293"/>
      <c r="AP340" s="1293"/>
      <c r="AQ340" s="1285"/>
      <c r="AR340" s="1293"/>
      <c r="AS340" s="1293"/>
      <c r="AT340" s="1293"/>
      <c r="AU340" s="1293"/>
      <c r="AV340" s="1293"/>
      <c r="AW340" s="1293"/>
      <c r="AX340" s="1294"/>
      <c r="AY340" s="1295"/>
      <c r="AZ340" s="1095">
        <f t="shared" si="149"/>
        <v>27</v>
      </c>
      <c r="BA340" s="2"/>
    </row>
    <row r="341" spans="1:53" ht="15.75" hidden="1" customHeight="1" outlineLevel="1">
      <c r="A341" s="1027"/>
      <c r="B341" s="1096"/>
      <c r="C341" s="1139" t="s">
        <v>338</v>
      </c>
      <c r="D341" s="1102"/>
      <c r="E341" s="1069"/>
      <c r="F341" s="1069"/>
      <c r="G341" s="1069"/>
      <c r="H341" s="1069"/>
      <c r="I341" s="1069"/>
      <c r="J341" s="1102"/>
      <c r="K341" s="1102"/>
      <c r="L341" s="1281"/>
      <c r="M341" s="1289"/>
      <c r="N341" s="1290"/>
      <c r="O341" s="1290"/>
      <c r="P341" s="1286"/>
      <c r="Q341" s="1283"/>
      <c r="R341" s="1286"/>
      <c r="S341" s="1286"/>
      <c r="T341" s="1290"/>
      <c r="U341" s="1290"/>
      <c r="V341" s="1285"/>
      <c r="W341" s="1293"/>
      <c r="X341" s="1293"/>
      <c r="Y341" s="1286"/>
      <c r="Z341" s="1286"/>
      <c r="AA341" s="1286"/>
      <c r="AB341" s="1286"/>
      <c r="AC341" s="1293"/>
      <c r="AD341" s="1249"/>
      <c r="AE341" s="1285"/>
      <c r="AF341" s="1293"/>
      <c r="AG341" s="1293"/>
      <c r="AH341" s="1293"/>
      <c r="AI341" s="1293"/>
      <c r="AJ341" s="1293"/>
      <c r="AK341" s="1285"/>
      <c r="AL341" s="1293"/>
      <c r="AM341" s="1293"/>
      <c r="AN341" s="1293"/>
      <c r="AO341" s="1293"/>
      <c r="AP341" s="1293"/>
      <c r="AQ341" s="1285"/>
      <c r="AR341" s="1293"/>
      <c r="AS341" s="1293"/>
      <c r="AT341" s="1293"/>
      <c r="AU341" s="1293"/>
      <c r="AV341" s="1293"/>
      <c r="AW341" s="1293"/>
      <c r="AX341" s="1294"/>
      <c r="AY341" s="1295"/>
      <c r="AZ341" s="1095">
        <f t="shared" si="149"/>
        <v>0</v>
      </c>
      <c r="BA341" s="2"/>
    </row>
    <row r="342" spans="1:53" ht="15.75" hidden="1" customHeight="1" outlineLevel="1">
      <c r="A342" s="1027"/>
      <c r="B342" s="1096"/>
      <c r="C342" s="1139" t="s">
        <v>339</v>
      </c>
      <c r="D342" s="1122">
        <f>Parametres!$D$48</f>
        <v>30</v>
      </c>
      <c r="E342" s="1068" t="e">
        <f>COUNTIFS(#REF!,"&gt;0",#REF!,"&gt;="&amp;B301,#REF!,"&lt;="&amp;EOMONTH(B301,0))</f>
        <v>#REF!</v>
      </c>
      <c r="F342" s="1069" t="e">
        <f>SUMIFS(#REF!,#REF!,"&lt;&gt;0",#REF!,"&gt;="&amp;B301,#REF!,"&lt;="&amp;EOMONTH(B301,0))</f>
        <v>#REF!</v>
      </c>
      <c r="G342" s="1069" t="e">
        <f t="shared" ref="G342:G346" si="154">IF(E342=0,0,F342/E342)</f>
        <v>#REF!</v>
      </c>
      <c r="H342" s="1069" t="e">
        <f ca="1">MINIFS(#REF!,#REF!,"&lt;&gt;0",#REF!,"&gt;="&amp;B301,#REF!,"&lt;="&amp;EOMONTH(B301,0))</f>
        <v>#NAME?</v>
      </c>
      <c r="I342" s="1069" t="e">
        <f ca="1">MAXIFS(#REF!,#REF!,"&lt;&gt;0",#REF!,"&gt;="&amp;B301,#REF!,"&lt;="&amp;EOMONTH(B301,0))</f>
        <v>#NAME?</v>
      </c>
      <c r="J342" s="1114" t="e">
        <f>COUNTIFS(#REF!,"&gt;="&amp;D342,#REF!,"&gt;="&amp;B301,#REF!,"&lt;="&amp;EOMONTH(B301,0))</f>
        <v>#REF!</v>
      </c>
      <c r="K342" s="1341" t="e">
        <f t="shared" ref="K342:K346" si="155">J342/E342</f>
        <v>#REF!</v>
      </c>
      <c r="L342" s="1281"/>
      <c r="M342" s="1289"/>
      <c r="N342" s="1290"/>
      <c r="O342" s="1290"/>
      <c r="P342" s="1286"/>
      <c r="Q342" s="1283"/>
      <c r="R342" s="1286"/>
      <c r="S342" s="1286"/>
      <c r="T342" s="1290"/>
      <c r="U342" s="1290"/>
      <c r="V342" s="1285"/>
      <c r="W342" s="1293"/>
      <c r="X342" s="1293"/>
      <c r="Y342" s="1286"/>
      <c r="Z342" s="1286"/>
      <c r="AA342" s="1286"/>
      <c r="AB342" s="1286"/>
      <c r="AC342" s="1293"/>
      <c r="AD342" s="1249"/>
      <c r="AE342" s="1285"/>
      <c r="AF342" s="1293"/>
      <c r="AG342" s="1293"/>
      <c r="AH342" s="1293"/>
      <c r="AI342" s="1293"/>
      <c r="AJ342" s="1293"/>
      <c r="AK342" s="1285"/>
      <c r="AL342" s="1293"/>
      <c r="AM342" s="1293"/>
      <c r="AN342" s="1293"/>
      <c r="AO342" s="1293"/>
      <c r="AP342" s="1293"/>
      <c r="AQ342" s="1285"/>
      <c r="AR342" s="1293"/>
      <c r="AS342" s="1293"/>
      <c r="AT342" s="1293"/>
      <c r="AU342" s="1293"/>
      <c r="AV342" s="1293"/>
      <c r="AW342" s="1293"/>
      <c r="AX342" s="1294"/>
      <c r="AY342" s="1295"/>
      <c r="AZ342" s="1095" t="e">
        <f t="shared" si="149"/>
        <v>#REF!</v>
      </c>
      <c r="BA342" s="2"/>
    </row>
    <row r="343" spans="1:53" ht="15.75" hidden="1" customHeight="1" outlineLevel="1">
      <c r="A343" s="1027"/>
      <c r="B343" s="1096"/>
      <c r="C343" s="1302" t="s">
        <v>24</v>
      </c>
      <c r="D343" s="1122">
        <f>Parametres!$D$50</f>
        <v>4</v>
      </c>
      <c r="E343" s="1068" t="e">
        <f>COUNTIFS(#REF!,"&gt;0",#REF!,"&gt;="&amp;B301,#REF!,"&lt;="&amp;EOMONTH(B301,0))</f>
        <v>#REF!</v>
      </c>
      <c r="F343" s="1069" t="e">
        <f>SUMIFS(#REF!,#REF!,"&lt;&gt;0",#REF!,"&gt;="&amp;B301,#REF!,"&lt;="&amp;EOMONTH(B301,0))</f>
        <v>#REF!</v>
      </c>
      <c r="G343" s="1069" t="e">
        <f t="shared" si="154"/>
        <v>#REF!</v>
      </c>
      <c r="H343" s="1069" t="e">
        <f ca="1">MINIFS(#REF!,#REF!,"&lt;&gt;0",#REF!,"&gt;="&amp;B301,#REF!,"&lt;="&amp;EOMONTH(B301,0))</f>
        <v>#NAME?</v>
      </c>
      <c r="I343" s="1069" t="e">
        <f ca="1">MAXIFS(#REF!,#REF!,"&lt;&gt;0",#REF!,"&gt;="&amp;B301,#REF!,"&lt;="&amp;EOMONTH(B301,0))</f>
        <v>#NAME?</v>
      </c>
      <c r="J343" s="1114" t="e">
        <f>COUNTIFS(#REF!,"&gt;="&amp;D343,#REF!,"&gt;="&amp;B301,#REF!,"&lt;="&amp;EOMONTH(B301,0))</f>
        <v>#REF!</v>
      </c>
      <c r="K343" s="1341" t="e">
        <f t="shared" si="155"/>
        <v>#REF!</v>
      </c>
      <c r="L343" s="1281"/>
      <c r="M343" s="1289"/>
      <c r="N343" s="1290"/>
      <c r="O343" s="1290"/>
      <c r="P343" s="1286"/>
      <c r="Q343" s="1283"/>
      <c r="R343" s="1286"/>
      <c r="S343" s="1286"/>
      <c r="T343" s="1290"/>
      <c r="U343" s="1290"/>
      <c r="V343" s="1285"/>
      <c r="W343" s="1293"/>
      <c r="X343" s="1293"/>
      <c r="Y343" s="1286"/>
      <c r="Z343" s="1286"/>
      <c r="AA343" s="1286"/>
      <c r="AB343" s="1286"/>
      <c r="AC343" s="1293"/>
      <c r="AD343" s="1249"/>
      <c r="AE343" s="1285"/>
      <c r="AF343" s="1293"/>
      <c r="AG343" s="1293"/>
      <c r="AH343" s="1293"/>
      <c r="AI343" s="1293"/>
      <c r="AJ343" s="1293"/>
      <c r="AK343" s="1285"/>
      <c r="AL343" s="1293"/>
      <c r="AM343" s="1293"/>
      <c r="AN343" s="1293"/>
      <c r="AO343" s="1293"/>
      <c r="AP343" s="1293"/>
      <c r="AQ343" s="1285"/>
      <c r="AR343" s="1293"/>
      <c r="AS343" s="1293"/>
      <c r="AT343" s="1293"/>
      <c r="AU343" s="1293"/>
      <c r="AV343" s="1293"/>
      <c r="AW343" s="1293"/>
      <c r="AX343" s="1294"/>
      <c r="AY343" s="1295"/>
      <c r="AZ343" s="1095" t="e">
        <f t="shared" si="149"/>
        <v>#REF!</v>
      </c>
      <c r="BA343" s="2"/>
    </row>
    <row r="344" spans="1:53" ht="15.75" hidden="1" customHeight="1" outlineLevel="1">
      <c r="A344" s="1027"/>
      <c r="B344" s="1096"/>
      <c r="C344" s="1302" t="s">
        <v>168</v>
      </c>
      <c r="D344" s="1122" t="e">
        <f>#REF!</f>
        <v>#REF!</v>
      </c>
      <c r="E344" s="1068" t="e">
        <f>COUNTIFS(#REF!,"&gt;0",#REF!,"&gt;="&amp;B301,#REF!,"&lt;="&amp;EOMONTH(B301,0))</f>
        <v>#REF!</v>
      </c>
      <c r="F344" s="1069" t="e">
        <f>SUMIFS(#REF!,#REF!,"&lt;&gt;0",#REF!,"&gt;="&amp;B301,#REF!,"&lt;="&amp;EOMONTH(B301,0))</f>
        <v>#REF!</v>
      </c>
      <c r="G344" s="1069" t="e">
        <f t="shared" si="154"/>
        <v>#REF!</v>
      </c>
      <c r="H344" s="1069" t="e">
        <f ca="1">MINIFS(#REF!,#REF!,"&lt;&gt;0",#REF!,"&gt;="&amp;B301,#REF!,"&lt;="&amp;EOMONTH(B301,0))</f>
        <v>#NAME?</v>
      </c>
      <c r="I344" s="1069" t="e">
        <f ca="1">MAXIFS(#REF!,#REF!,"&lt;&gt;0",#REF!,"&gt;="&amp;B301,#REF!,"&lt;="&amp;EOMONTH(B301,0))</f>
        <v>#NAME?</v>
      </c>
      <c r="J344" s="1072" t="e">
        <f>COUNTIFS(#REF!,"&gt;="&amp;D344,#REF!,"&gt;="&amp;B301,#REF!,"&lt;="&amp;EOMONTH(B301,0))</f>
        <v>#REF!</v>
      </c>
      <c r="K344" s="1341" t="e">
        <f t="shared" si="155"/>
        <v>#REF!</v>
      </c>
      <c r="L344" s="1281"/>
      <c r="M344" s="1289"/>
      <c r="N344" s="1290"/>
      <c r="O344" s="1290"/>
      <c r="P344" s="1286"/>
      <c r="Q344" s="1283"/>
      <c r="R344" s="1286"/>
      <c r="S344" s="1286"/>
      <c r="T344" s="1290"/>
      <c r="U344" s="1290"/>
      <c r="V344" s="1285"/>
      <c r="W344" s="1293"/>
      <c r="X344" s="1293"/>
      <c r="Y344" s="1286"/>
      <c r="Z344" s="1286"/>
      <c r="AA344" s="1286"/>
      <c r="AB344" s="1286"/>
      <c r="AC344" s="1293"/>
      <c r="AD344" s="1249"/>
      <c r="AE344" s="1285"/>
      <c r="AF344" s="1293"/>
      <c r="AG344" s="1293"/>
      <c r="AH344" s="1293"/>
      <c r="AI344" s="1293"/>
      <c r="AJ344" s="1293"/>
      <c r="AK344" s="1285"/>
      <c r="AL344" s="1293"/>
      <c r="AM344" s="1293"/>
      <c r="AN344" s="1293"/>
      <c r="AO344" s="1293"/>
      <c r="AP344" s="1293"/>
      <c r="AQ344" s="1285"/>
      <c r="AR344" s="1293"/>
      <c r="AS344" s="1293"/>
      <c r="AT344" s="1293"/>
      <c r="AU344" s="1293"/>
      <c r="AV344" s="1293"/>
      <c r="AW344" s="1293"/>
      <c r="AX344" s="1294"/>
      <c r="AY344" s="1295"/>
      <c r="AZ344" s="1095" t="e">
        <f t="shared" si="149"/>
        <v>#REF!</v>
      </c>
      <c r="BA344" s="2"/>
    </row>
    <row r="345" spans="1:53" ht="15.75" hidden="1" customHeight="1" outlineLevel="1">
      <c r="A345" s="1027"/>
      <c r="B345" s="1096"/>
      <c r="C345" s="1302" t="s">
        <v>25</v>
      </c>
      <c r="D345" s="1122">
        <f>Parametres!$D$51</f>
        <v>1.5</v>
      </c>
      <c r="E345" s="1068" t="e">
        <f>COUNTIFS(#REF!,"&gt;0",#REF!,"&gt;="&amp;B301,#REF!,"&lt;="&amp;EOMONTH(B301,0))</f>
        <v>#REF!</v>
      </c>
      <c r="F345" s="1069" t="e">
        <f>SUMIFS(#REF!,#REF!,"&lt;&gt;0",#REF!,"&gt;="&amp;B301,#REF!,"&lt;="&amp;EOMONTH(B301,0))</f>
        <v>#REF!</v>
      </c>
      <c r="G345" s="1069" t="e">
        <f t="shared" si="154"/>
        <v>#REF!</v>
      </c>
      <c r="H345" s="1069" t="e">
        <f ca="1">MINIFS(#REF!,#REF!,"&lt;&gt;0",#REF!,"&gt;="&amp;B301,#REF!,"&lt;="&amp;EOMONTH(B301,0))</f>
        <v>#NAME?</v>
      </c>
      <c r="I345" s="1069" t="e">
        <f ca="1">MAXIFS(#REF!,#REF!,"&lt;&gt;0",#REF!,"&gt;="&amp;B301,#REF!,"&lt;="&amp;EOMONTH(B301,0))</f>
        <v>#NAME?</v>
      </c>
      <c r="J345" s="1114" t="e">
        <f>COUNTIFS(#REF!,"&gt;="&amp;D345,#REF!,"&gt;="&amp;B301,#REF!,"&lt;="&amp;EOMONTH(B301,0))</f>
        <v>#REF!</v>
      </c>
      <c r="K345" s="1341" t="e">
        <f t="shared" si="155"/>
        <v>#REF!</v>
      </c>
      <c r="L345" s="1281"/>
      <c r="M345" s="1289"/>
      <c r="N345" s="1290"/>
      <c r="O345" s="1290"/>
      <c r="P345" s="1286"/>
      <c r="Q345" s="1283"/>
      <c r="R345" s="1286"/>
      <c r="S345" s="1286"/>
      <c r="T345" s="1290"/>
      <c r="U345" s="1290"/>
      <c r="V345" s="1285"/>
      <c r="W345" s="1293"/>
      <c r="X345" s="1293"/>
      <c r="Y345" s="1286"/>
      <c r="Z345" s="1286"/>
      <c r="AA345" s="1286"/>
      <c r="AB345" s="1286"/>
      <c r="AC345" s="1293"/>
      <c r="AD345" s="1249"/>
      <c r="AE345" s="1285"/>
      <c r="AF345" s="1293"/>
      <c r="AG345" s="1293"/>
      <c r="AH345" s="1293"/>
      <c r="AI345" s="1293"/>
      <c r="AJ345" s="1293"/>
      <c r="AK345" s="1285"/>
      <c r="AL345" s="1293"/>
      <c r="AM345" s="1293"/>
      <c r="AN345" s="1293"/>
      <c r="AO345" s="1293"/>
      <c r="AP345" s="1293"/>
      <c r="AQ345" s="1285"/>
      <c r="AR345" s="1293"/>
      <c r="AS345" s="1293"/>
      <c r="AT345" s="1293"/>
      <c r="AU345" s="1293"/>
      <c r="AV345" s="1293"/>
      <c r="AW345" s="1293"/>
      <c r="AX345" s="1294"/>
      <c r="AY345" s="1295"/>
      <c r="AZ345" s="1095" t="e">
        <f t="shared" si="149"/>
        <v>#REF!</v>
      </c>
      <c r="BA345" s="2"/>
    </row>
    <row r="346" spans="1:53" ht="15.75" hidden="1" customHeight="1" outlineLevel="1">
      <c r="A346" s="1027"/>
      <c r="B346" s="1332"/>
      <c r="C346" s="1139" t="s">
        <v>47</v>
      </c>
      <c r="D346" s="1122">
        <f>Parametres!$D$52</f>
        <v>2</v>
      </c>
      <c r="E346" s="1068" t="e">
        <f>COUNTIFS(#REF!,"&gt;0",#REF!,"&gt;="&amp;B301,#REF!,"&lt;="&amp;EOMONTH(B301,0))</f>
        <v>#REF!</v>
      </c>
      <c r="F346" s="1069" t="e">
        <f>SUMIFS(#REF!,#REF!,"&lt;&gt;0",#REF!,"&gt;="&amp;B301,#REF!,"&lt;="&amp;EOMONTH(B301,0))</f>
        <v>#REF!</v>
      </c>
      <c r="G346" s="1069" t="e">
        <f t="shared" si="154"/>
        <v>#REF!</v>
      </c>
      <c r="H346" s="1069" t="e">
        <f ca="1">MINIFS(#REF!,#REF!,"&lt;&gt;0",#REF!,"&gt;="&amp;B301,#REF!,"&lt;="&amp;EOMONTH(B301,0))</f>
        <v>#NAME?</v>
      </c>
      <c r="I346" s="1069" t="e">
        <f ca="1">MAXIFS(#REF!,#REF!,"&lt;&gt;0",#REF!,"&gt;="&amp;B301,#REF!,"&lt;="&amp;EOMONTH(B301,0))</f>
        <v>#NAME?</v>
      </c>
      <c r="J346" s="1072" t="e">
        <f>COUNTIFS(#REF!,"&gt;="&amp;D346,#REF!,"&gt;="&amp;B301,#REF!,"&lt;="&amp;EOMONTH(B301,0))</f>
        <v>#REF!</v>
      </c>
      <c r="K346" s="1341" t="e">
        <f t="shared" si="155"/>
        <v>#REF!</v>
      </c>
      <c r="L346" s="1281"/>
      <c r="M346" s="1289"/>
      <c r="N346" s="1144">
        <f>Parametres!$L$52</f>
        <v>90</v>
      </c>
      <c r="O346" s="1077">
        <f>COUNTIFS('Degrémont Entrée'!$AY$14:$AY$379,"&gt;0",'Degrémont Entrée'!$A$14:$A$379,"&gt;="&amp;B301,'Degrémont Entrée'!$A$14:$A$379,"&lt;="&amp;EOMONTH(B301,0))</f>
        <v>5</v>
      </c>
      <c r="P346" s="1078">
        <f>SUMIFS('Degrémont Entrée'!$AY$14:$AY$379,'Degrémont Entrée'!$AY$14:$AY$379,"&lt;&gt;0",'Degrémont Entrée'!$A$14:$A$379,"&gt;="&amp;B301,'Degrémont Entrée'!$A$14:$A$379,"&lt;="&amp;EOMONTH(B301,0))</f>
        <v>1319.2199999999998</v>
      </c>
      <c r="Q346" s="1283">
        <f>IF(O346=0,0,P346/O346)</f>
        <v>263.84399999999994</v>
      </c>
      <c r="R346" s="1286" t="e">
        <f ca="1">MINIFS('Degrémont Entrée'!$AY$14:$AY$379,'Degrémont Entrée'!$AY$14:$AY$379,"&lt;&gt;0",'Degrémont Entrée'!$A$14:$A$379,"&gt;="&amp;B301,'Degrémont Entrée'!$A$14:$A$379,"&lt;="&amp;EOMONTH(B301,0))</f>
        <v>#NAME?</v>
      </c>
      <c r="S346" s="1286" t="e">
        <f ca="1">MAXIFS('Degrémont Entrée'!$AY$14:$AY$379,'Degrémont Entrée'!$AY$14:$AY$379,"&lt;&gt;0",'Degrémont Entrée'!$A$14:$A$379,"&gt;="&amp;B301,'Degrémont Entrée'!$A$14:$A$379,"&lt;="&amp;EOMONTH(B301,0))</f>
        <v>#NAME?</v>
      </c>
      <c r="T346" s="1141">
        <f>COUNTIFS('Degrémont Entrée'!$AY$14:$AY$379,"&gt;="&amp;N346,'Degrémont Entrée'!$A$14:$A$379,"&gt;="&amp;B301,'Degrémont Entrée'!$A$14:$A$379,"&lt;="&amp;EOMONTH(B301,0))</f>
        <v>5</v>
      </c>
      <c r="U346" s="1081">
        <f>T346/O346</f>
        <v>1</v>
      </c>
      <c r="V346" s="1285"/>
      <c r="W346" s="1083">
        <f>Parametres!$T$52</f>
        <v>0.64</v>
      </c>
      <c r="X346" s="1142">
        <f>COUNTIFS('Degrémont sortie'!$AS$14:$AS$379,"&gt;0",'Degrémont sortie'!$A$14:$A$379,"&gt;="&amp;B301,'Degrémont sortie'!$A$14:$A$379,"&lt;="&amp;EOMONTH(B301,0))</f>
        <v>5</v>
      </c>
      <c r="Y346" s="1085">
        <f>SUMIFS('Degrémont sortie'!$AS$14:$AS$379,'Degrémont sortie'!$AS$14:$AS$379,"&lt;&gt;0",'Degrémont sortie'!$A$14:$A$379,"&gt;="&amp;B301,'Degrémont sortie'!$A$14:$A$379,"&lt;="&amp;EOMONTH(B301,0))</f>
        <v>1.95</v>
      </c>
      <c r="Z346" s="1069">
        <f>IF(X346=0,0,Y346/X346)</f>
        <v>0.39</v>
      </c>
      <c r="AA346" s="1286" t="e">
        <f ca="1">MINIFS('Degrémont sortie'!$AS$14:$AS$379,'Degrémont sortie'!$AS$14:$AS$379,"&lt;&gt;0",'Degrémont sortie'!$A$14:$A$379,"&gt;="&amp;B301,'Degrémont sortie'!$A$14:$A$379,"&lt;="&amp;EOMONTH(B301,0))</f>
        <v>#NAME?</v>
      </c>
      <c r="AB346" s="1286" t="e">
        <f ca="1">MAXIFS('Degrémont sortie'!$AS$14:$AS$379,'Degrémont sortie'!$AS$14:$AS$379,"&lt;&gt;0",'Degrémont sortie'!$A$14:$A$379,"&gt;="&amp;B301,'Degrémont sortie'!$A$14:$A$379,"&lt;="&amp;EOMONTH(B301,0))</f>
        <v>#NAME?</v>
      </c>
      <c r="AC346" s="1141">
        <f>COUNTIFS('Degrémont sortie'!$AS$14:$AS$379,"&gt;="&amp;W346,'Degrémont sortie'!$A$14:$A$379,"&gt;="&amp;B301,'Degrémont sortie'!$A$14:$A$379,"&lt;="&amp;EOMONTH(B301,0))</f>
        <v>0</v>
      </c>
      <c r="AD346" s="1087">
        <f>AC346/X346</f>
        <v>0</v>
      </c>
      <c r="AE346" s="1285"/>
      <c r="AF346" s="1293"/>
      <c r="AG346" s="1293"/>
      <c r="AH346" s="1293"/>
      <c r="AI346" s="1293"/>
      <c r="AJ346" s="1293"/>
      <c r="AK346" s="1285"/>
      <c r="AL346" s="1293"/>
      <c r="AM346" s="1293"/>
      <c r="AN346" s="1293"/>
      <c r="AO346" s="1293"/>
      <c r="AP346" s="1293"/>
      <c r="AQ346" s="1285"/>
      <c r="AR346" s="1293"/>
      <c r="AS346" s="1293"/>
      <c r="AT346" s="1293"/>
      <c r="AU346" s="1293"/>
      <c r="AV346" s="1293"/>
      <c r="AW346" s="1293"/>
      <c r="AX346" s="1294"/>
      <c r="AY346" s="1295"/>
      <c r="AZ346" s="1095" t="e">
        <f t="shared" si="149"/>
        <v>#REF!</v>
      </c>
      <c r="BA346" s="2"/>
    </row>
    <row r="347" spans="1:53" ht="15.75" customHeight="1" collapsed="1">
      <c r="A347" s="1027"/>
      <c r="B347" s="1370"/>
      <c r="C347" s="13"/>
      <c r="D347" s="1371"/>
      <c r="E347" s="1357"/>
      <c r="F347" s="1358"/>
      <c r="G347" s="1358"/>
      <c r="H347" s="1358"/>
      <c r="I347" s="1358"/>
      <c r="J347" s="1076"/>
      <c r="K347" s="1076"/>
      <c r="L347" s="1076"/>
      <c r="M347" s="1289"/>
      <c r="N347" s="1076"/>
      <c r="O347" s="1076"/>
      <c r="P347" s="1358"/>
      <c r="Q347" s="1358"/>
      <c r="R347" s="1364"/>
      <c r="S347" s="1364"/>
      <c r="T347" s="13"/>
      <c r="U347" s="13"/>
      <c r="V347" s="1289"/>
      <c r="W347" s="1076"/>
      <c r="X347" s="1076"/>
      <c r="Y347" s="1358"/>
      <c r="Z347" s="1358"/>
      <c r="AA347" s="1364"/>
      <c r="AB347" s="1364"/>
      <c r="AC347" s="13"/>
      <c r="AD347" s="13"/>
      <c r="AE347" s="1289"/>
      <c r="AF347" s="1372"/>
      <c r="AG347" s="1372"/>
      <c r="AH347" s="1372"/>
      <c r="AI347" s="1372"/>
      <c r="AJ347" s="1372"/>
      <c r="AK347" s="1289"/>
      <c r="AL347" s="1372"/>
      <c r="AM347" s="1372"/>
      <c r="AN347" s="1372"/>
      <c r="AO347" s="1372"/>
      <c r="AP347" s="1372"/>
      <c r="AQ347" s="1289"/>
      <c r="AR347" s="1372"/>
      <c r="AS347" s="1372"/>
      <c r="AT347" s="1372"/>
      <c r="AU347" s="1372"/>
      <c r="AV347" s="1372"/>
      <c r="AW347" s="1372"/>
      <c r="AX347" s="1372"/>
      <c r="AY347" s="1372"/>
      <c r="AZ347" s="1095"/>
      <c r="BA347" s="2"/>
    </row>
    <row r="348" spans="1:53" ht="15.75" hidden="1" customHeight="1" outlineLevel="1">
      <c r="A348" s="1027"/>
      <c r="B348" s="1033"/>
      <c r="C348" s="2"/>
      <c r="D348" s="1039"/>
      <c r="E348" s="1555" t="s">
        <v>283</v>
      </c>
      <c r="F348" s="1420"/>
      <c r="G348" s="1420"/>
      <c r="H348" s="1420"/>
      <c r="I348" s="1420"/>
      <c r="J348" s="1420"/>
      <c r="K348" s="1420"/>
      <c r="L348" s="1421"/>
      <c r="M348" s="1045"/>
      <c r="N348" s="1333"/>
      <c r="O348" s="1550" t="s">
        <v>288</v>
      </c>
      <c r="P348" s="1420"/>
      <c r="Q348" s="1420"/>
      <c r="R348" s="1420"/>
      <c r="S348" s="1420"/>
      <c r="T348" s="1421"/>
      <c r="U348" s="1334"/>
      <c r="V348" s="1046"/>
      <c r="W348" s="1335"/>
      <c r="X348" s="1549" t="s">
        <v>289</v>
      </c>
      <c r="Y348" s="1517"/>
      <c r="Z348" s="1517"/>
      <c r="AA348" s="1517"/>
      <c r="AB348" s="1517"/>
      <c r="AC348" s="1514"/>
      <c r="AD348" s="1335"/>
      <c r="AE348" s="1046"/>
      <c r="AF348" s="1549" t="s">
        <v>199</v>
      </c>
      <c r="AG348" s="1517"/>
      <c r="AH348" s="1517"/>
      <c r="AI348" s="1517"/>
      <c r="AJ348" s="1514"/>
      <c r="AK348" s="1046"/>
      <c r="AL348" s="1549" t="s">
        <v>200</v>
      </c>
      <c r="AM348" s="1517"/>
      <c r="AN348" s="1517"/>
      <c r="AO348" s="1517"/>
      <c r="AP348" s="1514"/>
      <c r="AQ348" s="1046"/>
      <c r="AR348" s="1335"/>
      <c r="AS348" s="1549" t="s">
        <v>290</v>
      </c>
      <c r="AT348" s="1517"/>
      <c r="AU348" s="1517"/>
      <c r="AV348" s="1517"/>
      <c r="AW348" s="1517"/>
      <c r="AX348" s="1514"/>
      <c r="AY348" s="1027"/>
      <c r="AZ348" s="2"/>
      <c r="BA348" s="2"/>
    </row>
    <row r="349" spans="1:53" ht="15.75" hidden="1" customHeight="1" outlineLevel="1">
      <c r="A349" s="1027"/>
      <c r="B349" s="1033"/>
      <c r="C349" s="2"/>
      <c r="D349" s="1343" t="s">
        <v>291</v>
      </c>
      <c r="E349" s="1048" t="s">
        <v>292</v>
      </c>
      <c r="F349" s="1049" t="s">
        <v>293</v>
      </c>
      <c r="G349" s="1050" t="s">
        <v>294</v>
      </c>
      <c r="H349" s="1049" t="s">
        <v>295</v>
      </c>
      <c r="I349" s="1051" t="s">
        <v>296</v>
      </c>
      <c r="J349" s="1063" t="s">
        <v>297</v>
      </c>
      <c r="K349" s="1337" t="s">
        <v>343</v>
      </c>
      <c r="L349" s="1338" t="s">
        <v>298</v>
      </c>
      <c r="M349" s="1055"/>
      <c r="N349" s="1056" t="s">
        <v>291</v>
      </c>
      <c r="O349" s="1057" t="s">
        <v>292</v>
      </c>
      <c r="P349" s="1051" t="s">
        <v>293</v>
      </c>
      <c r="Q349" s="1058" t="s">
        <v>294</v>
      </c>
      <c r="R349" s="1051" t="s">
        <v>295</v>
      </c>
      <c r="S349" s="1051" t="s">
        <v>296</v>
      </c>
      <c r="T349" s="1059" t="s">
        <v>299</v>
      </c>
      <c r="U349" s="1060" t="s">
        <v>216</v>
      </c>
      <c r="V349" s="1055"/>
      <c r="W349" s="1056" t="s">
        <v>291</v>
      </c>
      <c r="X349" s="1057" t="s">
        <v>292</v>
      </c>
      <c r="Y349" s="1051" t="s">
        <v>293</v>
      </c>
      <c r="Z349" s="1058" t="s">
        <v>294</v>
      </c>
      <c r="AA349" s="1051" t="s">
        <v>295</v>
      </c>
      <c r="AB349" s="1051" t="s">
        <v>296</v>
      </c>
      <c r="AC349" s="1059" t="s">
        <v>299</v>
      </c>
      <c r="AD349" s="1060" t="s">
        <v>216</v>
      </c>
      <c r="AE349" s="1055"/>
      <c r="AF349" s="1057" t="s">
        <v>292</v>
      </c>
      <c r="AG349" s="1061" t="s">
        <v>293</v>
      </c>
      <c r="AH349" s="1062" t="s">
        <v>294</v>
      </c>
      <c r="AI349" s="1061" t="s">
        <v>295</v>
      </c>
      <c r="AJ349" s="1061" t="s">
        <v>296</v>
      </c>
      <c r="AK349" s="1055"/>
      <c r="AL349" s="1057" t="s">
        <v>292</v>
      </c>
      <c r="AM349" s="1061" t="s">
        <v>293</v>
      </c>
      <c r="AN349" s="1062" t="s">
        <v>294</v>
      </c>
      <c r="AO349" s="1061" t="s">
        <v>295</v>
      </c>
      <c r="AP349" s="1061" t="s">
        <v>296</v>
      </c>
      <c r="AQ349" s="1055"/>
      <c r="AR349" s="1056" t="s">
        <v>291</v>
      </c>
      <c r="AS349" s="1057" t="s">
        <v>292</v>
      </c>
      <c r="AT349" s="1061" t="s">
        <v>293</v>
      </c>
      <c r="AU349" s="1062" t="s">
        <v>294</v>
      </c>
      <c r="AV349" s="1061" t="s">
        <v>295</v>
      </c>
      <c r="AW349" s="1061" t="s">
        <v>296</v>
      </c>
      <c r="AX349" s="1059" t="s">
        <v>299</v>
      </c>
      <c r="AY349" s="1340" t="s">
        <v>216</v>
      </c>
      <c r="AZ349" s="1065" t="s">
        <v>300</v>
      </c>
      <c r="BA349" s="2"/>
    </row>
    <row r="350" spans="1:53" ht="15.75" hidden="1" customHeight="1" outlineLevel="1">
      <c r="A350" s="1027"/>
      <c r="B350" s="54">
        <v>43678</v>
      </c>
      <c r="C350" s="1066" t="s">
        <v>43</v>
      </c>
      <c r="D350" s="1067">
        <f>Parametres!$D$5</f>
        <v>5</v>
      </c>
      <c r="E350" s="1068" t="e">
        <f>COUNTIFS(#REF!,"&gt;0",#REF!,"&gt;="&amp;B350,#REF!,"&lt;="&amp;EOMONTH(B350,0))</f>
        <v>#REF!</v>
      </c>
      <c r="F350" s="1069" t="e">
        <f>SUMIFS(#REF!,#REF!,"&lt;&gt;0",#REF!,"&gt;="&amp;B350,#REF!,"&lt;="&amp;EOMONTH(B350,0))</f>
        <v>#REF!</v>
      </c>
      <c r="G350" s="1069" t="e">
        <f t="shared" ref="G350:G386" si="156">IF(E350=0,0,F350/E350)</f>
        <v>#REF!</v>
      </c>
      <c r="H350" s="1070" t="e">
        <f ca="1">MINIFS(#REF!,#REF!,"&lt;&gt;0",#REF!,"&gt;="&amp;B350,#REF!,"&lt;="&amp;EOMONTH(B350,0))</f>
        <v>#NAME?</v>
      </c>
      <c r="I350" s="1071" t="e">
        <f ca="1">MAXIFS(#REF!,#REF!,"&lt;&gt;0",#REF!,"&gt;="&amp;B350,#REF!,"&lt;="&amp;EOMONTH(B350,0))</f>
        <v>#NAME?</v>
      </c>
      <c r="J350" s="1072" t="e">
        <f>COUNTIFS(#REF!,"&gt;="&amp;D350,#REF!,"&gt;="&amp;B350,#REF!,"&lt;="&amp;EOMONTH(B350,0))</f>
        <v>#REF!</v>
      </c>
      <c r="K350" s="1341" t="e">
        <f t="shared" ref="K350:K363" si="157">J350/E350</f>
        <v>#REF!</v>
      </c>
      <c r="L350" s="1074"/>
      <c r="M350" s="1075"/>
      <c r="N350" s="1076">
        <f>Parametres!$L$5</f>
        <v>50</v>
      </c>
      <c r="O350" s="1077">
        <f>COUNTIFS('Degrémont Entrée'!$AM$14:$AM$379,"&gt;0",'Degrémont Entrée'!$A$14:$A$379,"&gt;="&amp;B350,'Degrémont Entrée'!$A$14:$A$379,"&lt;="&amp;EOMONTH(B350,0))</f>
        <v>4</v>
      </c>
      <c r="P350" s="1078">
        <f>SUMIFS('Degrémont Entrée'!$AM$14:$AM$379,'Degrémont Entrée'!$AM$14:$AM$379,"&lt;&gt;0",'Degrémont Entrée'!$A$14:$A$379,"&gt;="&amp;B350,'Degrémont Entrée'!$A$14:$A$379,"&lt;="&amp;EOMONTH(B350,0))</f>
        <v>835</v>
      </c>
      <c r="Q350" s="1078">
        <f>IF(O350=0,0,P350/O350)</f>
        <v>208.75</v>
      </c>
      <c r="R350" s="1079" t="e">
        <f ca="1">MINIFS('Degrémont Entrée'!$AM$14:$AM$379,'Degrémont Entrée'!$AM$14:$AM$379,"&lt;&gt;0",'Degrémont Entrée'!$A$14:$A$379,"&gt;="&amp;B350,'Degrémont Entrée'!$A$14:$A$379,"&lt;="&amp;EOMONTH(B350,0))</f>
        <v>#NAME?</v>
      </c>
      <c r="S350" s="1078" t="e">
        <f ca="1">MAXIFS('Degrémont Entrée'!$AM$14:$AM$379,'Degrémont Entrée'!$AM$14:$AM$379,"&lt;&gt;0",'Degrémont Entrée'!$A$14:$A$379,"&gt;="&amp;B350,'Degrémont Entrée'!$A$14:$A$379,"&lt;="&amp;EOMONTH(B350,0))</f>
        <v>#NAME?</v>
      </c>
      <c r="T350" s="1080">
        <f>COUNTIFS('Degrémont Entrée'!$AM$14:$AM$379,"&gt;="&amp;N350,'Degrémont Entrée'!$A$14:$A$379,"&gt;="&amp;B350,'Degrémont Entrée'!$A$14:$A$379,"&lt;="&amp;EOMONTH(B350,0))</f>
        <v>4</v>
      </c>
      <c r="U350" s="1081">
        <f>T350/O350</f>
        <v>1</v>
      </c>
      <c r="V350" s="1082"/>
      <c r="W350" s="1083">
        <f>Parametres!$T$5</f>
        <v>3</v>
      </c>
      <c r="X350" s="1084">
        <f>COUNTIFS('Degrémont sortie'!$AG$14:$AG$379,"&gt;0",'Degrémont sortie'!$A$14:$A$379,"&gt;="&amp;B350,'Degrémont sortie'!$A$14:$A$379,"&lt;="&amp;EOMONTH(B350,0))</f>
        <v>4</v>
      </c>
      <c r="Y350" s="1085">
        <f>SUMIFS('Degrémont sortie'!$AG$14:$AG$379,'Degrémont sortie'!$AG$14:$AG$379,"&lt;&gt;0",'Degrémont sortie'!$A$14:$A$379,"&gt;="&amp;B350,'Degrémont sortie'!$A$14:$A$379,"&lt;="&amp;EOMONTH(B350,0))</f>
        <v>5.6499999999999995</v>
      </c>
      <c r="Z350" s="1085">
        <f>IF(X350=0,0,Y350/X350)</f>
        <v>1.4124999999999999</v>
      </c>
      <c r="AA350" s="1085" t="e">
        <f ca="1">MINIFS('Degrémont sortie'!$AG$14:$AG$379,'Degrémont sortie'!$AG$14:$AG$379,"&lt;&gt;0",'Degrémont sortie'!$A$14:$A$379,"&gt;="&amp;B350,'Degrémont sortie'!$A$14:$A$379,"&lt;="&amp;EOMONTH(B350,0))</f>
        <v>#NAME?</v>
      </c>
      <c r="AB350" s="1085" t="e">
        <f ca="1">MAXIFS('Degrémont sortie'!$AG$14:$AG$379,'Degrémont sortie'!$AG$14:$AG$379,"&lt;&gt;0",'Degrémont sortie'!$A$14:$A$379,"&gt;="&amp;B350,'Degrémont sortie'!$A$14:$A$379,"&lt;="&amp;EOMONTH(B350,0))</f>
        <v>#NAME?</v>
      </c>
      <c r="AC350" s="1086">
        <f>COUNTIFS('Degrémont sortie'!$AG$14:$AG$379,"&gt;="&amp;W350,'Degrémont sortie'!$A$14:$A$379,"&gt;="&amp;B350,'Degrémont sortie'!$A$14:$A$379,"&lt;="&amp;EOMONTH(B350,0))</f>
        <v>1</v>
      </c>
      <c r="AD350" s="1087">
        <f>AC350/X350</f>
        <v>0.25</v>
      </c>
      <c r="AE350" s="1088"/>
      <c r="AF350" s="1089"/>
      <c r="AG350" s="1090"/>
      <c r="AH350" s="1090"/>
      <c r="AI350" s="1090"/>
      <c r="AJ350" s="1090"/>
      <c r="AK350" s="1088"/>
      <c r="AL350" s="1089"/>
      <c r="AM350" s="1090"/>
      <c r="AN350" s="1090"/>
      <c r="AO350" s="1090"/>
      <c r="AP350" s="1090"/>
      <c r="AQ350" s="1088"/>
      <c r="AR350" s="1091"/>
      <c r="AS350" s="1089"/>
      <c r="AT350" s="1090"/>
      <c r="AU350" s="1090"/>
      <c r="AV350" s="1090"/>
      <c r="AW350" s="1092"/>
      <c r="AX350" s="1093"/>
      <c r="AY350" s="1094"/>
      <c r="AZ350" s="1095" t="e">
        <f t="shared" ref="AZ350:AZ381" si="158">SUM(E350+O350+X350+AF350+AL350+AS350)</f>
        <v>#REF!</v>
      </c>
      <c r="BA350" s="2"/>
    </row>
    <row r="351" spans="1:53" ht="15.75" hidden="1" customHeight="1" outlineLevel="1">
      <c r="A351" s="1027"/>
      <c r="B351" s="1096"/>
      <c r="C351" s="1097" t="s">
        <v>16</v>
      </c>
      <c r="D351" s="1067">
        <f>Parametres!$D$6</f>
        <v>10000000</v>
      </c>
      <c r="E351" s="1068" t="e">
        <f>COUNTIFS(#REF!,"&gt;0",#REF!,"&gt;="&amp;B350,#REF!,"&lt;="&amp;EOMONTH(B350,0))</f>
        <v>#REF!</v>
      </c>
      <c r="F351" s="1069" t="e">
        <f>SUMIFS(#REF!,#REF!,"&lt;&gt;0",#REF!,"&gt;="&amp;B350,#REF!,"&lt;="&amp;EOMONTH(B350,0))</f>
        <v>#REF!</v>
      </c>
      <c r="G351" s="1098" t="e">
        <f t="shared" si="156"/>
        <v>#REF!</v>
      </c>
      <c r="H351" s="1070" t="e">
        <f ca="1">MINIFS(#REF!,#REF!,"&lt;&gt;0",#REF!,"&gt;="&amp;B350,#REF!,"&lt;="&amp;EOMONTH(B350,0))</f>
        <v>#NAME?</v>
      </c>
      <c r="I351" s="1069" t="e">
        <f ca="1">MAXIFS(#REF!,#REF!,"&lt;&gt;0",#REF!,"&gt;="&amp;B350,#REF!,"&lt;="&amp;EOMONTH(B350,0))</f>
        <v>#NAME?</v>
      </c>
      <c r="J351" s="1072" t="e">
        <f>COUNTIFS(#REF!,"&gt;="&amp;D351,#REF!,"&gt;="&amp;B350,#REF!,"&lt;="&amp;EOMONTH(B350,0))</f>
        <v>#REF!</v>
      </c>
      <c r="K351" s="1341" t="e">
        <f t="shared" si="157"/>
        <v>#REF!</v>
      </c>
      <c r="L351" s="1099"/>
      <c r="M351" s="1082"/>
      <c r="N351" s="1100"/>
      <c r="O351" s="1100"/>
      <c r="P351" s="1078"/>
      <c r="Q351" s="1078"/>
      <c r="R351" s="1078"/>
      <c r="S351" s="1078"/>
      <c r="T351" s="1101"/>
      <c r="U351" s="1101"/>
      <c r="V351" s="1082"/>
      <c r="W351" s="1102"/>
      <c r="X351" s="1102"/>
      <c r="Y351" s="1069"/>
      <c r="Z351" s="1069"/>
      <c r="AA351" s="1069"/>
      <c r="AB351" s="1069"/>
      <c r="AC351" s="1103"/>
      <c r="AD351" s="1104"/>
      <c r="AE351" s="1082"/>
      <c r="AF351" s="1105"/>
      <c r="AG351" s="1106"/>
      <c r="AH351" s="1106"/>
      <c r="AI351" s="1106"/>
      <c r="AJ351" s="1106"/>
      <c r="AK351" s="1107"/>
      <c r="AL351" s="1108"/>
      <c r="AM351" s="1109"/>
      <c r="AN351" s="1109"/>
      <c r="AO351" s="1109"/>
      <c r="AP351" s="1109"/>
      <c r="AQ351" s="1107"/>
      <c r="AR351" s="1110"/>
      <c r="AS351" s="1105"/>
      <c r="AT351" s="1109"/>
      <c r="AU351" s="1109"/>
      <c r="AV351" s="1109"/>
      <c r="AW351" s="1111"/>
      <c r="AX351" s="1112"/>
      <c r="AY351" s="1094"/>
      <c r="AZ351" s="1095" t="e">
        <f t="shared" si="158"/>
        <v>#REF!</v>
      </c>
      <c r="BA351" s="2"/>
    </row>
    <row r="352" spans="1:53" ht="15.75" hidden="1" customHeight="1" outlineLevel="1">
      <c r="A352" s="1027"/>
      <c r="B352" s="1096"/>
      <c r="C352" s="1097" t="s">
        <v>17</v>
      </c>
      <c r="D352" s="1067">
        <f>Parametres!$D$7</f>
        <v>0.8</v>
      </c>
      <c r="E352" s="1068" t="e">
        <f>COUNTIFS(#REF!,"&gt;0",#REF!,"&gt;="&amp;B350,#REF!,"&lt;="&amp;EOMONTH(B350,0))</f>
        <v>#REF!</v>
      </c>
      <c r="F352" s="1069" t="e">
        <f>SUMIFS(#REF!,#REF!,"&lt;&gt;0",#REF!,"&gt;="&amp;B350,#REF!,"&lt;="&amp;EOMONTH(B350,0))</f>
        <v>#REF!</v>
      </c>
      <c r="G352" s="1098" t="e">
        <f t="shared" si="156"/>
        <v>#REF!</v>
      </c>
      <c r="H352" s="1113" t="e">
        <f ca="1">MINIFS(#REF!,#REF!,"&lt;&gt;0",#REF!,"&gt;="&amp;B350,#REF!,"&lt;="&amp;EOMONTH(B350,0))</f>
        <v>#NAME?</v>
      </c>
      <c r="I352" s="1078" t="e">
        <f ca="1">MAXIFS(#REF!,#REF!,"&lt;&gt;0",#REF!,"&gt;="&amp;B350,#REF!,"&lt;="&amp;EOMONTH(B350,0))</f>
        <v>#NAME?</v>
      </c>
      <c r="J352" s="1114" t="e">
        <f>COUNTIFS(#REF!,"&gt;="&amp;D352,#REF!,"&gt;="&amp;B350,#REF!,"&lt;="&amp;EOMONTH(B350,0))</f>
        <v>#REF!</v>
      </c>
      <c r="K352" s="1341" t="e">
        <f t="shared" si="157"/>
        <v>#REF!</v>
      </c>
      <c r="L352" s="1115"/>
      <c r="M352" s="1082"/>
      <c r="N352" s="1100"/>
      <c r="O352" s="1100"/>
      <c r="P352" s="1078"/>
      <c r="Q352" s="1078"/>
      <c r="R352" s="1078"/>
      <c r="S352" s="1078"/>
      <c r="T352" s="1101"/>
      <c r="U352" s="1101"/>
      <c r="V352" s="1082"/>
      <c r="W352" s="1102"/>
      <c r="X352" s="1102"/>
      <c r="Y352" s="1069"/>
      <c r="Z352" s="1069"/>
      <c r="AA352" s="1069"/>
      <c r="AB352" s="1069"/>
      <c r="AC352" s="1103"/>
      <c r="AD352" s="1104"/>
      <c r="AE352" s="1082"/>
      <c r="AF352" s="1116"/>
      <c r="AG352" s="1117"/>
      <c r="AH352" s="1117"/>
      <c r="AI352" s="1117"/>
      <c r="AJ352" s="1117"/>
      <c r="AK352" s="1082"/>
      <c r="AL352" s="1105"/>
      <c r="AM352" s="1106"/>
      <c r="AN352" s="1106"/>
      <c r="AO352" s="1106"/>
      <c r="AP352" s="1106"/>
      <c r="AQ352" s="1082"/>
      <c r="AR352" s="1118"/>
      <c r="AS352" s="1116"/>
      <c r="AT352" s="1106"/>
      <c r="AU352" s="1106"/>
      <c r="AV352" s="1106"/>
      <c r="AW352" s="1119"/>
      <c r="AX352" s="1120"/>
      <c r="AY352" s="1094"/>
      <c r="AZ352" s="1095" t="e">
        <f t="shared" si="158"/>
        <v>#REF!</v>
      </c>
      <c r="BA352" s="2"/>
    </row>
    <row r="353" spans="1:53" ht="15.75" hidden="1" customHeight="1" outlineLevel="1">
      <c r="A353" s="1027"/>
      <c r="B353" s="1096"/>
      <c r="C353" s="1121" t="s">
        <v>18</v>
      </c>
      <c r="D353" s="1122">
        <f>Parametres!$D$8</f>
        <v>0.05</v>
      </c>
      <c r="E353" s="1068" t="e">
        <f>COUNTIFS(#REF!,"&gt;0",#REF!,"&gt;="&amp;B350,#REF!,"&lt;="&amp;EOMONTH(B350,0))</f>
        <v>#REF!</v>
      </c>
      <c r="F353" s="1069" t="e">
        <f>SUMIFS(#REF!,#REF!,"&lt;&gt;0",#REF!,"&gt;="&amp;B350,#REF!,"&lt;="&amp;EOMONTH(B350,0))</f>
        <v>#REF!</v>
      </c>
      <c r="G353" s="1098" t="e">
        <f t="shared" si="156"/>
        <v>#REF!</v>
      </c>
      <c r="H353" s="1113" t="e">
        <f ca="1">MINIFS(#REF!,#REF!,"&lt;&gt;0",#REF!,"&gt;="&amp;B350,#REF!,"&lt;="&amp;EOMONTH(B350,0))</f>
        <v>#NAME?</v>
      </c>
      <c r="I353" s="1078" t="e">
        <f ca="1">MAXIFS(#REF!,#REF!,"&lt;&gt;0",#REF!,"&gt;="&amp;B350,#REF!,"&lt;="&amp;EOMONTH(B350,0))</f>
        <v>#NAME?</v>
      </c>
      <c r="J353" s="1072" t="e">
        <f>COUNTIFS(#REF!,"&gt;="&amp;D353,#REF!,"&gt;="&amp;B350,#REF!,"&lt;="&amp;EOMONTH(B350,0))</f>
        <v>#REF!</v>
      </c>
      <c r="K353" s="1341" t="e">
        <f t="shared" si="157"/>
        <v>#REF!</v>
      </c>
      <c r="L353" s="1115"/>
      <c r="M353" s="1082"/>
      <c r="N353" s="1100"/>
      <c r="O353" s="1100"/>
      <c r="P353" s="1078"/>
      <c r="Q353" s="1078"/>
      <c r="R353" s="1078"/>
      <c r="S353" s="1078"/>
      <c r="T353" s="1101"/>
      <c r="U353" s="1101"/>
      <c r="V353" s="1082"/>
      <c r="W353" s="1102"/>
      <c r="X353" s="1102"/>
      <c r="Y353" s="1069"/>
      <c r="Z353" s="1069"/>
      <c r="AA353" s="1069"/>
      <c r="AB353" s="1069"/>
      <c r="AC353" s="1103"/>
      <c r="AD353" s="1104"/>
      <c r="AE353" s="1107"/>
      <c r="AF353" s="1108"/>
      <c r="AG353" s="1109"/>
      <c r="AH353" s="1109"/>
      <c r="AI353" s="1109"/>
      <c r="AJ353" s="1109"/>
      <c r="AK353" s="1123"/>
      <c r="AL353" s="1108"/>
      <c r="AM353" s="1109"/>
      <c r="AN353" s="1109"/>
      <c r="AO353" s="1109"/>
      <c r="AP353" s="1109"/>
      <c r="AQ353" s="1123"/>
      <c r="AR353" s="1124"/>
      <c r="AS353" s="1108"/>
      <c r="AT353" s="1109"/>
      <c r="AU353" s="1109"/>
      <c r="AV353" s="1109"/>
      <c r="AW353" s="1111"/>
      <c r="AX353" s="1112"/>
      <c r="AY353" s="1094"/>
      <c r="AZ353" s="1095" t="e">
        <f t="shared" si="158"/>
        <v>#REF!</v>
      </c>
      <c r="BA353" s="2"/>
    </row>
    <row r="354" spans="1:53" ht="15.75" hidden="1" customHeight="1" outlineLevel="1">
      <c r="A354" s="1027"/>
      <c r="B354" s="1096"/>
      <c r="C354" s="1097" t="s">
        <v>11</v>
      </c>
      <c r="D354" s="1067">
        <f>Parametres!$D$9</f>
        <v>0.2</v>
      </c>
      <c r="E354" s="1068" t="e">
        <f>COUNTIFS(#REF!,"&gt;0",#REF!,"&gt;="&amp;B350,#REF!,"&lt;="&amp;EOMONTH(B350,0))</f>
        <v>#REF!</v>
      </c>
      <c r="F354" s="1069" t="e">
        <f>SUMIFS(#REF!,#REF!,"&lt;&gt;0",#REF!,"&gt;="&amp;B350,#REF!,"&lt;="&amp;EOMONTH(B350,0))</f>
        <v>#REF!</v>
      </c>
      <c r="G354" s="1098" t="e">
        <f t="shared" si="156"/>
        <v>#REF!</v>
      </c>
      <c r="H354" s="1113" t="e">
        <f ca="1">MINIFS(#REF!,#REF!,"&lt;&gt;0",#REF!,"&gt;="&amp;B350,#REF!,"&lt;="&amp;EOMONTH(B350,0))</f>
        <v>#NAME?</v>
      </c>
      <c r="I354" s="1078" t="e">
        <f ca="1">MAXIFS(#REF!,#REF!,"&lt;&gt;0",#REF!,"&gt;="&amp;B350,#REF!,"&lt;="&amp;EOMONTH(B350,0))</f>
        <v>#NAME?</v>
      </c>
      <c r="J354" s="1072" t="e">
        <f>COUNTIFS(#REF!,"&gt;="&amp;D354,#REF!,"&gt;="&amp;B350,#REF!,"&lt;="&amp;EOMONTH(B350,0))</f>
        <v>#REF!</v>
      </c>
      <c r="K354" s="1341" t="e">
        <f t="shared" si="157"/>
        <v>#REF!</v>
      </c>
      <c r="L354" s="1115"/>
      <c r="M354" s="1082"/>
      <c r="N354" s="1100"/>
      <c r="O354" s="1100"/>
      <c r="P354" s="1078"/>
      <c r="Q354" s="1078"/>
      <c r="R354" s="1078"/>
      <c r="S354" s="1078"/>
      <c r="T354" s="1101"/>
      <c r="U354" s="1101"/>
      <c r="V354" s="1082"/>
      <c r="W354" s="1102"/>
      <c r="X354" s="1102"/>
      <c r="Y354" s="1069"/>
      <c r="Z354" s="1069"/>
      <c r="AA354" s="1069"/>
      <c r="AB354" s="1069"/>
      <c r="AC354" s="1103"/>
      <c r="AD354" s="1104"/>
      <c r="AE354" s="1075"/>
      <c r="AF354" s="1125"/>
      <c r="AG354" s="1126"/>
      <c r="AH354" s="1126"/>
      <c r="AI354" s="1126"/>
      <c r="AJ354" s="1126"/>
      <c r="AK354" s="1107"/>
      <c r="AL354" s="1125"/>
      <c r="AM354" s="1126"/>
      <c r="AN354" s="1126"/>
      <c r="AO354" s="1126"/>
      <c r="AP354" s="1126"/>
      <c r="AQ354" s="1107"/>
      <c r="AR354" s="1110"/>
      <c r="AS354" s="1125"/>
      <c r="AT354" s="1126"/>
      <c r="AU354" s="1126"/>
      <c r="AV354" s="1126"/>
      <c r="AW354" s="1127"/>
      <c r="AX354" s="1128"/>
      <c r="AY354" s="1094"/>
      <c r="AZ354" s="1095" t="e">
        <f t="shared" si="158"/>
        <v>#REF!</v>
      </c>
      <c r="BA354" s="2"/>
    </row>
    <row r="355" spans="1:53" ht="15.75" hidden="1" customHeight="1" outlineLevel="1">
      <c r="A355" s="1027"/>
      <c r="B355" s="1096"/>
      <c r="C355" s="1097" t="s">
        <v>12</v>
      </c>
      <c r="D355" s="1067">
        <f>Parametres!$D$10</f>
        <v>10000000</v>
      </c>
      <c r="E355" s="1068" t="e">
        <f>COUNTIFS(#REF!,"&gt;0",#REF!,"&gt;="&amp;B350,#REF!,"&lt;="&amp;EOMONTH(B350,0))</f>
        <v>#REF!</v>
      </c>
      <c r="F355" s="1069" t="e">
        <f>SUMIFS(#REF!,#REF!,"&lt;&gt;0",#REF!,"&gt;="&amp;B350,#REF!,"&lt;="&amp;EOMONTH(B350,0))</f>
        <v>#REF!</v>
      </c>
      <c r="G355" s="1098" t="e">
        <f t="shared" si="156"/>
        <v>#REF!</v>
      </c>
      <c r="H355" s="1113" t="e">
        <f ca="1">MINIFS(#REF!,#REF!,"&lt;&gt;0",#REF!,"&gt;="&amp;B350,#REF!,"&lt;="&amp;EOMONTH(B350,0))</f>
        <v>#NAME?</v>
      </c>
      <c r="I355" s="1078" t="e">
        <f ca="1">MAXIFS(#REF!,#REF!,"&lt;&gt;0",#REF!,"&gt;="&amp;B350,#REF!,"&lt;="&amp;EOMONTH(B350,0))</f>
        <v>#NAME?</v>
      </c>
      <c r="J355" s="1072" t="e">
        <f>COUNTIFS(#REF!,"&gt;="&amp;D355,#REF!,"&gt;="&amp;B350,#REF!,"&lt;="&amp;EOMONTH(B350,0))</f>
        <v>#REF!</v>
      </c>
      <c r="K355" s="1341" t="e">
        <f t="shared" si="157"/>
        <v>#REF!</v>
      </c>
      <c r="L355" s="1115"/>
      <c r="M355" s="1082"/>
      <c r="N355" s="1100"/>
      <c r="O355" s="1100"/>
      <c r="P355" s="1078"/>
      <c r="Q355" s="1078"/>
      <c r="R355" s="1078"/>
      <c r="S355" s="1078"/>
      <c r="T355" s="1101"/>
      <c r="U355" s="1101"/>
      <c r="V355" s="1082"/>
      <c r="W355" s="1129"/>
      <c r="X355" s="1129"/>
      <c r="Y355" s="1069"/>
      <c r="Z355" s="1069"/>
      <c r="AA355" s="1069"/>
      <c r="AB355" s="1069"/>
      <c r="AC355" s="1130"/>
      <c r="AD355" s="1131"/>
      <c r="AE355" s="1082"/>
      <c r="AF355" s="1105"/>
      <c r="AG355" s="1106"/>
      <c r="AH355" s="1106"/>
      <c r="AI355" s="1106"/>
      <c r="AJ355" s="1106"/>
      <c r="AK355" s="1132"/>
      <c r="AL355" s="1105"/>
      <c r="AM355" s="1106"/>
      <c r="AN355" s="1106"/>
      <c r="AO355" s="1106"/>
      <c r="AP355" s="1106"/>
      <c r="AQ355" s="1133"/>
      <c r="AR355" s="1134"/>
      <c r="AS355" s="1135"/>
      <c r="AT355" s="1106"/>
      <c r="AU355" s="1106"/>
      <c r="AV355" s="1106"/>
      <c r="AW355" s="1119"/>
      <c r="AX355" s="1120"/>
      <c r="AY355" s="1094"/>
      <c r="AZ355" s="1095" t="e">
        <f t="shared" si="158"/>
        <v>#REF!</v>
      </c>
      <c r="BA355" s="2"/>
    </row>
    <row r="356" spans="1:53" ht="15.75" hidden="1" customHeight="1" outlineLevel="1">
      <c r="A356" s="1027"/>
      <c r="B356" s="1096"/>
      <c r="C356" s="1097" t="s">
        <v>19</v>
      </c>
      <c r="D356" s="1067">
        <f>Parametres!$D$11</f>
        <v>1.5</v>
      </c>
      <c r="E356" s="1068" t="e">
        <f>COUNTIFS(#REF!,"&gt;0",#REF!,"&gt;="&amp;B350,#REF!,"&lt;="&amp;EOMONTH(B350,0))</f>
        <v>#REF!</v>
      </c>
      <c r="F356" s="1069" t="e">
        <f>SUMIFS(#REF!,#REF!,"&lt;&gt;0",#REF!,"&gt;="&amp;B350,#REF!,"&lt;="&amp;EOMONTH(B350,0))</f>
        <v>#REF!</v>
      </c>
      <c r="G356" s="1098" t="e">
        <f t="shared" si="156"/>
        <v>#REF!</v>
      </c>
      <c r="H356" s="1113" t="e">
        <f ca="1">MINIFS(#REF!,#REF!,"&lt;&gt;0",#REF!,"&gt;="&amp;B350,#REF!,"&lt;="&amp;EOMONTH(B350,0))</f>
        <v>#NAME?</v>
      </c>
      <c r="I356" s="1078" t="e">
        <f ca="1">MAXIFS(#REF!,#REF!,"&lt;&gt;0",#REF!,"&gt;="&amp;B350,#REF!,"&lt;="&amp;EOMONTH(B350,0))</f>
        <v>#NAME?</v>
      </c>
      <c r="J356" s="1072" t="e">
        <f>COUNTIFS(#REF!,"&gt;="&amp;D356,#REF!,"&gt;="&amp;B350,#REF!,"&lt;="&amp;EOMONTH(B350,0))</f>
        <v>#REF!</v>
      </c>
      <c r="K356" s="1341" t="e">
        <f t="shared" si="157"/>
        <v>#REF!</v>
      </c>
      <c r="L356" s="1115"/>
      <c r="M356" s="1082"/>
      <c r="N356" s="1100"/>
      <c r="O356" s="1100"/>
      <c r="P356" s="1078"/>
      <c r="Q356" s="1078"/>
      <c r="R356" s="1078"/>
      <c r="S356" s="1078"/>
      <c r="T356" s="1101"/>
      <c r="U356" s="1101"/>
      <c r="V356" s="1082"/>
      <c r="W356" s="1129"/>
      <c r="X356" s="1129"/>
      <c r="Y356" s="1069"/>
      <c r="Z356" s="1069"/>
      <c r="AA356" s="1069"/>
      <c r="AB356" s="1069"/>
      <c r="AC356" s="1130"/>
      <c r="AD356" s="1131"/>
      <c r="AE356" s="1082"/>
      <c r="AF356" s="1105"/>
      <c r="AG356" s="1106"/>
      <c r="AH356" s="1106"/>
      <c r="AI356" s="1106"/>
      <c r="AJ356" s="1106"/>
      <c r="AK356" s="1082"/>
      <c r="AL356" s="1136"/>
      <c r="AM356" s="1137"/>
      <c r="AN356" s="1137"/>
      <c r="AO356" s="1137"/>
      <c r="AP356" s="1137"/>
      <c r="AQ356" s="1082"/>
      <c r="AR356" s="1118"/>
      <c r="AS356" s="1105"/>
      <c r="AT356" s="1106"/>
      <c r="AU356" s="1106"/>
      <c r="AV356" s="1106"/>
      <c r="AW356" s="1138"/>
      <c r="AX356" s="1120"/>
      <c r="AY356" s="1094"/>
      <c r="AZ356" s="1095" t="e">
        <f t="shared" si="158"/>
        <v>#REF!</v>
      </c>
      <c r="BA356" s="2"/>
    </row>
    <row r="357" spans="1:53" ht="15.75" hidden="1" customHeight="1" outlineLevel="1">
      <c r="A357" s="1027"/>
      <c r="B357" s="1096"/>
      <c r="C357" s="1139" t="s">
        <v>42</v>
      </c>
      <c r="D357" s="1122">
        <f>Parametres!$D$12</f>
        <v>0.1</v>
      </c>
      <c r="E357" s="1068" t="e">
        <f>COUNTIFS(#REF!,"&gt;0",#REF!,"&gt;="&amp;B350,#REF!,"&lt;="&amp;EOMONTH(B350,0))</f>
        <v>#REF!</v>
      </c>
      <c r="F357" s="1069" t="e">
        <f>SUMIFS(#REF!,#REF!,"&lt;&gt;0",#REF!,"&gt;="&amp;B350,#REF!,"&lt;="&amp;EOMONTH(B350,0))</f>
        <v>#REF!</v>
      </c>
      <c r="G357" s="1098" t="e">
        <f t="shared" si="156"/>
        <v>#REF!</v>
      </c>
      <c r="H357" s="1113" t="e">
        <f ca="1">MINIFS(#REF!,#REF!,"&lt;&gt;0",#REF!,"&gt;="&amp;B350,#REF!,"&lt;="&amp;EOMONTH(B350,0))</f>
        <v>#NAME?</v>
      </c>
      <c r="I357" s="1078" t="e">
        <f ca="1">MAXIFS(#REF!,#REF!,"&lt;&gt;0",#REF!,"&gt;="&amp;B350,#REF!,"&lt;="&amp;EOMONTH(B350,0))</f>
        <v>#NAME?</v>
      </c>
      <c r="J357" s="1114" t="e">
        <f>COUNTIFS(#REF!,"&gt;="&amp;D357,#REF!,"&gt;="&amp;B350,#REF!,"&lt;="&amp;EOMONTH(B350,0))</f>
        <v>#REF!</v>
      </c>
      <c r="K357" s="1341" t="e">
        <f t="shared" si="157"/>
        <v>#REF!</v>
      </c>
      <c r="L357" s="1115"/>
      <c r="M357" s="1082"/>
      <c r="N357" s="1076">
        <f>Parametres!$L$12</f>
        <v>100000</v>
      </c>
      <c r="O357" s="1077">
        <f>COUNTIFS('Degrémont Entrée'!$AG$14:$AG$379,"&gt;0",'Degrémont Entrée'!$A$14:$A$379,"&gt;="&amp;B350,'Degrémont Entrée'!$A$14:$A$379,"&lt;="&amp;EOMONTH(B350,0))</f>
        <v>21</v>
      </c>
      <c r="P357" s="1078">
        <f>SUMIFS('Degrémont Entrée'!$AG$14:$AG$379,'Degrémont Entrée'!$AG$14:$AG$379,"&lt;&gt;0",'Degrémont Entrée'!$A$14:$A$379,"&gt;="&amp;B350,'Degrémont Entrée'!$A$14:$A$379,"&lt;="&amp;EOMONTH(B350,0))</f>
        <v>0.33000000000000013</v>
      </c>
      <c r="Q357" s="1078">
        <f>IF(O357=0,0,P357/O357)</f>
        <v>1.5714285714285719E-2</v>
      </c>
      <c r="R357" s="1078" t="e">
        <f ca="1">MINIFS('Degrémont Entrée'!$AG$14:$AG$379,'Degrémont Entrée'!$AG$14:$AG$379,"&lt;&gt;0",'Degrémont Entrée'!$A$14:$A$379,"&gt;="&amp;B350,'Degrémont Entrée'!$A$14:$A$379,"&lt;="&amp;EOMONTH(B350,0))</f>
        <v>#NAME?</v>
      </c>
      <c r="S357" s="1078" t="e">
        <f ca="1">MAXIFS('Degrémont Entrée'!$AG$14:$AG$379,'Degrémont Entrée'!$AG$14:$AG$379,"&lt;&gt;0",'Degrémont Entrée'!$A$14:$A$379,"&gt;="&amp;B350,'Degrémont Entrée'!$A$14:$A$379,"&lt;="&amp;EOMONTH(B350,0))</f>
        <v>#NAME?</v>
      </c>
      <c r="T357" s="1140" t="s">
        <v>153</v>
      </c>
      <c r="U357" s="1140" t="s">
        <v>153</v>
      </c>
      <c r="V357" s="1082"/>
      <c r="W357" s="1083">
        <f>Parametres!$T$12</f>
        <v>0.1</v>
      </c>
      <c r="X357" s="1142">
        <f>COUNTIFS('Degrémont sortie'!$AA$14:$AA$379,"&gt;0",'Degrémont sortie'!$A$14:$A$379,"&gt;="&amp;B350,'Degrémont sortie'!$A$14:$A$379,"&lt;="&amp;EOMONTH(B350,0))</f>
        <v>20</v>
      </c>
      <c r="Y357" s="1085">
        <f>SUMIFS('Degrémont sortie'!$AA$14:$AA$379,'Degrémont sortie'!$AA$14:$AA$379,"&lt;&gt;0",'Degrémont sortie'!$A$14:$A$379,"&gt;="&amp;B350,'Degrémont sortie'!$A$14:$A$379,"&lt;="&amp;EOMONTH(B350,0))</f>
        <v>0.23000000000000004</v>
      </c>
      <c r="Z357" s="1069">
        <f t="shared" ref="Z357:Z359" si="159">IF(X357=0,0,Y357/X357)</f>
        <v>1.1500000000000002E-2</v>
      </c>
      <c r="AA357" s="1069" t="e">
        <f ca="1">MINIFS('Degrémont sortie'!$AA$14:$AA$379,'Degrémont sortie'!$AA$14:$AA$379,"&lt;&gt;0",'Degrémont sortie'!$A$14:$A$379,"&gt;="&amp;B350,'Degrémont sortie'!$A$14:$A$379,"&lt;="&amp;EOMONTH(B350,0))</f>
        <v>#NAME?</v>
      </c>
      <c r="AB357" s="1069" t="e">
        <f ca="1">MAXIFS('Degrémont sortie'!$AA$14:$AA$379,'Degrémont sortie'!$AA$14:$AA$379,"&lt;&gt;0",'Degrémont sortie'!$A$14:$A$379,"&gt;="&amp;B350,'Degrémont sortie'!$A$14:$A$379,"&lt;="&amp;EOMONTH(B350,0))</f>
        <v>#NAME?</v>
      </c>
      <c r="AC357" s="1142">
        <f>COUNTIFS('Degrémont sortie'!$AA$14:$AA$379,"&gt;="&amp;W357,'Degrémont sortie'!$A$14:$A$379,"&gt;="&amp;B350,'Degrémont sortie'!$A$14:$A$379,"&lt;="&amp;EOMONTH(B350,0))</f>
        <v>0</v>
      </c>
      <c r="AD357" s="1087">
        <f t="shared" ref="AD357:AD359" si="160">AC357/X357</f>
        <v>0</v>
      </c>
      <c r="AE357" s="1082"/>
      <c r="AF357" s="1105"/>
      <c r="AG357" s="1106"/>
      <c r="AH357" s="1106"/>
      <c r="AI357" s="1106"/>
      <c r="AJ357" s="1106"/>
      <c r="AK357" s="1082"/>
      <c r="AL357" s="1116"/>
      <c r="AM357" s="1117"/>
      <c r="AN357" s="1117"/>
      <c r="AO357" s="1117"/>
      <c r="AP357" s="1117"/>
      <c r="AQ357" s="1082"/>
      <c r="AR357" s="1118"/>
      <c r="AS357" s="1105"/>
      <c r="AT357" s="1106"/>
      <c r="AU357" s="1106"/>
      <c r="AV357" s="1106"/>
      <c r="AW357" s="1119"/>
      <c r="AX357" s="1120"/>
      <c r="AY357" s="1094"/>
      <c r="AZ357" s="1095" t="e">
        <f t="shared" si="158"/>
        <v>#REF!</v>
      </c>
      <c r="BA357" s="2"/>
    </row>
    <row r="358" spans="1:53" ht="15.75" hidden="1" customHeight="1" outlineLevel="1">
      <c r="A358" s="1027"/>
      <c r="B358" s="1096"/>
      <c r="C358" s="1139" t="s">
        <v>286</v>
      </c>
      <c r="D358" s="1122">
        <f>Parametres!$D$13</f>
        <v>0.5</v>
      </c>
      <c r="E358" s="1068" t="e">
        <f>COUNTIFS(#REF!,"&gt;0",#REF!,"&gt;="&amp;B350,#REF!,"&lt;="&amp;EOMONTH(B350,0))</f>
        <v>#REF!</v>
      </c>
      <c r="F358" s="1069" t="e">
        <f>SUMIFS(#REF!,#REF!,"&lt;&gt;0",#REF!,"&gt;="&amp;B350,#REF!,"&lt;="&amp;EOMONTH(B350,0))</f>
        <v>#REF!</v>
      </c>
      <c r="G358" s="1098" t="e">
        <f t="shared" si="156"/>
        <v>#REF!</v>
      </c>
      <c r="H358" s="1113" t="e">
        <f ca="1">MINIFS(#REF!,#REF!,"&lt;&gt;0",#REF!,"&gt;="&amp;B350,#REF!,"&lt;="&amp;EOMONTH(B350,0))</f>
        <v>#NAME?</v>
      </c>
      <c r="I358" s="1078" t="e">
        <f ca="1">MAXIFS(#REF!,#REF!,"&lt;&gt;0",#REF!,"&gt;="&amp;B350,#REF!,"&lt;="&amp;EOMONTH(B350,0))</f>
        <v>#NAME?</v>
      </c>
      <c r="J358" s="1114" t="e">
        <f>COUNTIFS(#REF!,"&gt;="&amp;D358,#REF!,"&gt;="&amp;B350,#REF!,"&lt;="&amp;EOMONTH(B350,0))</f>
        <v>#REF!</v>
      </c>
      <c r="K358" s="1341" t="e">
        <f t="shared" si="157"/>
        <v>#REF!</v>
      </c>
      <c r="L358" s="1115"/>
      <c r="M358" s="1082"/>
      <c r="N358" s="1129"/>
      <c r="O358" s="1129"/>
      <c r="P358" s="1069"/>
      <c r="Q358" s="1069"/>
      <c r="R358" s="1069"/>
      <c r="S358" s="1069"/>
      <c r="T358" s="1143"/>
      <c r="U358" s="1143"/>
      <c r="V358" s="1132"/>
      <c r="W358" s="1083">
        <f>Parametres!$T$13</f>
        <v>0.08</v>
      </c>
      <c r="X358" s="1142">
        <f>COUNTIFS('Degrémont sortie'!$AD$14:$AD$379,"&gt;0",'Degrémont sortie'!$A$14:$A$379,"&gt;="&amp;B350,'Degrémont sortie'!$A$14:$A$379,"&lt;="&amp;EOMONTH(B350,0))</f>
        <v>0</v>
      </c>
      <c r="Y358" s="1085">
        <f>SUMIFS('Degrémont sortie'!$AD$14:$AD$379,'Degrémont sortie'!$AD$14:$AD$379,"&lt;&gt;0",'Degrémont sortie'!$A$14:$A$379,"&gt;="&amp;B350,'Degrémont sortie'!$A$14:$A$379,"&lt;="&amp;EOMONTH(B350,0))</f>
        <v>0</v>
      </c>
      <c r="Z358" s="1069">
        <f t="shared" si="159"/>
        <v>0</v>
      </c>
      <c r="AA358" s="1069" t="e">
        <f ca="1">MINIFS('Degrémont sortie'!$AD$14:$AD$379,'Degrémont sortie'!$AD$14:$AD$379,"&lt;&gt;0",'Degrémont sortie'!$A$14:$A$379,"&gt;="&amp;B350,'Degrémont sortie'!$A$14:$A$379,"&lt;="&amp;EOMONTH(B350,0))</f>
        <v>#NAME?</v>
      </c>
      <c r="AB358" s="1069" t="e">
        <f ca="1">MAXIFS('Degrémont sortie'!$AD$14:$AD$379,'Degrémont sortie'!$AD$14:$AD$379,"&lt;&gt;0",'Degrémont sortie'!$A$14:$A$379,"&gt;="&amp;B350,'Degrémont sortie'!$A$14:$A$379,"&lt;="&amp;EOMONTH(B350,0))</f>
        <v>#NAME?</v>
      </c>
      <c r="AC358" s="1142">
        <f>COUNTIFS('Degrémont sortie'!$AD$14:$AD$379,"&gt;="&amp;W358,'Degrémont sortie'!$A$14:$A$379,"&gt;="&amp;B350,'Degrémont sortie'!$A$14:$A$379,"&lt;="&amp;EOMONTH(B350,0))</f>
        <v>0</v>
      </c>
      <c r="AD358" s="1087" t="e">
        <f t="shared" si="160"/>
        <v>#DIV/0!</v>
      </c>
      <c r="AE358" s="1132"/>
      <c r="AF358" s="1105"/>
      <c r="AG358" s="1106"/>
      <c r="AH358" s="1106"/>
      <c r="AI358" s="1106"/>
      <c r="AJ358" s="1106"/>
      <c r="AK358" s="1132"/>
      <c r="AL358" s="1105"/>
      <c r="AM358" s="1106"/>
      <c r="AN358" s="1106"/>
      <c r="AO358" s="1106"/>
      <c r="AP358" s="1106"/>
      <c r="AQ358" s="1133"/>
      <c r="AR358" s="1134"/>
      <c r="AS358" s="1135"/>
      <c r="AT358" s="1106"/>
      <c r="AU358" s="1106"/>
      <c r="AV358" s="1106"/>
      <c r="AW358" s="1119"/>
      <c r="AX358" s="1120"/>
      <c r="AY358" s="1094"/>
      <c r="AZ358" s="1095" t="e">
        <f t="shared" si="158"/>
        <v>#REF!</v>
      </c>
      <c r="BA358" s="2"/>
    </row>
    <row r="359" spans="1:53" ht="15.75" hidden="1" customHeight="1" outlineLevel="1">
      <c r="A359" s="1027"/>
      <c r="B359" s="1096"/>
      <c r="C359" s="1139" t="s">
        <v>45</v>
      </c>
      <c r="D359" s="1122">
        <f>Parametres!$D$14</f>
        <v>0.5</v>
      </c>
      <c r="E359" s="1068" t="e">
        <f>COUNTIFS(#REF!,"&gt;0",#REF!,"&gt;="&amp;B350,#REF!,"&lt;="&amp;EOMONTH(B350,0))</f>
        <v>#REF!</v>
      </c>
      <c r="F359" s="1069" t="e">
        <f>SUMIFS(#REF!,#REF!,"&lt;&gt;0",#REF!,"&gt;="&amp;B350,#REF!,"&lt;="&amp;EOMONTH(B350,0))</f>
        <v>#REF!</v>
      </c>
      <c r="G359" s="1098" t="e">
        <f t="shared" si="156"/>
        <v>#REF!</v>
      </c>
      <c r="H359" s="1070" t="e">
        <f ca="1">MINIFS(#REF!,#REF!,"&lt;&gt;0",#REF!,"&gt;="&amp;B350,#REF!,"&lt;="&amp;EOMONTH(B350,0))</f>
        <v>#NAME?</v>
      </c>
      <c r="I359" s="1078" t="e">
        <f ca="1">MAXIFS(#REF!,#REF!,"&lt;&gt;0",#REF!,"&gt;="&amp;B350,#REF!,"&lt;="&amp;EOMONTH(B350,0))</f>
        <v>#NAME?</v>
      </c>
      <c r="J359" s="1114" t="e">
        <f>COUNTIFS(#REF!,"&gt;="&amp;D359,#REF!,"&gt;="&amp;B350,#REF!,"&lt;="&amp;EOMONTH(B350,0))</f>
        <v>#REF!</v>
      </c>
      <c r="K359" s="1341" t="e">
        <f t="shared" si="157"/>
        <v>#REF!</v>
      </c>
      <c r="L359" s="1115"/>
      <c r="M359" s="1082"/>
      <c r="N359" s="1144">
        <f>Parametres!$L$14</f>
        <v>3</v>
      </c>
      <c r="O359" s="1077">
        <f>COUNTIFS('Degrémont Entrée'!$AS$14:$AS$379,"&gt;0",'Degrémont Entrée'!$A$14:$A$379,"&gt;="&amp;B350,'Degrémont Entrée'!$A$14:$A$379,"&lt;="&amp;EOMONTH(B350,0))</f>
        <v>4</v>
      </c>
      <c r="P359" s="1078">
        <f>SUMIFS('Degrémont Entrée'!$AS$14:$AS$379,'Degrémont Entrée'!$AS$14:$AS$379,"&lt;&gt;0",'Degrémont Entrée'!$A$14:$A$379,"&gt;="&amp;B350,'Degrémont Entrée'!$A$14:$A$379,"&lt;="&amp;EOMONTH(B350,0))</f>
        <v>13.290000000000001</v>
      </c>
      <c r="Q359" s="1078">
        <f>IF(O359=0,0,P359/O359)</f>
        <v>3.3225000000000002</v>
      </c>
      <c r="R359" s="1069" t="e">
        <f ca="1">MINIFS('Degrémont Entrée'!$AS$14:$AS$379,'Degrémont Entrée'!$AS$14:$AS$379,"&lt;&gt;0",'Degrémont Entrée'!$A$14:$A$379,"&gt;="&amp;B350,'Degrémont Entrée'!$A$14:$A$379,"&lt;="&amp;EOMONTH(B350,0))</f>
        <v>#NAME?</v>
      </c>
      <c r="S359" s="1069" t="e">
        <f ca="1">MAXIFS('Degrémont Entrée'!$AS$14:$AS$379,'Degrémont Entrée'!$AS$14:$AS$379,"&lt;&gt;0",'Degrémont Entrée'!$A$14:$A$379,"&gt;="&amp;B350,'Degrémont Entrée'!$A$14:$A$379,"&lt;="&amp;EOMONTH(B350,0))</f>
        <v>#NAME?</v>
      </c>
      <c r="T359" s="1145">
        <f>COUNTIFS('Degrémont Entrée'!$AS$14:$AS$379,"&gt;="&amp;N359,'Degrémont Entrée'!$A$14:$A$379,"&gt;="&amp;B350,'Degrémont Entrée'!$A$14:$A$379,"&lt;="&amp;EOMONTH(B350,0))</f>
        <v>2</v>
      </c>
      <c r="U359" s="1081">
        <f>T359/O359</f>
        <v>0.5</v>
      </c>
      <c r="V359" s="1132"/>
      <c r="W359" s="1083">
        <f>Parametres!$T$14</f>
        <v>0.12</v>
      </c>
      <c r="X359" s="1142">
        <f>COUNTIFS('Degrémont sortie'!$AM$14:$AM$379,"&gt;0",'Degrémont sortie'!$A$14:$A$379,"&gt;="&amp;B350,'Degrémont sortie'!$A$14:$A$379,"&lt;="&amp;EOMONTH(B350,0))</f>
        <v>4</v>
      </c>
      <c r="Y359" s="1085">
        <f>SUMIFS('Degrémont sortie'!$AM$14:$AM$379,'Degrémont sortie'!$AM$14:$AM$379,"&lt;&gt;0",'Degrémont sortie'!$A$14:$A$379,"&gt;="&amp;B350,'Degrémont sortie'!$A$14:$A$379,"&lt;="&amp;EOMONTH(B350,0))</f>
        <v>0.48</v>
      </c>
      <c r="Z359" s="1069">
        <f t="shared" si="159"/>
        <v>0.12</v>
      </c>
      <c r="AA359" s="1069" t="e">
        <f ca="1">MINIFS('Degrémont sortie'!$AM$14:$AM$379,'Degrémont sortie'!$AM$14:$AM$379,"&lt;&gt;0",'Degrémont sortie'!$A$14:$A$379,"&gt;="&amp;B350,'Degrémont sortie'!$A$14:$A$379,"&lt;="&amp;EOMONTH(B350,0))</f>
        <v>#NAME?</v>
      </c>
      <c r="AB359" s="1069" t="e">
        <f ca="1">MAXIFS('Degrémont sortie'!$AM$14:$AM$379,'Degrémont sortie'!$AM$14:$AM$379,"&lt;&gt;0",'Degrémont sortie'!$A$14:$A$379,"&gt;="&amp;B350,'Degrémont sortie'!$A$14:$A$379,"&lt;="&amp;EOMONTH(B350,0))</f>
        <v>#NAME?</v>
      </c>
      <c r="AC359" s="1142">
        <f>COUNTIFS('Degrémont sortie'!$AM$14:$AM$379,"&gt;="&amp;W359,'Degrémont sortie'!$A$14:$A$379,"&gt;="&amp;B350,'Degrémont sortie'!$A$14:$A$379,"&lt;="&amp;EOMONTH(B350,0))</f>
        <v>2</v>
      </c>
      <c r="AD359" s="1087">
        <f t="shared" si="160"/>
        <v>0.5</v>
      </c>
      <c r="AE359" s="1132"/>
      <c r="AF359" s="1105"/>
      <c r="AG359" s="1106"/>
      <c r="AH359" s="1106"/>
      <c r="AI359" s="1106"/>
      <c r="AJ359" s="1106"/>
      <c r="AK359" s="1132"/>
      <c r="AL359" s="1105"/>
      <c r="AM359" s="1106"/>
      <c r="AN359" s="1106"/>
      <c r="AO359" s="1106"/>
      <c r="AP359" s="1106"/>
      <c r="AQ359" s="1132"/>
      <c r="AR359" s="1148"/>
      <c r="AS359" s="1105"/>
      <c r="AT359" s="1106"/>
      <c r="AU359" s="1106"/>
      <c r="AV359" s="1106"/>
      <c r="AW359" s="1138"/>
      <c r="AX359" s="1120"/>
      <c r="AY359" s="1094"/>
      <c r="AZ359" s="1095" t="e">
        <f t="shared" si="158"/>
        <v>#REF!</v>
      </c>
      <c r="BA359" s="2"/>
    </row>
    <row r="360" spans="1:53" ht="15.75" hidden="1" customHeight="1" outlineLevel="1">
      <c r="A360" s="1027"/>
      <c r="B360" s="1096"/>
      <c r="C360" s="1121" t="s">
        <v>20</v>
      </c>
      <c r="D360" s="1122">
        <f>Parametres!$D$15</f>
        <v>0.1</v>
      </c>
      <c r="E360" s="1068" t="e">
        <f>COUNTIFS(#REF!,"&gt;0",#REF!,"&gt;="&amp;B350,#REF!,"&lt;="&amp;EOMONTH(B350,0))</f>
        <v>#REF!</v>
      </c>
      <c r="F360" s="1069" t="e">
        <f>SUMIFS(#REF!,#REF!,"&lt;&gt;0",#REF!,"&gt;="&amp;B350,#REF!,"&lt;="&amp;EOMONTH(B350,0))</f>
        <v>#REF!</v>
      </c>
      <c r="G360" s="1098" t="e">
        <f t="shared" si="156"/>
        <v>#REF!</v>
      </c>
      <c r="H360" s="1070" t="e">
        <f ca="1">MINIFS(#REF!,#REF!,"&lt;&gt;0",#REF!,"&gt;="&amp;B350,#REF!,"&lt;="&amp;EOMONTH(B350,0))</f>
        <v>#NAME?</v>
      </c>
      <c r="I360" s="1078" t="e">
        <f ca="1">MAXIFS(#REF!,#REF!,"&lt;&gt;0",#REF!,"&gt;="&amp;B350,#REF!,"&lt;="&amp;EOMONTH(B350,0))</f>
        <v>#NAME?</v>
      </c>
      <c r="J360" s="1072" t="e">
        <f>COUNTIFS(#REF!,"&gt;="&amp;D360,#REF!,"&gt;="&amp;B350,#REF!,"&lt;="&amp;EOMONTH(B350,0))</f>
        <v>#REF!</v>
      </c>
      <c r="K360" s="1341" t="e">
        <f t="shared" si="157"/>
        <v>#REF!</v>
      </c>
      <c r="L360" s="1115"/>
      <c r="M360" s="1082"/>
      <c r="N360" s="1129"/>
      <c r="O360" s="1129"/>
      <c r="P360" s="1069"/>
      <c r="Q360" s="1069"/>
      <c r="R360" s="1069"/>
      <c r="S360" s="1069"/>
      <c r="T360" s="1143"/>
      <c r="U360" s="1143"/>
      <c r="V360" s="1132"/>
      <c r="W360" s="1129"/>
      <c r="X360" s="1129"/>
      <c r="Y360" s="1069"/>
      <c r="Z360" s="1069"/>
      <c r="AA360" s="1069"/>
      <c r="AB360" s="1069"/>
      <c r="AC360" s="1130"/>
      <c r="AD360" s="1131"/>
      <c r="AE360" s="1132"/>
      <c r="AF360" s="1105"/>
      <c r="AG360" s="1106"/>
      <c r="AH360" s="1106"/>
      <c r="AI360" s="1106"/>
      <c r="AJ360" s="1106"/>
      <c r="AK360" s="1132"/>
      <c r="AL360" s="1105"/>
      <c r="AM360" s="1106"/>
      <c r="AN360" s="1106"/>
      <c r="AO360" s="1106"/>
      <c r="AP360" s="1106"/>
      <c r="AQ360" s="1132"/>
      <c r="AR360" s="1148"/>
      <c r="AS360" s="1105"/>
      <c r="AT360" s="1106"/>
      <c r="AU360" s="1106"/>
      <c r="AV360" s="1106"/>
      <c r="AW360" s="1119"/>
      <c r="AX360" s="1120"/>
      <c r="AY360" s="1094"/>
      <c r="AZ360" s="1095" t="e">
        <f t="shared" si="158"/>
        <v>#REF!</v>
      </c>
      <c r="BA360" s="2"/>
    </row>
    <row r="361" spans="1:53" ht="15.75" hidden="1" customHeight="1" outlineLevel="1">
      <c r="A361" s="1027"/>
      <c r="B361" s="1096"/>
      <c r="C361" s="1121" t="s">
        <v>14</v>
      </c>
      <c r="D361" s="1122">
        <f>Parametres!$D$16</f>
        <v>10000000</v>
      </c>
      <c r="E361" s="1068" t="e">
        <f>COUNTIFS(#REF!,"&gt;0",#REF!,"&gt;="&amp;B350,#REF!,"&lt;="&amp;EOMONTH(B350,0))</f>
        <v>#REF!</v>
      </c>
      <c r="F361" s="1069" t="e">
        <f>SUMIFS(#REF!,#REF!,"&lt;&gt;0",#REF!,"&gt;="&amp;B350,#REF!,"&lt;="&amp;EOMONTH(B350,0))</f>
        <v>#REF!</v>
      </c>
      <c r="G361" s="1098" t="e">
        <f t="shared" si="156"/>
        <v>#REF!</v>
      </c>
      <c r="H361" s="1070" t="e">
        <f ca="1">MINIFS(#REF!,#REF!,"&lt;&gt;0",#REF!,"&gt;="&amp;B350,#REF!,"&lt;="&amp;EOMONTH(B350,0))</f>
        <v>#NAME?</v>
      </c>
      <c r="I361" s="1078" t="e">
        <f ca="1">MAXIFS(#REF!,#REF!,"&lt;&gt;0",#REF!,"&gt;="&amp;B350,#REF!,"&lt;="&amp;EOMONTH(B350,0))</f>
        <v>#NAME?</v>
      </c>
      <c r="J361" s="1072" t="e">
        <f>COUNTIFS(#REF!,"&gt;="&amp;D361,#REF!,"&gt;="&amp;B350,#REF!,"&lt;="&amp;EOMONTH(B350,0))</f>
        <v>#REF!</v>
      </c>
      <c r="K361" s="1341" t="e">
        <f t="shared" si="157"/>
        <v>#REF!</v>
      </c>
      <c r="L361" s="1115"/>
      <c r="M361" s="1082"/>
      <c r="N361" s="1129"/>
      <c r="O361" s="1129"/>
      <c r="P361" s="1069"/>
      <c r="Q361" s="1069"/>
      <c r="R361" s="1069"/>
      <c r="S361" s="1069"/>
      <c r="T361" s="1143"/>
      <c r="U361" s="1143"/>
      <c r="V361" s="1132"/>
      <c r="W361" s="1129"/>
      <c r="X361" s="1129"/>
      <c r="Y361" s="1069"/>
      <c r="Z361" s="1069"/>
      <c r="AA361" s="1069"/>
      <c r="AB361" s="1069"/>
      <c r="AC361" s="1130"/>
      <c r="AD361" s="1131"/>
      <c r="AE361" s="1132"/>
      <c r="AF361" s="1105"/>
      <c r="AG361" s="1106"/>
      <c r="AH361" s="1106"/>
      <c r="AI361" s="1106"/>
      <c r="AJ361" s="1106"/>
      <c r="AK361" s="1082"/>
      <c r="AL361" s="1136"/>
      <c r="AM361" s="1137"/>
      <c r="AN361" s="1137"/>
      <c r="AO361" s="1137"/>
      <c r="AP361" s="1137"/>
      <c r="AQ361" s="1082"/>
      <c r="AR361" s="1118"/>
      <c r="AS361" s="1105"/>
      <c r="AT361" s="1106"/>
      <c r="AU361" s="1106"/>
      <c r="AV361" s="1106"/>
      <c r="AW361" s="1138"/>
      <c r="AX361" s="1120"/>
      <c r="AY361" s="1094"/>
      <c r="AZ361" s="1095" t="e">
        <f t="shared" si="158"/>
        <v>#REF!</v>
      </c>
      <c r="BA361" s="2"/>
    </row>
    <row r="362" spans="1:53" ht="15.75" hidden="1" customHeight="1" outlineLevel="1">
      <c r="A362" s="1027"/>
      <c r="B362" s="1096"/>
      <c r="C362" s="1139" t="s">
        <v>284</v>
      </c>
      <c r="D362" s="1122">
        <f>Parametres!$D$17</f>
        <v>450</v>
      </c>
      <c r="E362" s="1068" t="e">
        <f>COUNTIFS(#REF!,"&gt;0",#REF!,"&gt;="&amp;B350,#REF!,"&lt;="&amp;EOMONTH(B350,0))</f>
        <v>#REF!</v>
      </c>
      <c r="F362" s="1069" t="e">
        <f>SUMIFS(#REF!,#REF!,"&lt;&gt;0",#REF!,"&gt;="&amp;B350,#REF!,"&lt;="&amp;EOMONTH(B350,0))</f>
        <v>#REF!</v>
      </c>
      <c r="G362" s="1069" t="e">
        <f t="shared" si="156"/>
        <v>#REF!</v>
      </c>
      <c r="H362" s="1070" t="e">
        <f ca="1">MINIFS(#REF!,#REF!,"&lt;&gt;0",#REF!,"&gt;="&amp;B350,#REF!,"&lt;="&amp;EOMONTH(B350,0))</f>
        <v>#NAME?</v>
      </c>
      <c r="I362" s="1078" t="e">
        <f ca="1">MAXIFS(#REF!,#REF!,"&lt;&gt;0",#REF!,"&gt;="&amp;B350,#REF!,"&lt;="&amp;EOMONTH(B350,0))</f>
        <v>#NAME?</v>
      </c>
      <c r="J362" s="1114" t="e">
        <f>COUNTIFS(#REF!,"&gt;="&amp;D362,#REF!,"&gt;="&amp;B350,#REF!,"&lt;="&amp;EOMONTH(B350,0))</f>
        <v>#REF!</v>
      </c>
      <c r="K362" s="1341" t="e">
        <f t="shared" si="157"/>
        <v>#REF!</v>
      </c>
      <c r="L362" s="1115"/>
      <c r="M362" s="1082"/>
      <c r="N362" s="1171"/>
      <c r="O362" s="1171"/>
      <c r="P362" s="1173"/>
      <c r="Q362" s="1173"/>
      <c r="R362" s="1173"/>
      <c r="S362" s="1173"/>
      <c r="T362" s="1175"/>
      <c r="U362" s="1175"/>
      <c r="V362" s="1177"/>
      <c r="W362" s="1129"/>
      <c r="X362" s="1129"/>
      <c r="Y362" s="1069"/>
      <c r="Z362" s="1069"/>
      <c r="AA362" s="1069"/>
      <c r="AB362" s="1069"/>
      <c r="AC362" s="1130"/>
      <c r="AD362" s="1131"/>
      <c r="AE362" s="1082"/>
      <c r="AF362" s="1105"/>
      <c r="AG362" s="1106"/>
      <c r="AH362" s="1106"/>
      <c r="AI362" s="1106"/>
      <c r="AJ362" s="1106"/>
      <c r="AK362" s="1132"/>
      <c r="AL362" s="1105"/>
      <c r="AM362" s="1106"/>
      <c r="AN362" s="1106"/>
      <c r="AO362" s="1106"/>
      <c r="AP362" s="1119"/>
      <c r="AQ362" s="1132"/>
      <c r="AR362" s="1148"/>
      <c r="AS362" s="1105"/>
      <c r="AT362" s="1106"/>
      <c r="AU362" s="1106"/>
      <c r="AV362" s="1106"/>
      <c r="AW362" s="1119"/>
      <c r="AX362" s="1120"/>
      <c r="AY362" s="1094"/>
      <c r="AZ362" s="1095" t="e">
        <f t="shared" si="158"/>
        <v>#REF!</v>
      </c>
      <c r="BA362" s="2"/>
    </row>
    <row r="363" spans="1:53" ht="15.75" hidden="1" customHeight="1" outlineLevel="1">
      <c r="A363" s="1027"/>
      <c r="B363" s="1096"/>
      <c r="C363" s="1182" t="s">
        <v>35</v>
      </c>
      <c r="D363" s="1122">
        <f>Parametres!$D$18</f>
        <v>1750</v>
      </c>
      <c r="E363" s="1068" t="e">
        <f>COUNTIFS(#REF!,"&gt;0",#REF!,"&gt;="&amp;B350,#REF!,"&lt;="&amp;EOMONTH(B350,0))</f>
        <v>#REF!</v>
      </c>
      <c r="F363" s="1069" t="e">
        <f>SUMIFS(#REF!,#REF!,"&lt;&gt;0",#REF!,"&gt;="&amp;B350,#REF!,"&lt;="&amp;EOMONTH(B350,0))</f>
        <v>#REF!</v>
      </c>
      <c r="G363" s="1069" t="e">
        <f t="shared" si="156"/>
        <v>#REF!</v>
      </c>
      <c r="H363" s="1070" t="e">
        <f ca="1">MINIFS(#REF!,#REF!,"&lt;&gt;0",#REF!,"&gt;="&amp;B350,#REF!,"&lt;="&amp;EOMONTH(B350,0))</f>
        <v>#NAME?</v>
      </c>
      <c r="I363" s="1078" t="e">
        <f ca="1">MAXIFS(#REF!,#REF!,"&lt;&gt;0",#REF!,"&gt;="&amp;B350,#REF!,"&lt;="&amp;EOMONTH(B350,0))</f>
        <v>#NAME?</v>
      </c>
      <c r="J363" s="1114" t="e">
        <f>COUNTIFS(#REF!,"&gt;="&amp;D363,#REF!,"&gt;="&amp;B350,#REF!,"&lt;="&amp;EOMONTH(B350,0))</f>
        <v>#REF!</v>
      </c>
      <c r="K363" s="1341" t="e">
        <f t="shared" si="157"/>
        <v>#REF!</v>
      </c>
      <c r="L363" s="1115"/>
      <c r="M363" s="1082"/>
      <c r="N363" s="1144">
        <f>Parametres!$L$18</f>
        <v>5000</v>
      </c>
      <c r="O363" s="1077">
        <f>COUNTIFS('Degrémont Entrée'!$K$14:$K$379,"&gt;0",'Degrémont Entrée'!$A$14:$A$379,"&gt;="&amp;B350,'Degrémont Entrée'!$A$14:$A$379,"&lt;="&amp;EOMONTH(B350,0))</f>
        <v>20</v>
      </c>
      <c r="P363" s="1078">
        <f>SUMIFS('Degrémont Entrée'!$K$14:$K$379,'Degrémont Entrée'!$K$14:$K$379,"&lt;&gt;0",'Degrémont Entrée'!$A$14:$A$379,"&gt;="&amp;B350,'Degrémont Entrée'!$A$14:$A$379,"&lt;="&amp;EOMONTH(B350,0))</f>
        <v>509058</v>
      </c>
      <c r="Q363" s="1078">
        <f t="shared" ref="Q363:Q365" si="161">IF(O363=0,0,P363/O363)</f>
        <v>25452.9</v>
      </c>
      <c r="R363" s="1078" t="e">
        <f ca="1">MINIFS('Degrémont Entrée'!$K$14:$K$379,'Degrémont Entrée'!$K$14:$K$379,"&lt;&gt;0",'Degrémont Entrée'!$A$14:$A$379,"&gt;="&amp;B350,'Degrémont Entrée'!$A$14:$A$379,"&lt;="&amp;EOMONTH(B350,0))</f>
        <v>#NAME?</v>
      </c>
      <c r="S363" s="1078" t="e">
        <f ca="1">MAXIFS('Degrémont Entrée'!$K$14:$K$379,'Degrémont Entrée'!$K$14:$K$379,"&lt;&gt;0",'Degrémont Entrée'!$A$14:$A$379,"&gt;="&amp;B350,'Degrémont Entrée'!$A$14:$A$379,"&lt;="&amp;EOMONTH(B350,0))</f>
        <v>#NAME?</v>
      </c>
      <c r="T363" s="1080">
        <f>COUNTIFS('Degrémont Entrée'!$K$14:$K$379,"&gt;="&amp;N363,'Degrémont Entrée'!$A$14:$A$379,"&gt;="&amp;B350,'Degrémont Entrée'!$A$14:$A$379,"&lt;="&amp;EOMONTH(B350,0))</f>
        <v>17</v>
      </c>
      <c r="U363" s="1081">
        <f>T363/O363</f>
        <v>0.85</v>
      </c>
      <c r="V363" s="1082"/>
      <c r="W363" s="1083">
        <f>Parametres!$T$18</f>
        <v>2000</v>
      </c>
      <c r="X363" s="1142">
        <f>COUNTIFS('Degrémont sortie'!$I$14:$I$379,"&gt;0",'Degrémont sortie'!$A$14:$A$379,"&gt;="&amp;B350,'Degrémont sortie'!$A$14:$A$379,"&lt;="&amp;EOMONTH(B350,0))</f>
        <v>21</v>
      </c>
      <c r="Y363" s="1085">
        <f>SUMIFS('Degrémont sortie'!$I$14:$I$379,'Degrémont sortie'!$I$14:$I$379,"&lt;&gt;0",'Degrémont sortie'!$A$14:$A$379,"&gt;="&amp;B350,'Degrémont sortie'!$A$14:$A$379,"&lt;="&amp;EOMONTH(B350,0))</f>
        <v>49142</v>
      </c>
      <c r="Z363" s="1069">
        <f>IF(X363=0,0,Y363/X363)</f>
        <v>2340.0952380952381</v>
      </c>
      <c r="AA363" s="1069" t="e">
        <f ca="1">MINIFS('Degrémont sortie'!$I$14:$I$379,'Degrémont sortie'!$I$14:$I$379,"&lt;&gt;0",'Degrémont sortie'!$A$14:$A$379,"&gt;="&amp;B350,'Degrémont sortie'!$A$14:$A$379,"&lt;="&amp;EOMONTH(B350,0))</f>
        <v>#NAME?</v>
      </c>
      <c r="AB363" s="1069" t="e">
        <f ca="1">MAXIFS('Degrémont sortie'!$I$14:$I$379,'Degrémont sortie'!$I$14:$I$379,"&lt;&gt;0",'Degrémont sortie'!$A$14:$A$379,"&gt;="&amp;B350,'Degrémont sortie'!$A$14:$A$379,"&lt;="&amp;EOMONTH(B350,0))</f>
        <v>#NAME?</v>
      </c>
      <c r="AC363" s="1142">
        <f>COUNTIFS('Degrémont sortie'!$I$14:$I$379,"&gt;="&amp;W363,'Degrémont sortie'!$A$14:$A$379,"&gt;="&amp;B350,'Degrémont sortie'!$A$14:$A$379,"&lt;="&amp;EOMONTH(B350,0))</f>
        <v>6</v>
      </c>
      <c r="AD363" s="1087">
        <f>AC363/X363</f>
        <v>0.2857142857142857</v>
      </c>
      <c r="AE363" s="1082"/>
      <c r="AF363" s="1205" t="e">
        <f>COUNTIFS(#REF!,"&gt;0",#REF!,"&gt;="&amp;B350,#REF!,"&lt;="&amp;EOMONTH(B350,0))</f>
        <v>#REF!</v>
      </c>
      <c r="AG363" s="1208" t="e">
        <f>SUMIFS(#REF!,#REF!,"&lt;&gt;0",#REF!,"&gt;="&amp;B350,#REF!,"&lt;="&amp;EOMONTH(B350,0))</f>
        <v>#REF!</v>
      </c>
      <c r="AH363" s="1208" t="e">
        <f>IF(AF363=0,0,AG363/AF363)</f>
        <v>#REF!</v>
      </c>
      <c r="AI363" s="1208" t="e">
        <f ca="1">MINIFS(#REF!,#REF!,"&lt;&gt;0",#REF!,"&gt;="&amp;B350,#REF!,"&lt;="&amp;EOMONTH(B350,0))</f>
        <v>#NAME?</v>
      </c>
      <c r="AJ363" s="1211" t="e">
        <f ca="1">MAXIFS(#REF!,#REF!,"&lt;&gt;0",#REF!,"&gt;="&amp;B350,#REF!,"&lt;="&amp;EOMONTH(B350,0))</f>
        <v>#NAME?</v>
      </c>
      <c r="AK363" s="1132"/>
      <c r="AL363" s="1205" t="e">
        <f>COUNTIFS(#REF!,"&gt;0",#REF!,"&gt;="&amp;B350,#REF!,"&lt;="&amp;EOMONTH(B350,0))</f>
        <v>#REF!</v>
      </c>
      <c r="AM363" s="1208" t="e">
        <f>SUMIFS(#REF!,#REF!,"&lt;&gt;0",#REF!,"&gt;="&amp;B350,#REF!,"&lt;="&amp;EOMONTH(B350,0))</f>
        <v>#REF!</v>
      </c>
      <c r="AN363" s="1208" t="e">
        <f>IF(AL363=0,0,AM363/AL363)</f>
        <v>#REF!</v>
      </c>
      <c r="AO363" s="1208" t="e">
        <f ca="1">MINIFS(#REF!,#REF!,"&lt;&gt;0",#REF!,"&gt;="&amp;B350,#REF!,"&lt;="&amp;EOMONTH(B350,0))</f>
        <v>#NAME?</v>
      </c>
      <c r="AP363" s="1218" t="e">
        <f ca="1">MAXIFS(#REF!,#REF!,"&lt;&gt;0",#REF!,"&gt;="&amp;B350,#REF!,"&lt;="&amp;EOMONTH(B350,0))</f>
        <v>#NAME?</v>
      </c>
      <c r="AQ363" s="1132"/>
      <c r="AR363" s="1220">
        <f>Parametres!$AM$18</f>
        <v>17000</v>
      </c>
      <c r="AS363" s="1205" t="e">
        <f>COUNTIFS(#REF!,"&gt;0",#REF!,"&gt;="&amp;B350,#REF!,"&lt;="&amp;EOMONTH(B350,0))</f>
        <v>#REF!</v>
      </c>
      <c r="AT363" s="1208" t="e">
        <f>SUMIFS(#REF!,#REF!,"&lt;&gt;0",#REF!,"&gt;="&amp;B350,#REF!,"&lt;="&amp;EOMONTH(B350,0))</f>
        <v>#REF!</v>
      </c>
      <c r="AU363" s="1208" t="e">
        <f>IF(AS363=0,0,AT363/AS363)</f>
        <v>#REF!</v>
      </c>
      <c r="AV363" s="1208" t="e">
        <f ca="1">MINIFS(#REF!,#REF!,"&lt;&gt;0",#REF!,"&gt;="&amp;B350,#REF!,"&lt;="&amp;EOMONTH(B350,0))</f>
        <v>#NAME?</v>
      </c>
      <c r="AW363" s="1222" t="e">
        <f ca="1">MAXIFS(#REF!,#REF!,"&lt;&gt;0",#REF!,"&gt;="&amp;B350,#REF!,"&lt;="&amp;EOMONTH(B350,0))</f>
        <v>#NAME?</v>
      </c>
      <c r="AX363" s="1223" t="e">
        <f>COUNTIFS(#REF!,"&gt;="&amp;AR363,#REF!,"&gt;="&amp;B350,#REF!,"&lt;="&amp;EOMONTH(B350,0))</f>
        <v>#REF!</v>
      </c>
      <c r="AY363" s="1224" t="e">
        <f>AX363/AS363</f>
        <v>#REF!</v>
      </c>
      <c r="AZ363" s="1095" t="e">
        <f t="shared" si="158"/>
        <v>#REF!</v>
      </c>
      <c r="BA363" s="2"/>
    </row>
    <row r="364" spans="1:53" ht="15.75" hidden="1" customHeight="1" outlineLevel="1">
      <c r="A364" s="1027"/>
      <c r="B364" s="1096"/>
      <c r="C364" s="1139" t="s">
        <v>36</v>
      </c>
      <c r="D364" s="1122">
        <f>Parametres!$D$19</f>
        <v>100000</v>
      </c>
      <c r="E364" s="1068" t="e">
        <f>COUNTIFS(#REF!,"&gt;0",#REF!,"&gt;="&amp;B350,#REF!,"&lt;="&amp;EOMONTH(B350,0))</f>
        <v>#REF!</v>
      </c>
      <c r="F364" s="1069" t="e">
        <f>SUMIFS(#REF!,#REF!,"&lt;&gt;0",#REF!,"&gt;="&amp;B350,#REF!,"&lt;="&amp;EOMONTH(B350,0))</f>
        <v>#REF!</v>
      </c>
      <c r="G364" s="1069" t="e">
        <f t="shared" si="156"/>
        <v>#REF!</v>
      </c>
      <c r="H364" s="1070" t="e">
        <f ca="1">MINIFS(#REF!,#REF!,"&lt;&gt;0",#REF!,"&gt;="&amp;B350,#REF!,"&lt;="&amp;EOMONTH(B350,0))</f>
        <v>#NAME?</v>
      </c>
      <c r="I364" s="1078" t="e">
        <f ca="1">MAXIFS(#REF!,#REF!,"&lt;&gt;0",#REF!,"&gt;="&amp;B350,#REF!,"&lt;="&amp;EOMONTH(B350,0))</f>
        <v>#NAME?</v>
      </c>
      <c r="J364" s="1072" t="s">
        <v>153</v>
      </c>
      <c r="K364" s="1072" t="s">
        <v>153</v>
      </c>
      <c r="L364" s="1115"/>
      <c r="M364" s="1082"/>
      <c r="N364" s="1144">
        <f>Parametres!$L$19</f>
        <v>100000</v>
      </c>
      <c r="O364" s="1077">
        <f>COUNTIFS('Degrémont Entrée'!$O$14:$O$379,"&gt;0",'Degrémont Entrée'!$A$14:$A$379,"&gt;="&amp;B350,'Degrémont Entrée'!$A$14:$A$379,"&lt;="&amp;EOMONTH(B350,0))</f>
        <v>19</v>
      </c>
      <c r="P364" s="1078">
        <f>SUMIFS('Degrémont Entrée'!$O$14:$O$379,'Degrémont Entrée'!$O$14:$O$379,"&lt;&gt;0",'Degrémont Entrée'!$A$14:$A$379,"&gt;="&amp;B350,'Degrémont Entrée'!$A$14:$A$379,"&lt;="&amp;EOMONTH(B350,0))</f>
        <v>40220</v>
      </c>
      <c r="Q364" s="1078">
        <f t="shared" si="161"/>
        <v>2116.8421052631579</v>
      </c>
      <c r="R364" s="1173" t="e">
        <f ca="1">MINIFS('Degrémont Entrée'!$O$14:$O$379,'Degrémont Entrée'!$O$14:$O$379,"&lt;&gt;0",'Degrémont Entrée'!$A$14:$A$379,"&gt;="&amp;B350,'Degrémont Entrée'!$A$14:$A$379,"&lt;="&amp;EOMONTH(B350,0))</f>
        <v>#NAME?</v>
      </c>
      <c r="S364" s="1227" t="e">
        <f ca="1">MAXIFS('Degrémont Entrée'!$O$14:$O$379,'Degrémont Entrée'!$O$14:$O$379,"&lt;&gt;0",'Degrémont Entrée'!$A$14:$A$379,"&gt;="&amp;B350,'Degrémont Entrée'!$A$14:$A$379,"&lt;="&amp;EOMONTH(B350,0))</f>
        <v>#NAME?</v>
      </c>
      <c r="T364" s="1228" t="s">
        <v>153</v>
      </c>
      <c r="U364" s="1228" t="s">
        <v>153</v>
      </c>
      <c r="V364" s="1177"/>
      <c r="W364" s="1129"/>
      <c r="X364" s="1129"/>
      <c r="Y364" s="1069"/>
      <c r="Z364" s="1069"/>
      <c r="AA364" s="1069"/>
      <c r="AB364" s="1069"/>
      <c r="AC364" s="1130"/>
      <c r="AD364" s="1131"/>
      <c r="AE364" s="1082"/>
      <c r="AF364" s="1106"/>
      <c r="AG364" s="1106"/>
      <c r="AH364" s="1106"/>
      <c r="AI364" s="1106"/>
      <c r="AJ364" s="1106"/>
      <c r="AK364" s="1132"/>
      <c r="AL364" s="1106"/>
      <c r="AM364" s="1106"/>
      <c r="AN364" s="1106"/>
      <c r="AO364" s="1106"/>
      <c r="AP364" s="1119"/>
      <c r="AQ364" s="1132"/>
      <c r="AR364" s="1106"/>
      <c r="AS364" s="1106"/>
      <c r="AT364" s="1106"/>
      <c r="AU364" s="1106"/>
      <c r="AV364" s="1106"/>
      <c r="AW364" s="1119"/>
      <c r="AX364" s="1120"/>
      <c r="AY364" s="1094"/>
      <c r="AZ364" s="1095" t="e">
        <f t="shared" si="158"/>
        <v>#REF!</v>
      </c>
      <c r="BA364" s="2"/>
    </row>
    <row r="365" spans="1:53" ht="15.75" hidden="1" customHeight="1" outlineLevel="1">
      <c r="A365" s="1027"/>
      <c r="B365" s="1096"/>
      <c r="C365" s="1139" t="s">
        <v>32</v>
      </c>
      <c r="D365" s="1122">
        <f>Parametres!$D$20</f>
        <v>4800</v>
      </c>
      <c r="E365" s="1068" t="e">
        <f>COUNTIFS(#REF!,"&gt;0",#REF!,"&gt;="&amp;B350,#REF!,"&lt;="&amp;EOMONTH(B350,0))</f>
        <v>#REF!</v>
      </c>
      <c r="F365" s="1069" t="e">
        <f>SUMIFS(#REF!,#REF!,"&lt;&gt;0",#REF!,"&gt;="&amp;B350,#REF!,"&lt;="&amp;EOMONTH(B350,0))</f>
        <v>#REF!</v>
      </c>
      <c r="G365" s="1069" t="e">
        <f t="shared" si="156"/>
        <v>#REF!</v>
      </c>
      <c r="H365" s="1070" t="e">
        <f ca="1">MINIFS(#REF!,#REF!,"&lt;&gt;0",#REF!,"&gt;="&amp;B350,#REF!,"&lt;="&amp;EOMONTH(B350,0))</f>
        <v>#NAME?</v>
      </c>
      <c r="I365" s="1078" t="e">
        <f ca="1">MAXIFS(#REF!,#REF!,"&lt;&gt;0",#REF!,"&gt;="&amp;B350,#REF!,"&lt;="&amp;EOMONTH(B350,0))</f>
        <v>#NAME?</v>
      </c>
      <c r="J365" s="1072" t="e">
        <f>COUNTIFS(#REF!,"&gt;="&amp;D365,#REF!,"&gt;="&amp;B350,#REF!,"&lt;="&amp;EOMONTH(B350,0))</f>
        <v>#REF!</v>
      </c>
      <c r="K365" s="1341" t="e">
        <f t="shared" ref="K365:K366" si="162">J365/E365</f>
        <v>#REF!</v>
      </c>
      <c r="L365" s="1115"/>
      <c r="M365" s="1082"/>
      <c r="N365" s="1144">
        <f>Parametres!$L$20</f>
        <v>1000</v>
      </c>
      <c r="O365" s="1077">
        <f>COUNTIFS('Degrémont Entrée'!$B$14:$B$379,"&gt;0",'Degrémont Entrée'!$A$14:$A$379,"&gt;="&amp;B350,'Degrémont Entrée'!$A$14:$A$379,"&lt;="&amp;EOMONTH(B350,0))</f>
        <v>20</v>
      </c>
      <c r="P365" s="1078">
        <f>SUMIFS('Degrémont Entrée'!$B$14:$B$379,'Degrémont Entrée'!$B$14:$B$379,"&lt;&gt;0",'Degrémont Entrée'!$A$14:$A$379,"&gt;="&amp;B350,'Degrémont Entrée'!$A$14:$A$379,"&lt;="&amp;EOMONTH(B350,0))</f>
        <v>13011</v>
      </c>
      <c r="Q365" s="1078">
        <f t="shared" si="161"/>
        <v>650.54999999999995</v>
      </c>
      <c r="R365" s="1173" t="e">
        <f ca="1">MINIFS('Degrémont Entrée'!$B$14:$B$379,'Degrémont Entrée'!$B$14:$B$379,"&lt;&gt;0",'Degrémont Entrée'!$A$14:$A$379,"&gt;="&amp;B350,'Degrémont Entrée'!$A$14:$A$379,"&lt;="&amp;EOMONTH(B350,0))</f>
        <v>#NAME?</v>
      </c>
      <c r="S365" s="1078" t="e">
        <f ca="1">MAXIFS('Degrémont Entrée'!$B$14:$B$379,'Degrémont Entrée'!$B$14:$B$379,"&lt;&gt;0",'Degrémont Entrée'!$A$14:$A$379,"&gt;="&amp;B350,'Degrémont Entrée'!$A$14:$A$379,"&lt;="&amp;EOMONTH(B350,0))</f>
        <v>#NAME?</v>
      </c>
      <c r="T365" s="1236">
        <f>COUNTIFS('Degrémont Entrée'!$B$14:$B$379,"&gt;="&amp;N365,'Degrémont Entrée'!$A$14:$A$379,"&gt;="&amp;B350,'Degrémont Entrée'!$A$14:$A$379,"&lt;="&amp;EOMONTH(B350,0))</f>
        <v>5</v>
      </c>
      <c r="U365" s="1081">
        <f>T365/O365</f>
        <v>0.25</v>
      </c>
      <c r="V365" s="1177"/>
      <c r="W365" s="1083">
        <f>Parametres!$T$20</f>
        <v>1000</v>
      </c>
      <c r="X365" s="1142">
        <f>COUNTIFS('Degrémont sortie'!$B$14:$B$379,"&gt;0",'Degrémont sortie'!$A$14:$A$379,"&gt;="&amp;B350,'Degrémont sortie'!$A$14:$A$379,"&lt;="&amp;EOMONTH(B350,0))</f>
        <v>20</v>
      </c>
      <c r="Y365" s="1085">
        <f>SUMIFS('Degrémont sortie'!$B$14:$B$379,'Degrémont sortie'!$B$14:$B$379,"&lt;&gt;0",'Degrémont sortie'!$A$14:$A$379,"&gt;="&amp;B350,'Degrémont sortie'!$A$14:$A$379,"&lt;="&amp;EOMONTH(B350,0))</f>
        <v>13011</v>
      </c>
      <c r="Z365" s="1069">
        <f>IF(X365=0,0,Y365/X365)</f>
        <v>650.54999999999995</v>
      </c>
      <c r="AA365" s="1069" t="e">
        <f ca="1">MINIFS('Degrémont sortie'!$B$14:$B$379,'Degrémont sortie'!$B$14:$B$379,"&lt;&gt;0",'Degrémont sortie'!$A$14:$A$379,"&gt;="&amp;B350,'Degrémont sortie'!$A$14:$A$379,"&lt;="&amp;EOMONTH(B350,0))</f>
        <v>#NAME?</v>
      </c>
      <c r="AB365" s="1069" t="e">
        <f ca="1">MAXIFS('Degrémont sortie'!$B$14:$B$379,'Degrémont sortie'!$B$14:$B$379,"&lt;&gt;0",'Degrémont sortie'!$A$14:$A$379,"&gt;="&amp;B350,'Degrémont sortie'!$A$14:$A$379,"&lt;="&amp;EOMONTH(B350,0))</f>
        <v>#NAME?</v>
      </c>
      <c r="AC365" s="1142">
        <f>COUNTIFS('Degrémont sortie'!$B$14:$B$379,"&gt;="&amp;W365,'Degrémont sortie'!$A$14:$A$379,"&gt;="&amp;B350,'Degrémont sortie'!$A$14:$A$379,"&lt;="&amp;EOMONTH(B350,0))</f>
        <v>5</v>
      </c>
      <c r="AD365" s="1087">
        <f>AC365/X365</f>
        <v>0.25</v>
      </c>
      <c r="AE365" s="1082"/>
      <c r="AF365" s="1205" t="e">
        <f>COUNTIFS(#REF!,"&gt;0",#REF!,"&gt;="&amp;B350,#REF!,"&lt;="&amp;EOMONTH(B350,0))</f>
        <v>#REF!</v>
      </c>
      <c r="AG365" s="1208" t="e">
        <f>SUMIFS(#REF!,#REF!,"&lt;&gt;0",#REF!,"&gt;="&amp;B350,#REF!,"&lt;="&amp;EOMONTH(B350,0))</f>
        <v>#REF!</v>
      </c>
      <c r="AH365" s="1208" t="e">
        <f>IF(AF365=0,0,AG365/AF365)</f>
        <v>#REF!</v>
      </c>
      <c r="AI365" s="1208" t="e">
        <f ca="1">MINIFS(#REF!,#REF!,"&lt;&gt;0",#REF!,"&gt;="&amp;B350,#REF!,"&lt;="&amp;EOMONTH(B350,0))</f>
        <v>#NAME?</v>
      </c>
      <c r="AJ365" s="1208" t="e">
        <f ca="1">MAXIFS(#REF!,#REF!,"&lt;&gt;0",#REF!,"&gt;="&amp;B350,#REF!,"&lt;="&amp;EOMONTH(B350,0))</f>
        <v>#NAME?</v>
      </c>
      <c r="AK365" s="1132"/>
      <c r="AL365" s="1106"/>
      <c r="AM365" s="1106"/>
      <c r="AN365" s="1106"/>
      <c r="AO365" s="1106"/>
      <c r="AP365" s="1119"/>
      <c r="AQ365" s="1132"/>
      <c r="AR365" s="1220">
        <f>Parametres!$AM$20</f>
        <v>1000000</v>
      </c>
      <c r="AS365" s="1205" t="e">
        <f>COUNTIFS(#REF!,"&gt;0",#REF!,"&gt;="&amp;B350,#REF!,"&lt;="&amp;EOMONTH(B350,0))</f>
        <v>#REF!</v>
      </c>
      <c r="AT365" s="1208" t="e">
        <f>SUMIFS(#REF!,#REF!,"&lt;&gt;0",#REF!,"&gt;="&amp;B350,#REF!,"&lt;="&amp;EOMONTH(B350,0))</f>
        <v>#REF!</v>
      </c>
      <c r="AU365" s="1208" t="e">
        <f>IF(AS365=0,0,AT365/AS365)</f>
        <v>#REF!</v>
      </c>
      <c r="AV365" s="1208" t="e">
        <f ca="1">MINIFS(#REF!,#REF!,"&lt;&gt;0",#REF!,"&gt;="&amp;B350,#REF!,"&lt;="&amp;EOMONTH(B350,0))</f>
        <v>#NAME?</v>
      </c>
      <c r="AW365" s="1222" t="e">
        <f ca="1">MAXIFS(#REF!,#REF!,"&lt;&gt;0",#REF!,"&gt;="&amp;B350,#REF!,"&lt;="&amp;EOMONTH(B350,0))</f>
        <v>#NAME?</v>
      </c>
      <c r="AX365" s="1243" t="s">
        <v>153</v>
      </c>
      <c r="AY365" s="1224" t="e">
        <f>AX365/AS365</f>
        <v>#VALUE!</v>
      </c>
      <c r="AZ365" s="1095" t="e">
        <f t="shared" si="158"/>
        <v>#REF!</v>
      </c>
      <c r="BA365" s="2"/>
    </row>
    <row r="366" spans="1:53" ht="15.75" hidden="1" customHeight="1" outlineLevel="1">
      <c r="A366" s="1027"/>
      <c r="B366" s="1096"/>
      <c r="C366" s="1121" t="s">
        <v>21</v>
      </c>
      <c r="D366" s="1122">
        <f>Parametres!$D$22</f>
        <v>2</v>
      </c>
      <c r="E366" s="1068" t="e">
        <f>COUNTIFS(#REF!,"&gt;0",#REF!,"&gt;="&amp;B350,#REF!,"&lt;="&amp;EOMONTH(B350,0))</f>
        <v>#REF!</v>
      </c>
      <c r="F366" s="1069" t="e">
        <f>SUMIFS(#REF!,#REF!,"&lt;&gt;0",#REF!,"&gt;="&amp;B350,#REF!,"&lt;="&amp;EOMONTH(B350,0))</f>
        <v>#REF!</v>
      </c>
      <c r="G366" s="1069" t="e">
        <f t="shared" si="156"/>
        <v>#REF!</v>
      </c>
      <c r="H366" s="1070" t="e">
        <f ca="1">MINIFS(#REF!,#REF!,"&lt;&gt;0",#REF!,"&gt;="&amp;B350,#REF!,"&lt;="&amp;EOMONTH(B350,0))</f>
        <v>#NAME?</v>
      </c>
      <c r="I366" s="1078" t="e">
        <f ca="1">MAXIFS(#REF!,#REF!,"&lt;&gt;0",#REF!,"&gt;="&amp;B350,#REF!,"&lt;="&amp;EOMONTH(B350,0))</f>
        <v>#NAME?</v>
      </c>
      <c r="J366" s="1072" t="e">
        <f>COUNTIFS(#REF!,"&gt;="&amp;D366,#REF!,"&gt;="&amp;B350,#REF!,"&lt;="&amp;EOMONTH(B350,0))</f>
        <v>#REF!</v>
      </c>
      <c r="K366" s="1341" t="e">
        <f t="shared" si="162"/>
        <v>#REF!</v>
      </c>
      <c r="L366" s="1115"/>
      <c r="M366" s="1082"/>
      <c r="N366" s="1171"/>
      <c r="O366" s="1171"/>
      <c r="P366" s="1173"/>
      <c r="Q366" s="1173"/>
      <c r="R366" s="1173"/>
      <c r="S366" s="1173"/>
      <c r="T366" s="1175"/>
      <c r="U366" s="1175"/>
      <c r="V366" s="1082"/>
      <c r="W366" s="1106"/>
      <c r="X366" s="1106"/>
      <c r="Y366" s="1069"/>
      <c r="Z366" s="1069"/>
      <c r="AA366" s="1069"/>
      <c r="AB366" s="1069"/>
      <c r="AC366" s="1248"/>
      <c r="AD366" s="1249"/>
      <c r="AE366" s="1082"/>
      <c r="AF366" s="1106"/>
      <c r="AG366" s="1106"/>
      <c r="AH366" s="1106"/>
      <c r="AI366" s="1106"/>
      <c r="AJ366" s="1106"/>
      <c r="AK366" s="1132"/>
      <c r="AL366" s="1106"/>
      <c r="AM366" s="1106"/>
      <c r="AN366" s="1106"/>
      <c r="AO366" s="1106"/>
      <c r="AP366" s="1119"/>
      <c r="AQ366" s="1132"/>
      <c r="AR366" s="1106"/>
      <c r="AS366" s="1106"/>
      <c r="AT366" s="1106"/>
      <c r="AU366" s="1106"/>
      <c r="AV366" s="1106"/>
      <c r="AW366" s="1119"/>
      <c r="AX366" s="1120"/>
      <c r="AY366" s="1094"/>
      <c r="AZ366" s="1095" t="e">
        <f t="shared" si="158"/>
        <v>#REF!</v>
      </c>
      <c r="BA366" s="2"/>
    </row>
    <row r="367" spans="1:53" ht="15.75" hidden="1" customHeight="1" outlineLevel="1">
      <c r="A367" s="1027"/>
      <c r="B367" s="1096"/>
      <c r="C367" s="1121" t="s">
        <v>22</v>
      </c>
      <c r="D367" s="1122">
        <f>Parametres!$D$23</f>
        <v>1000000</v>
      </c>
      <c r="E367" s="1068" t="e">
        <f>COUNTIFS(#REF!,"&gt;0",#REF!,"&gt;="&amp;B350,#REF!,"&lt;="&amp;EOMONTH(B350,0))</f>
        <v>#REF!</v>
      </c>
      <c r="F367" s="1069" t="e">
        <f>SUMIFS(#REF!,#REF!,"&lt;&gt;0",#REF!,"&gt;="&amp;B350,#REF!,"&lt;="&amp;EOMONTH(B350,0))</f>
        <v>#REF!</v>
      </c>
      <c r="G367" s="1069" t="e">
        <f t="shared" si="156"/>
        <v>#REF!</v>
      </c>
      <c r="H367" s="1070" t="e">
        <f ca="1">MINIFS(#REF!,#REF!,"&lt;&gt;0",#REF!,"&gt;="&amp;B350,#REF!,"&lt;="&amp;EOMONTH(B350,0))</f>
        <v>#NAME?</v>
      </c>
      <c r="I367" s="1078" t="e">
        <f ca="1">MAXIFS(#REF!,#REF!,"&lt;&gt;0",#REF!,"&gt;="&amp;B350,#REF!,"&lt;="&amp;EOMONTH(B350,0))</f>
        <v>#NAME?</v>
      </c>
      <c r="J367" s="1072" t="s">
        <v>153</v>
      </c>
      <c r="K367" s="1072" t="s">
        <v>153</v>
      </c>
      <c r="L367" s="1115"/>
      <c r="M367" s="1082"/>
      <c r="N367" s="1171"/>
      <c r="O367" s="1171"/>
      <c r="P367" s="1173"/>
      <c r="Q367" s="1173"/>
      <c r="R367" s="1173"/>
      <c r="S367" s="1173"/>
      <c r="T367" s="1175"/>
      <c r="U367" s="1175"/>
      <c r="V367" s="1082"/>
      <c r="W367" s="1106"/>
      <c r="X367" s="1106"/>
      <c r="Y367" s="1069"/>
      <c r="Z367" s="1069"/>
      <c r="AA367" s="1069"/>
      <c r="AB367" s="1069"/>
      <c r="AC367" s="1248"/>
      <c r="AD367" s="1249"/>
      <c r="AE367" s="1082"/>
      <c r="AF367" s="1106"/>
      <c r="AG367" s="1106"/>
      <c r="AH367" s="1106"/>
      <c r="AI367" s="1106"/>
      <c r="AJ367" s="1106"/>
      <c r="AK367" s="1132"/>
      <c r="AL367" s="1106"/>
      <c r="AM367" s="1106"/>
      <c r="AN367" s="1106"/>
      <c r="AO367" s="1106"/>
      <c r="AP367" s="1119"/>
      <c r="AQ367" s="1132"/>
      <c r="AR367" s="1106"/>
      <c r="AS367" s="1106"/>
      <c r="AT367" s="1106"/>
      <c r="AU367" s="1106"/>
      <c r="AV367" s="1106"/>
      <c r="AW367" s="1119"/>
      <c r="AX367" s="1120"/>
      <c r="AY367" s="1094"/>
      <c r="AZ367" s="1095" t="e">
        <f t="shared" si="158"/>
        <v>#REF!</v>
      </c>
      <c r="BA367" s="2"/>
    </row>
    <row r="368" spans="1:53" ht="15.75" hidden="1" customHeight="1" outlineLevel="1">
      <c r="A368" s="1027"/>
      <c r="B368" s="1096"/>
      <c r="C368" s="1139" t="s">
        <v>44</v>
      </c>
      <c r="D368" s="1122">
        <f>Parametres!$D$24</f>
        <v>5</v>
      </c>
      <c r="E368" s="1068" t="e">
        <f>COUNTIFS(#REF!,"&gt;0",#REF!,"&gt;="&amp;B350,#REF!,"&lt;="&amp;EOMONTH(B350,0))</f>
        <v>#REF!</v>
      </c>
      <c r="F368" s="1069" t="e">
        <f>SUMIFS(#REF!,#REF!,"&lt;&gt;0",#REF!,"&gt;="&amp;B350,#REF!,"&lt;="&amp;EOMONTH(B350,0))</f>
        <v>#REF!</v>
      </c>
      <c r="G368" s="1069" t="e">
        <f t="shared" si="156"/>
        <v>#REF!</v>
      </c>
      <c r="H368" s="1070" t="e">
        <f ca="1">MINIFS(#REF!,#REF!,"&lt;&gt;0",#REF!,"&gt;="&amp;B350,#REF!,"&lt;="&amp;EOMONTH(B350,0))</f>
        <v>#NAME?</v>
      </c>
      <c r="I368" s="1078" t="e">
        <f ca="1">MAXIFS(#REF!,#REF!,"&lt;&gt;0",#REF!,"&gt;="&amp;B350,#REF!,"&lt;="&amp;EOMONTH(B350,0))</f>
        <v>#NAME?</v>
      </c>
      <c r="J368" s="1072" t="e">
        <f>COUNTIFS(#REF!,"&gt;="&amp;D368,#REF!,"&gt;="&amp;B350,#REF!,"&lt;="&amp;EOMONTH(B350,0))</f>
        <v>#REF!</v>
      </c>
      <c r="K368" s="1341" t="e">
        <f t="shared" ref="K368:K376" si="163">J368/E368</f>
        <v>#REF!</v>
      </c>
      <c r="L368" s="1115"/>
      <c r="M368" s="1082"/>
      <c r="N368" s="1144">
        <f>Parametres!$L$24</f>
        <v>60</v>
      </c>
      <c r="O368" s="1077">
        <f>COUNTIFS('Degrémont Entrée'!$AP$14:$AP$379,"&gt;0",'Degrémont Entrée'!$A$14:$A$379,"&gt;="&amp;B350,'Degrémont Entrée'!$A$14:$A$379,"&lt;="&amp;EOMONTH(B350,0))</f>
        <v>4</v>
      </c>
      <c r="P368" s="1078">
        <f>SUMIFS('Degrémont Entrée'!$AP$14:$AP$379,'Degrémont Entrée'!$AP$14:$AP$379,"&lt;&gt;0",'Degrémont Entrée'!$A$14:$A$379,"&gt;="&amp;B350,'Degrémont Entrée'!$A$14:$A$379,"&lt;="&amp;EOMONTH(B350,0))</f>
        <v>1453.49</v>
      </c>
      <c r="Q368" s="1078">
        <f>IF(O368=0,0,P368/O368)</f>
        <v>363.3725</v>
      </c>
      <c r="R368" s="1078" t="e">
        <f ca="1">MINIFS('Degrémont Entrée'!$AP$14:$AP$379,'Degrémont Entrée'!$AP$14:$AP$379,"&lt;&gt;0",'Degrémont Entrée'!$A$14:$A$379,"&gt;="&amp;B350,'Degrémont Entrée'!$A$14:$A$379,"&lt;="&amp;EOMONTH(B350,0))</f>
        <v>#NAME?</v>
      </c>
      <c r="S368" s="1078" t="e">
        <f ca="1">MAXIFS('Degrémont Entrée'!$AP$14:$AP$379,'Degrémont Entrée'!$AP$14:$AP$379,"&lt;&gt;0",'Degrémont Entrée'!$A$14:$A$379,"&gt;="&amp;B350,'Degrémont Entrée'!$A$14:$A$379,"&lt;="&amp;EOMONTH(B350,0))</f>
        <v>#NAME?</v>
      </c>
      <c r="T368" s="1080">
        <f>COUNTIFS('Degrémont Entrée'!$AP$14:$AP$379,"&gt;="&amp;N368,'Degrémont Entrée'!$A$14:$A$379,"&gt;="&amp;B350,'Degrémont Entrée'!$A$14:$A$379,"&lt;="&amp;EOMONTH(B350,0))</f>
        <v>4</v>
      </c>
      <c r="U368" s="1081">
        <f>T368/O368</f>
        <v>1</v>
      </c>
      <c r="V368" s="1082"/>
      <c r="W368" s="1083">
        <f>Parametres!$T$24</f>
        <v>1.6</v>
      </c>
      <c r="X368" s="1142">
        <f>COUNTIFS('Degrémont sortie'!$AJ$14:$AJ$379,"&gt;0",'Degrémont sortie'!$A$14:$A$379,"&gt;="&amp;B350,'Degrémont sortie'!$A$14:$A$379,"&lt;="&amp;EOMONTH(B350,0))</f>
        <v>4</v>
      </c>
      <c r="Y368" s="1085">
        <f>SUMIFS('Degrémont sortie'!$AJ$14:$AJ$379,'Degrémont sortie'!$AJ$14:$AJ$379,"&lt;&gt;0",'Degrémont sortie'!$A$14:$A$379,"&gt;="&amp;B350,'Degrémont sortie'!$A$14:$A$379,"&lt;="&amp;EOMONTH(B350,0))</f>
        <v>7.9399999999999995</v>
      </c>
      <c r="Z368" s="1069">
        <f>IF(X368=0,0,Y368/X368)</f>
        <v>1.9849999999999999</v>
      </c>
      <c r="AA368" s="1069" t="e">
        <f ca="1">MINIFS('Degrémont sortie'!$AJ$14:$AJ$379,'Degrémont sortie'!$AJ$14:$AJ$379,"&lt;&gt;0",'Degrémont sortie'!$A$14:$A$379,"&gt;="&amp;B350,'Degrémont sortie'!$A$14:$A$379,"&lt;="&amp;EOMONTH(B350,0))</f>
        <v>#NAME?</v>
      </c>
      <c r="AB368" s="1069" t="e">
        <f ca="1">MAXIFS('Degrémont sortie'!$AJ$14:$AJ$379,'Degrémont sortie'!$AJ$14:$AJ$379,"&lt;&gt;0",'Degrémont sortie'!$A$14:$A$379,"&gt;="&amp;B350,'Degrémont sortie'!$A$14:$A$379,"&lt;="&amp;EOMONTH(B350,0))</f>
        <v>#NAME?</v>
      </c>
      <c r="AC368" s="1142">
        <f>COUNTIFS('Degrémont sortie'!$AJ$14:$AJ$379,"&gt;="&amp;W368,'Degrémont sortie'!$A$14:$A$379,"&gt;="&amp;B350,'Degrémont sortie'!$A$14:$A$379,"&lt;="&amp;EOMONTH(B350,0))</f>
        <v>2</v>
      </c>
      <c r="AD368" s="1087">
        <f>AC368/X368</f>
        <v>0.5</v>
      </c>
      <c r="AE368" s="1082"/>
      <c r="AF368" s="1106"/>
      <c r="AG368" s="1106"/>
      <c r="AH368" s="1106"/>
      <c r="AI368" s="1106"/>
      <c r="AJ368" s="1106"/>
      <c r="AK368" s="1132"/>
      <c r="AL368" s="1106"/>
      <c r="AM368" s="1106"/>
      <c r="AN368" s="1106"/>
      <c r="AO368" s="1106"/>
      <c r="AP368" s="1119"/>
      <c r="AQ368" s="1132"/>
      <c r="AR368" s="1106"/>
      <c r="AS368" s="1106"/>
      <c r="AT368" s="1106"/>
      <c r="AU368" s="1106"/>
      <c r="AV368" s="1106"/>
      <c r="AW368" s="1119"/>
      <c r="AX368" s="1120"/>
      <c r="AY368" s="1094"/>
      <c r="AZ368" s="1095" t="e">
        <f t="shared" si="158"/>
        <v>#REF!</v>
      </c>
      <c r="BA368" s="2"/>
    </row>
    <row r="369" spans="1:53" ht="15.75" hidden="1" customHeight="1" outlineLevel="1">
      <c r="A369" s="1027"/>
      <c r="B369" s="1096"/>
      <c r="C369" s="1121" t="s">
        <v>169</v>
      </c>
      <c r="D369" s="1122">
        <f>Parametres!$D$25</f>
        <v>4</v>
      </c>
      <c r="E369" s="1068" t="e">
        <f>COUNTIFS(#REF!,"&gt;0",#REF!,"&gt;="&amp;B350,#REF!,"&lt;="&amp;EOMONTH(B350,0))</f>
        <v>#REF!</v>
      </c>
      <c r="F369" s="1069" t="e">
        <f>SUMIFS(#REF!,#REF!,"&lt;&gt;0",#REF!,"&gt;="&amp;B350,#REF!,"&lt;="&amp;EOMONTH(B350,0))</f>
        <v>#REF!</v>
      </c>
      <c r="G369" s="1069" t="e">
        <f t="shared" si="156"/>
        <v>#REF!</v>
      </c>
      <c r="H369" s="1070" t="e">
        <f ca="1">MINIFS(#REF!,#REF!,"&lt;&gt;0",#REF!,"&gt;="&amp;B350,#REF!,"&lt;="&amp;EOMONTH(B350,0))</f>
        <v>#NAME?</v>
      </c>
      <c r="I369" s="1078" t="e">
        <f ca="1">MAXIFS(#REF!,#REF!,"&lt;&gt;0",#REF!,"&gt;="&amp;B350,#REF!,"&lt;="&amp;EOMONTH(B350,0))</f>
        <v>#NAME?</v>
      </c>
      <c r="J369" s="1072" t="e">
        <f>COUNTIFS(#REF!,"&gt;="&amp;D369,#REF!,"&gt;="&amp;B350,#REF!,"&lt;="&amp;EOMONTH(B350,0))</f>
        <v>#REF!</v>
      </c>
      <c r="K369" s="1341" t="e">
        <f t="shared" si="163"/>
        <v>#REF!</v>
      </c>
      <c r="L369" s="1115"/>
      <c r="M369" s="1082"/>
      <c r="N369" s="1263"/>
      <c r="O369" s="1263"/>
      <c r="P369" s="1078"/>
      <c r="Q369" s="1078"/>
      <c r="R369" s="1078"/>
      <c r="S369" s="1078"/>
      <c r="T369" s="1264"/>
      <c r="U369" s="1264"/>
      <c r="V369" s="1082"/>
      <c r="W369" s="1106"/>
      <c r="X369" s="1106"/>
      <c r="Y369" s="1069"/>
      <c r="Z369" s="1069"/>
      <c r="AA369" s="1069"/>
      <c r="AB369" s="1069"/>
      <c r="AC369" s="1248"/>
      <c r="AD369" s="1249"/>
      <c r="AE369" s="1082"/>
      <c r="AF369" s="1106"/>
      <c r="AG369" s="1106"/>
      <c r="AH369" s="1106"/>
      <c r="AI369" s="1106"/>
      <c r="AJ369" s="1106"/>
      <c r="AK369" s="1132"/>
      <c r="AL369" s="1106"/>
      <c r="AM369" s="1106"/>
      <c r="AN369" s="1106"/>
      <c r="AO369" s="1106"/>
      <c r="AP369" s="1138"/>
      <c r="AQ369" s="1132"/>
      <c r="AR369" s="1106"/>
      <c r="AS369" s="1106"/>
      <c r="AT369" s="1106"/>
      <c r="AU369" s="1106"/>
      <c r="AV369" s="1106"/>
      <c r="AW369" s="1119"/>
      <c r="AX369" s="1120"/>
      <c r="AY369" s="1094"/>
      <c r="AZ369" s="1095" t="e">
        <f t="shared" si="158"/>
        <v>#REF!</v>
      </c>
      <c r="BA369" s="2"/>
    </row>
    <row r="370" spans="1:53" ht="15.75" hidden="1" customHeight="1" outlineLevel="1">
      <c r="A370" s="1027"/>
      <c r="B370" s="1096"/>
      <c r="C370" s="1139" t="s">
        <v>165</v>
      </c>
      <c r="D370" s="1122">
        <f>Parametres!$D$26</f>
        <v>10</v>
      </c>
      <c r="E370" s="1068" t="e">
        <f>COUNTIFS(#REF!,"&gt;0",#REF!,"&gt;="&amp;B350,#REF!,"&lt;="&amp;EOMONTH(B350,0))</f>
        <v>#REF!</v>
      </c>
      <c r="F370" s="1069" t="e">
        <f>SUMIFS(#REF!,#REF!,"&lt;&gt;0",#REF!,"&gt;="&amp;B350,#REF!,"&lt;="&amp;EOMONTH(B350,0))</f>
        <v>#REF!</v>
      </c>
      <c r="G370" s="1069" t="e">
        <f t="shared" si="156"/>
        <v>#REF!</v>
      </c>
      <c r="H370" s="1070" t="e">
        <f ca="1">MINIFS(#REF!,#REF!,"&lt;&gt;0",#REF!,"&gt;="&amp;B350,#REF!,"&lt;="&amp;EOMONTH(B350,0))</f>
        <v>#NAME?</v>
      </c>
      <c r="I370" s="1078" t="e">
        <f ca="1">MAXIFS(#REF!,#REF!,"&lt;&gt;0",#REF!,"&gt;="&amp;B350,#REF!,"&lt;="&amp;EOMONTH(B350,0))</f>
        <v>#NAME?</v>
      </c>
      <c r="J370" s="1114" t="e">
        <f>COUNTIFS(#REF!,"&gt;="&amp;D370,#REF!,"&gt;="&amp;B350,#REF!,"&lt;="&amp;EOMONTH(B350,0))</f>
        <v>#REF!</v>
      </c>
      <c r="K370" s="1341" t="e">
        <f t="shared" si="163"/>
        <v>#REF!</v>
      </c>
      <c r="L370" s="1115"/>
      <c r="M370" s="1075"/>
      <c r="N370" s="1265"/>
      <c r="O370" s="1265"/>
      <c r="P370" s="1266"/>
      <c r="Q370" s="1266"/>
      <c r="R370" s="1266"/>
      <c r="S370" s="1266"/>
      <c r="T370" s="1267"/>
      <c r="U370" s="1267"/>
      <c r="V370" s="1075"/>
      <c r="W370" s="1106"/>
      <c r="X370" s="1106"/>
      <c r="Y370" s="1069"/>
      <c r="Z370" s="1069"/>
      <c r="AA370" s="1069"/>
      <c r="AB370" s="1069"/>
      <c r="AC370" s="1248"/>
      <c r="AD370" s="1249"/>
      <c r="AE370" s="1082"/>
      <c r="AF370" s="1106"/>
      <c r="AG370" s="1106"/>
      <c r="AH370" s="1106"/>
      <c r="AI370" s="1106"/>
      <c r="AJ370" s="1106"/>
      <c r="AK370" s="1132"/>
      <c r="AL370" s="1106"/>
      <c r="AM370" s="1106"/>
      <c r="AN370" s="1106"/>
      <c r="AO370" s="1106"/>
      <c r="AP370" s="1138"/>
      <c r="AQ370" s="1132"/>
      <c r="AR370" s="1106"/>
      <c r="AS370" s="1106"/>
      <c r="AT370" s="1106"/>
      <c r="AU370" s="1106"/>
      <c r="AV370" s="1106"/>
      <c r="AW370" s="1119"/>
      <c r="AX370" s="1120"/>
      <c r="AY370" s="1094"/>
      <c r="AZ370" s="1095" t="e">
        <f t="shared" si="158"/>
        <v>#REF!</v>
      </c>
      <c r="BA370" s="2"/>
    </row>
    <row r="371" spans="1:53" ht="15.75" hidden="1" customHeight="1" outlineLevel="1">
      <c r="A371" s="1027"/>
      <c r="B371" s="1096"/>
      <c r="C371" s="1121" t="s">
        <v>23</v>
      </c>
      <c r="D371" s="1122">
        <f>Parametres!$D$27</f>
        <v>0.05</v>
      </c>
      <c r="E371" s="1068" t="e">
        <f>COUNTIFS(#REF!,"&gt;0",#REF!,"&gt;="&amp;B350,#REF!,"&lt;="&amp;EOMONTH(B350,0))</f>
        <v>#REF!</v>
      </c>
      <c r="F371" s="1069" t="e">
        <f>SUMIFS(#REF!,#REF!,"&lt;&gt;0",#REF!,"&gt;="&amp;B350,#REF!,"&lt;="&amp;EOMONTH(B350,0))</f>
        <v>#REF!</v>
      </c>
      <c r="G371" s="1069" t="e">
        <f t="shared" si="156"/>
        <v>#REF!</v>
      </c>
      <c r="H371" s="1070" t="e">
        <f ca="1">MINIFS(#REF!,#REF!,"&lt;&gt;0",#REF!,"&gt;="&amp;B350,#REF!,"&lt;="&amp;EOMONTH(B350,0))</f>
        <v>#NAME?</v>
      </c>
      <c r="I371" s="1078" t="e">
        <f ca="1">MAXIFS(#REF!,#REF!,"&lt;&gt;0",#REF!,"&gt;="&amp;B350,#REF!,"&lt;="&amp;EOMONTH(B350,0))</f>
        <v>#NAME?</v>
      </c>
      <c r="J371" s="1072" t="e">
        <f>COUNTIFS(#REF!,"&gt;="&amp;D371,#REF!,"&gt;="&amp;B350,#REF!,"&lt;="&amp;EOMONTH(B350,0))</f>
        <v>#REF!</v>
      </c>
      <c r="K371" s="1341" t="e">
        <f t="shared" si="163"/>
        <v>#REF!</v>
      </c>
      <c r="L371" s="1115"/>
      <c r="M371" s="1082"/>
      <c r="N371" s="1129"/>
      <c r="O371" s="1129"/>
      <c r="P371" s="1069"/>
      <c r="Q371" s="1069"/>
      <c r="R371" s="1069"/>
      <c r="S371" s="1069"/>
      <c r="T371" s="1143"/>
      <c r="U371" s="1143"/>
      <c r="V371" s="1132"/>
      <c r="W371" s="1106"/>
      <c r="X371" s="1106"/>
      <c r="Y371" s="1069"/>
      <c r="Z371" s="1069"/>
      <c r="AA371" s="1069"/>
      <c r="AB371" s="1069"/>
      <c r="AC371" s="1248"/>
      <c r="AD371" s="1249"/>
      <c r="AE371" s="1132"/>
      <c r="AF371" s="1106"/>
      <c r="AG371" s="1106"/>
      <c r="AH371" s="1106"/>
      <c r="AI371" s="1106"/>
      <c r="AJ371" s="1106"/>
      <c r="AK371" s="1132"/>
      <c r="AL371" s="1106"/>
      <c r="AM371" s="1106"/>
      <c r="AN371" s="1106"/>
      <c r="AO371" s="1106"/>
      <c r="AP371" s="1138"/>
      <c r="AQ371" s="1132"/>
      <c r="AR371" s="1106"/>
      <c r="AS371" s="1106"/>
      <c r="AT371" s="1106"/>
      <c r="AU371" s="1106"/>
      <c r="AV371" s="1106"/>
      <c r="AW371" s="1119"/>
      <c r="AX371" s="1120"/>
      <c r="AY371" s="1094"/>
      <c r="AZ371" s="1095" t="e">
        <f t="shared" si="158"/>
        <v>#REF!</v>
      </c>
      <c r="BA371" s="2"/>
    </row>
    <row r="372" spans="1:53" ht="15.75" hidden="1" customHeight="1" outlineLevel="1">
      <c r="A372" s="1027"/>
      <c r="B372" s="1096"/>
      <c r="C372" s="1139" t="s">
        <v>201</v>
      </c>
      <c r="D372" s="1122">
        <f>Parametres!$D$28</f>
        <v>8</v>
      </c>
      <c r="E372" s="1068" t="e">
        <f>COUNTIFS(#REF!,"&gt;0",#REF!,"&gt;="&amp;B350,#REF!,"&lt;="&amp;EOMONTH(B350,0))</f>
        <v>#REF!</v>
      </c>
      <c r="F372" s="1069" t="e">
        <f>SUMIFS(#REF!,#REF!,"&lt;&gt;0",#REF!,"&gt;="&amp;B350,#REF!,"&lt;="&amp;EOMONTH(B350,0))</f>
        <v>#REF!</v>
      </c>
      <c r="G372" s="1069" t="e">
        <f t="shared" si="156"/>
        <v>#REF!</v>
      </c>
      <c r="H372" s="1070" t="e">
        <f ca="1">MINIFS(#REF!,#REF!,"&lt;&gt;0",#REF!,"&gt;="&amp;B350,#REF!,"&lt;="&amp;EOMONTH(B350,0))</f>
        <v>#NAME?</v>
      </c>
      <c r="I372" s="1078" t="e">
        <f ca="1">MAXIFS(#REF!,#REF!,"&lt;&gt;0",#REF!,"&gt;="&amp;B350,#REF!,"&lt;="&amp;EOMONTH(B350,0))</f>
        <v>#NAME?</v>
      </c>
      <c r="J372" s="1114" t="e">
        <f>COUNTIFS(#REF!,"&gt;="&amp;D372,#REF!,"&gt;="&amp;B350,#REF!,"&lt;="&amp;EOMONTH(B350,0))</f>
        <v>#REF!</v>
      </c>
      <c r="K372" s="1341" t="e">
        <f t="shared" si="163"/>
        <v>#REF!</v>
      </c>
      <c r="L372" s="1115"/>
      <c r="M372" s="1082"/>
      <c r="N372" s="1171"/>
      <c r="O372" s="1171"/>
      <c r="P372" s="1173"/>
      <c r="Q372" s="1173"/>
      <c r="R372" s="1173"/>
      <c r="S372" s="1173"/>
      <c r="T372" s="1175"/>
      <c r="U372" s="1175"/>
      <c r="V372" s="1177"/>
      <c r="W372" s="1106"/>
      <c r="X372" s="1106"/>
      <c r="Y372" s="1069"/>
      <c r="Z372" s="1069"/>
      <c r="AA372" s="1069"/>
      <c r="AB372" s="1069"/>
      <c r="AC372" s="1248"/>
      <c r="AD372" s="1249"/>
      <c r="AE372" s="1082"/>
      <c r="AF372" s="1106"/>
      <c r="AG372" s="1106"/>
      <c r="AH372" s="1106"/>
      <c r="AI372" s="1106"/>
      <c r="AJ372" s="1106"/>
      <c r="AK372" s="1082"/>
      <c r="AL372" s="1205" t="e">
        <f>COUNTIFS(#REF!,"&gt;0",#REF!,"&gt;="&amp;B350,#REF!,"&lt;="&amp;EOMONTH(B350,0))</f>
        <v>#REF!</v>
      </c>
      <c r="AM372" s="1208" t="e">
        <f>SUMIFS(#REF!,#REF!,"&lt;&gt;0",#REF!,"&gt;="&amp;B350,#REF!,"&lt;="&amp;EOMONTH(B350,0))</f>
        <v>#REF!</v>
      </c>
      <c r="AN372" s="1208" t="e">
        <f>IF(AL372=0,0,AM372/AL372)</f>
        <v>#REF!</v>
      </c>
      <c r="AO372" s="1269" t="e">
        <f ca="1">MINIFS(#REF!,#REF!,"&lt;&gt;0",#REF!,"&gt;="&amp;B350,#REF!,"&lt;="&amp;EOMONTH(B350,0))</f>
        <v>#NAME?</v>
      </c>
      <c r="AP372" s="1269" t="e">
        <f ca="1">MAXIFS(#REF!,#REF!,"&lt;&gt;0",#REF!,"&gt;="&amp;B350,#REF!,"&lt;="&amp;EOMONTH(B350,0))</f>
        <v>#NAME?</v>
      </c>
      <c r="AQ372" s="1082"/>
      <c r="AR372" s="1220">
        <f>Parametres!$AM$28</f>
        <v>500</v>
      </c>
      <c r="AS372" s="1205" t="e">
        <f>COUNTIFS(#REF!,"&gt;0",#REF!,"&gt;="&amp;B350,#REF!,"&lt;="&amp;EOMONTH(B350,0))</f>
        <v>#REF!</v>
      </c>
      <c r="AT372" s="1208" t="e">
        <f>SUMIFS(#REF!,#REF!,"&lt;&gt;0",#REF!,"&gt;="&amp;B350,#REF!,"&lt;="&amp;EOMONTH(B350,0))</f>
        <v>#REF!</v>
      </c>
      <c r="AU372" s="1208" t="e">
        <f>IF(AS372=0,0,AT372/AS372)</f>
        <v>#REF!</v>
      </c>
      <c r="AV372" s="1208" t="e">
        <f ca="1">MINIFS(#REF!,#REF!,"&lt;&gt;0",#REF!,"&gt;="&amp;B350,#REF!,"&lt;="&amp;EOMONTH(B350,0))</f>
        <v>#NAME?</v>
      </c>
      <c r="AW372" s="1222" t="e">
        <f ca="1">MAXIFS(#REF!,#REF!,"&lt;&gt;0",#REF!,"&gt;="&amp;B350,#REF!,"&lt;="&amp;EOMONTH(B350,0))</f>
        <v>#NAME?</v>
      </c>
      <c r="AX372" s="1223" t="e">
        <f>COUNTIFS(#REF!,"&gt;="&amp;AR372,#REF!,"&gt;="&amp;B350,#REF!,"&lt;="&amp;EOMONTH(B350,0))</f>
        <v>#REF!</v>
      </c>
      <c r="AY372" s="1224" t="e">
        <f>AX372/AS372</f>
        <v>#REF!</v>
      </c>
      <c r="AZ372" s="1095" t="e">
        <f t="shared" si="158"/>
        <v>#REF!</v>
      </c>
      <c r="BA372" s="2"/>
    </row>
    <row r="373" spans="1:53" ht="15.75" hidden="1" customHeight="1" outlineLevel="1">
      <c r="A373" s="1027"/>
      <c r="B373" s="1096"/>
      <c r="C373" s="1121" t="s">
        <v>333</v>
      </c>
      <c r="D373" s="1122">
        <f>Parametres!$D$29</f>
        <v>0.3</v>
      </c>
      <c r="E373" s="1068" t="e">
        <f>COUNTIFS(#REF!,"&gt;0",#REF!,"&gt;="&amp;B350,#REF!,"&lt;="&amp;EOMONTH(B350,0))</f>
        <v>#REF!</v>
      </c>
      <c r="F373" s="1069" t="e">
        <f>SUMIFS(#REF!,#REF!,"&lt;&gt;0",#REF!,"&gt;="&amp;B350,#REF!,"&lt;="&amp;EOMONTH(B350,0))</f>
        <v>#REF!</v>
      </c>
      <c r="G373" s="1069" t="e">
        <f t="shared" si="156"/>
        <v>#REF!</v>
      </c>
      <c r="H373" s="1070" t="e">
        <f ca="1">MINIFS(#REF!,#REF!,"&lt;&gt;0",#REF!,"&gt;="&amp;B350,#REF!,"&lt;="&amp;EOMONTH(B350,0))</f>
        <v>#NAME?</v>
      </c>
      <c r="I373" s="1069" t="e">
        <f ca="1">MAXIFS(#REF!,#REF!,"&lt;&gt;0",#REF!,"&gt;="&amp;B350,#REF!,"&lt;="&amp;EOMONTH(B350,0))</f>
        <v>#NAME?</v>
      </c>
      <c r="J373" s="1072" t="e">
        <f>COUNTIFS(#REF!,"&gt;="&amp;D373,#REF!,"&gt;="&amp;B350,#REF!,"&lt;="&amp;EOMONTH(B350,0))</f>
        <v>#REF!</v>
      </c>
      <c r="K373" s="1341" t="e">
        <f t="shared" si="163"/>
        <v>#REF!</v>
      </c>
      <c r="L373" s="1099"/>
      <c r="M373" s="1132"/>
      <c r="N373" s="1102"/>
      <c r="O373" s="1102"/>
      <c r="P373" s="1069"/>
      <c r="Q373" s="1069"/>
      <c r="R373" s="1069"/>
      <c r="S373" s="1069"/>
      <c r="T373" s="1270"/>
      <c r="U373" s="1270"/>
      <c r="V373" s="1132"/>
      <c r="W373" s="1106"/>
      <c r="X373" s="1106"/>
      <c r="Y373" s="1069"/>
      <c r="Z373" s="1069"/>
      <c r="AA373" s="1069"/>
      <c r="AB373" s="1069"/>
      <c r="AC373" s="1248"/>
      <c r="AD373" s="1249"/>
      <c r="AE373" s="1132"/>
      <c r="AF373" s="1106"/>
      <c r="AG373" s="1106"/>
      <c r="AH373" s="1106"/>
      <c r="AI373" s="1106"/>
      <c r="AJ373" s="1106"/>
      <c r="AK373" s="1082"/>
      <c r="AL373" s="1117"/>
      <c r="AM373" s="1117"/>
      <c r="AN373" s="1117"/>
      <c r="AO373" s="1117"/>
      <c r="AP373" s="1117"/>
      <c r="AQ373" s="1082"/>
      <c r="AR373" s="1106"/>
      <c r="AS373" s="1106"/>
      <c r="AT373" s="1106"/>
      <c r="AU373" s="1106"/>
      <c r="AV373" s="1106"/>
      <c r="AW373" s="1119"/>
      <c r="AX373" s="1120"/>
      <c r="AY373" s="1094"/>
      <c r="AZ373" s="1095" t="e">
        <f t="shared" si="158"/>
        <v>#REF!</v>
      </c>
      <c r="BA373" s="2"/>
    </row>
    <row r="374" spans="1:53" ht="15.75" hidden="1" customHeight="1" outlineLevel="1">
      <c r="A374" s="1027"/>
      <c r="B374" s="1096"/>
      <c r="C374" s="1139" t="s">
        <v>46</v>
      </c>
      <c r="D374" s="1122">
        <f>Parametres!$D$30</f>
        <v>1</v>
      </c>
      <c r="E374" s="1068" t="e">
        <f>COUNTIFS(#REF!,"&gt;0",#REF!,"&gt;="&amp;B350,#REF!,"&lt;="&amp;EOMONTH(B350,0))</f>
        <v>#REF!</v>
      </c>
      <c r="F374" s="1069" t="e">
        <f>SUMIFS(#REF!,#REF!,"&lt;&gt;0",#REF!,"&gt;="&amp;B350,#REF!,"&lt;="&amp;EOMONTH(B350,0))</f>
        <v>#REF!</v>
      </c>
      <c r="G374" s="1069" t="e">
        <f t="shared" si="156"/>
        <v>#REF!</v>
      </c>
      <c r="H374" s="1070" t="e">
        <f ca="1">MINIFS(#REF!,#REF!,"&lt;&gt;0",#REF!,"&gt;="&amp;B350,#REF!,"&lt;="&amp;EOMONTH(B350,0))</f>
        <v>#NAME?</v>
      </c>
      <c r="I374" s="1266" t="e">
        <f ca="1">MAXIFS(#REF!,#REF!,"&lt;&gt;0",#REF!,"&gt;="&amp;B350,#REF!,"&lt;="&amp;EOMONTH(B350,0))</f>
        <v>#NAME?</v>
      </c>
      <c r="J374" s="1072" t="e">
        <f>COUNTIFS(#REF!,"&gt;="&amp;D374,#REF!,"&gt;="&amp;B350,#REF!,"&lt;="&amp;EOMONTH(B350,0))</f>
        <v>#REF!</v>
      </c>
      <c r="K374" s="1341" t="e">
        <f t="shared" si="163"/>
        <v>#REF!</v>
      </c>
      <c r="L374" s="1273"/>
      <c r="M374" s="1274"/>
      <c r="N374" s="1144">
        <f>Parametres!$L$30</f>
        <v>40</v>
      </c>
      <c r="O374" s="1077">
        <f>COUNTIFS('Degrémont Entrée'!$AV$14:$AV$379,"&gt;0",'Degrémont Entrée'!$A$14:$A$379,"&gt;="&amp;B350,'Degrémont Entrée'!$A$14:$A$379,"&lt;="&amp;EOMONTH(B350,0))</f>
        <v>4</v>
      </c>
      <c r="P374" s="1078">
        <f>SUMIFS('Degrémont Entrée'!$AV$14:$AV$379,'Degrémont Entrée'!$AV$14:$AV$379,"&lt;&gt;0",'Degrémont Entrée'!$A$14:$A$379,"&gt;="&amp;B350,'Degrémont Entrée'!$A$14:$A$379,"&lt;="&amp;EOMONTH(B350,0))</f>
        <v>51.88</v>
      </c>
      <c r="Q374" s="1266">
        <f t="shared" ref="Q374:Q375" si="164">IF(O374=0,0,P374/O374)</f>
        <v>12.97</v>
      </c>
      <c r="R374" s="1266" t="e">
        <f ca="1">MINIFS('Degrémont Entrée'!$AV$14:$AV$379,'Degrémont Entrée'!$AV$14:$AV$379,"&lt;&gt;0",'Degrémont Entrée'!$A$14:$A$379,"&gt;="&amp;B350,'Degrémont Entrée'!$A$14:$A$379,"&lt;="&amp;EOMONTH(B350,0))</f>
        <v>#NAME?</v>
      </c>
      <c r="S374" s="1266" t="e">
        <f ca="1">MAXIFS('Degrémont Entrée'!$AV$14:$AV$379,'Degrémont Entrée'!$AV$14:$AV$379,"&lt;&gt;0",'Degrémont Entrée'!$A$14:$A$379,"&gt;="&amp;B350,'Degrémont Entrée'!$A$14:$A$379,"&lt;="&amp;EOMONTH(B350,0))</f>
        <v>#NAME?</v>
      </c>
      <c r="T374" s="1276">
        <f>COUNTIFS('Degrémont Entrée'!$AV$14:$AV$379,"&gt;="&amp;N374,'Degrémont Entrée'!$A$14:$A$379,"&gt;="&amp;B350,'Degrémont Entrée'!$A$14:$A$379,"&lt;="&amp;EOMONTH(B350,0))</f>
        <v>0</v>
      </c>
      <c r="U374" s="1081">
        <f t="shared" ref="U374:U375" si="165">T374/O374</f>
        <v>0</v>
      </c>
      <c r="V374" s="1075"/>
      <c r="W374" s="1083">
        <f>Parametres!$T$30</f>
        <v>0.8</v>
      </c>
      <c r="X374" s="1142">
        <f>COUNTIFS('Degrémont sortie'!$AP$14:$AP$379,"&gt;0",'Degrémont sortie'!$A$14:$A$379,"&gt;="&amp;B350,'Degrémont sortie'!$A$14:$A$379,"&lt;="&amp;EOMONTH(B350,0))</f>
        <v>4</v>
      </c>
      <c r="Y374" s="1085">
        <f>SUMIFS('Degrémont sortie'!$AP$14:$AP$379,'Degrémont sortie'!$AP$14:$AP$379,"&lt;&gt;0",'Degrémont sortie'!$A$14:$A$379,"&gt;="&amp;B350,'Degrémont sortie'!$A$14:$A$379,"&lt;="&amp;EOMONTH(B350,0))</f>
        <v>0.7</v>
      </c>
      <c r="Z374" s="1069">
        <f t="shared" ref="Z374:Z376" si="166">IF(X374=0,0,Y374/X374)</f>
        <v>0.17499999999999999</v>
      </c>
      <c r="AA374" s="1277" t="e">
        <f ca="1">MINIFS('Degrémont sortie'!$AP$14:$AP$379,'Degrémont sortie'!$AP$14:$AP$379,"&lt;&gt;0",'Degrémont sortie'!$A$14:$A$379,"&gt;="&amp;B350,'Degrémont sortie'!$A$14:$A$379,"&lt;="&amp;EOMONTH(B350,0))</f>
        <v>#NAME?</v>
      </c>
      <c r="AB374" s="1069" t="e">
        <f ca="1">MAXIFS('Degrémont sortie'!$AP$14:$AP$379,'Degrémont sortie'!$AP$14:$AP$379,"&lt;&gt;0",'Degrémont sortie'!$A$14:$A$379,"&gt;="&amp;B350,'Degrémont sortie'!$A$14:$A$379,"&lt;="&amp;EOMONTH(B350,0))</f>
        <v>#NAME?</v>
      </c>
      <c r="AC374" s="1142">
        <f>COUNTIFS('Degrémont sortie'!$AP$14:$AP$379,"&gt;="&amp;W374,'Degrémont sortie'!$A$14:$A$379,"&gt;="&amp;B350,'Degrémont sortie'!$A$14:$A$379,"&lt;="&amp;EOMONTH(B350,0))</f>
        <v>0</v>
      </c>
      <c r="AD374" s="1087">
        <f t="shared" ref="AD374:AD375" si="167">AC374/X374</f>
        <v>0</v>
      </c>
      <c r="AE374" s="1075"/>
      <c r="AF374" s="1278"/>
      <c r="AG374" s="1278"/>
      <c r="AH374" s="1278"/>
      <c r="AI374" s="1278"/>
      <c r="AJ374" s="1278"/>
      <c r="AK374" s="1279"/>
      <c r="AL374" s="1278"/>
      <c r="AM374" s="1278"/>
      <c r="AN374" s="1278"/>
      <c r="AO374" s="1278"/>
      <c r="AP374" s="1278"/>
      <c r="AQ374" s="1279"/>
      <c r="AR374" s="1278"/>
      <c r="AS374" s="1278"/>
      <c r="AT374" s="1278"/>
      <c r="AU374" s="1278"/>
      <c r="AV374" s="1278"/>
      <c r="AW374" s="1278"/>
      <c r="AX374" s="1280"/>
      <c r="AY374" s="1094"/>
      <c r="AZ374" s="1095" t="e">
        <f t="shared" si="158"/>
        <v>#REF!</v>
      </c>
      <c r="BA374" s="2"/>
    </row>
    <row r="375" spans="1:53" ht="15.75" hidden="1" customHeight="1" outlineLevel="1">
      <c r="A375" s="1027"/>
      <c r="B375" s="1096"/>
      <c r="C375" s="1139" t="s">
        <v>34</v>
      </c>
      <c r="D375" s="1122">
        <f>Parametres!$D$32</f>
        <v>400</v>
      </c>
      <c r="E375" s="1068" t="e">
        <f>COUNTIFS(#REF!,"&gt;0",#REF!,"&gt;="&amp;B350,#REF!,"&lt;="&amp;EOMONTH(B350,0))</f>
        <v>#REF!</v>
      </c>
      <c r="F375" s="1069" t="e">
        <f>SUMIFS(#REF!,#REF!,"&lt;&gt;0",#REF!,"&gt;="&amp;B350,#REF!,"&lt;="&amp;EOMONTH(B350,0))</f>
        <v>#REF!</v>
      </c>
      <c r="G375" s="1069" t="e">
        <f t="shared" si="156"/>
        <v>#REF!</v>
      </c>
      <c r="H375" s="1070" t="e">
        <f ca="1">MINIFS(#REF!,#REF!,"&lt;&gt;0",#REF!,"&gt;="&amp;B350,#REF!,"&lt;="&amp;EOMONTH(B350,0))</f>
        <v>#NAME?</v>
      </c>
      <c r="I375" s="1069" t="e">
        <f ca="1">MAXIFS(#REF!,#REF!,"&lt;&gt;0",#REF!,"&gt;="&amp;B350,#REF!,"&lt;="&amp;EOMONTH(B350,0))</f>
        <v>#NAME?</v>
      </c>
      <c r="J375" s="1114" t="e">
        <f>COUNTIFS(#REF!,"&gt;="&amp;D375,#REF!,"&gt;="&amp;B350,#REF!,"&lt;="&amp;EOMONTH(B350,0))</f>
        <v>#REF!</v>
      </c>
      <c r="K375" s="1341" t="e">
        <f t="shared" si="163"/>
        <v>#REF!</v>
      </c>
      <c r="L375" s="1281"/>
      <c r="M375" s="1282"/>
      <c r="N375" s="1144">
        <f>Parametres!$L$32</f>
        <v>4000</v>
      </c>
      <c r="O375" s="1077">
        <f>COUNTIFS('Degrémont Entrée'!$G$14:$G$379,"&gt;0",'Degrémont Entrée'!$A$14:$A$379,"&gt;="&amp;B350,'Degrémont Entrée'!$A$14:$A$379,"&lt;="&amp;EOMONTH(B350,0))</f>
        <v>20</v>
      </c>
      <c r="P375" s="1078">
        <f>SUMIFS('Degrémont Entrée'!$G$14:$G$379,'Degrémont Entrée'!$G$14:$G$379,"&lt;&gt;0",'Degrémont Entrée'!$A$14:$A$379,"&gt;="&amp;B350,'Degrémont Entrée'!$A$14:$A$379,"&lt;="&amp;EOMONTH(B350,0))</f>
        <v>305869.79930595722</v>
      </c>
      <c r="Q375" s="1283">
        <f t="shared" si="164"/>
        <v>15293.48996529786</v>
      </c>
      <c r="R375" s="1069" t="e">
        <f ca="1">MINIFS('Degrémont Entrée'!$G$14:$G$379,'Degrémont Entrée'!$G$14:$G$379,"&lt;&gt;0",'Degrémont Entrée'!$A$14:$A$379,"&gt;="&amp;B350,'Degrémont Entrée'!$A$14:$A$379,"&lt;="&amp;EOMONTH(B350,0))</f>
        <v>#NAME?</v>
      </c>
      <c r="S375" s="1284" t="e">
        <f ca="1">MAXIFS('Degrémont Entrée'!$G$14:$G$379,'Degrémont Entrée'!$G$14:$G$379,"&lt;&gt;0",'Degrémont Entrée'!$A$14:$A$379,"&gt;="&amp;B350,'Degrémont Entrée'!$A$14:$A$379,"&lt;="&amp;EOMONTH(B350,0))</f>
        <v>#NAME?</v>
      </c>
      <c r="T375" s="1141">
        <f>COUNTIFS('Degrémont Entrée'!$G$14:$G$379,"&gt;="&amp;N375,'Degrémont Entrée'!$A$14:$A$379,"&gt;="&amp;B350,'Degrémont Entrée'!$A$14:$A$379,"&lt;="&amp;EOMONTH(B350,0))</f>
        <v>20</v>
      </c>
      <c r="U375" s="1081">
        <f t="shared" si="165"/>
        <v>1</v>
      </c>
      <c r="V375" s="1285"/>
      <c r="W375" s="1083">
        <f>Parametres!$T$32</f>
        <v>55</v>
      </c>
      <c r="X375" s="1142">
        <f>COUNTIFS('Degrémont sortie'!$G$14:$G$379,"&gt;0",'Degrémont sortie'!$A$14:$A$379,"&gt;="&amp;B350,'Degrémont sortie'!$A$14:$A$379,"&lt;="&amp;EOMONTH(B350,0))</f>
        <v>21</v>
      </c>
      <c r="Y375" s="1085">
        <f>SUMIFS('Degrémont sortie'!$G$14:$G$379,'Degrémont sortie'!$G$14:$G$379,"&lt;&gt;0",'Degrémont sortie'!$A$14:$A$379,"&gt;="&amp;B350,'Degrémont sortie'!$A$14:$A$379,"&lt;="&amp;EOMONTH(B350,0))</f>
        <v>1426.913807379221</v>
      </c>
      <c r="Z375" s="1069">
        <f t="shared" si="166"/>
        <v>67.948276541867671</v>
      </c>
      <c r="AA375" s="1286" t="e">
        <f ca="1">MINIFS('Degrémont sortie'!$G$14:$G$379,'Degrémont sortie'!$G$14:G$379,"&lt;&gt;0",'Degrémont sortie'!$A$14:$A$379,"&gt;="&amp;B350,'Degrémont sortie'!$A$14:$A$379,"&lt;="&amp;EOMONTH(B350,0))</f>
        <v>#NAME?</v>
      </c>
      <c r="AB375" s="1286" t="e">
        <f ca="1">MAXIFS('Degrémont sortie'!$G$14:$G$379,'Degrémont sortie'!$G$14:$G$379,"&lt;&gt;0",'Degrémont sortie'!$A$14:$A$379,"&gt;="&amp;B350,'Degrémont sortie'!$A$14:$A$379,"&lt;="&amp;EOMONTH(B350,0))</f>
        <v>#NAME?</v>
      </c>
      <c r="AC375" s="1141">
        <f>COUNTIFS('Degrémont sortie'!$G$14:$G$379,"&gt;="&amp;W375,'Degrémont sortie'!$A$14:$A$379,"&gt;="&amp;B350,'Degrémont sortie'!$A$14:$A$379,"&lt;="&amp;EOMONTH(B350,0))</f>
        <v>6</v>
      </c>
      <c r="AD375" s="1087">
        <f t="shared" si="167"/>
        <v>0.2857142857142857</v>
      </c>
      <c r="AE375" s="1285"/>
      <c r="AF375" s="1205" t="e">
        <f>COUNTIFS(#REF!,"&gt;0",#REF!,"&gt;="&amp;B350,#REF!,"&lt;="&amp;EOMONTH(B350,0))</f>
        <v>#REF!</v>
      </c>
      <c r="AG375" s="1208" t="e">
        <f>SUMIFS(#REF!,#REF!,"&lt;&gt;0",#REF!,"&gt;="&amp;B350,#REF!,"&lt;="&amp;EOMONTH(B350,0))</f>
        <v>#REF!</v>
      </c>
      <c r="AH375" s="1208" t="e">
        <f>IF(AF375=0,0,AG375/AF375)</f>
        <v>#REF!</v>
      </c>
      <c r="AI375" s="1208" t="e">
        <f ca="1">MINIFS(#REF!,#REF!,"&lt;&gt;0",#REF!,"&gt;="&amp;B350,#REF!,"&lt;="&amp;EOMONTH(B350,0))</f>
        <v>#NAME?</v>
      </c>
      <c r="AJ375" s="1208" t="e">
        <f ca="1">MAXIFS(#REF!,#REF!,"&lt;&gt;0",#REF!,"&gt;="&amp;B350,#REF!,"&lt;="&amp;EOMONTH(B350,0))</f>
        <v>#NAME?</v>
      </c>
      <c r="AK375" s="1285"/>
      <c r="AL375" s="1205" t="e">
        <f>COUNTIFS(#REF!,"&gt;0",#REF!,"&gt;="&amp;B350,#REF!,"&lt;="&amp;EOMONTH(B350,0))</f>
        <v>#REF!</v>
      </c>
      <c r="AM375" s="1208" t="e">
        <f>SUMIFS(#REF!,#REF!,"&lt;&gt;0",#REF!,"&gt;="&amp;B350,#REF!,"&lt;="&amp;EOMONTH(B350,0))</f>
        <v>#REF!</v>
      </c>
      <c r="AN375" s="1208" t="e">
        <f>IF(AL375=0,0,AM375/AL375)</f>
        <v>#REF!</v>
      </c>
      <c r="AO375" s="1141" t="e">
        <f ca="1">MINIFS(#REF!,#REF!,"&lt;&gt;0",#REF!,"&gt;="&amp;B350,#REF!,"&lt;="&amp;EOMONTH(B350,0))</f>
        <v>#NAME?</v>
      </c>
      <c r="AP375" s="1141" t="e">
        <f ca="1">MAXIFS(#REF!,#REF!,"&lt;&gt;0",#REF!,"&gt;="&amp;B350,#REF!,"&lt;="&amp;EOMONTH(B350,0))</f>
        <v>#NAME?</v>
      </c>
      <c r="AQ375" s="1285"/>
      <c r="AR375" s="1220">
        <f>Parametres!$AM$32</f>
        <v>2600</v>
      </c>
      <c r="AS375" s="1205" t="e">
        <f>COUNTIFS(#REF!,"&gt;0",#REF!,"&gt;="&amp;B350,#REF!,"&lt;="&amp;EOMONTH(B350,0))</f>
        <v>#REF!</v>
      </c>
      <c r="AT375" s="1208" t="e">
        <f>SUMIFS(#REF!,#REF!,"&lt;&gt;0",#REF!,"&gt;="&amp;B350,#REF!,"&lt;="&amp;EOMONTH(B350,0))</f>
        <v>#REF!</v>
      </c>
      <c r="AU375" s="1208" t="e">
        <f>IF(AS375=0,0,AT375/AS375)</f>
        <v>#REF!</v>
      </c>
      <c r="AV375" s="1287" t="e">
        <f ca="1">MINIFS(#REF!,#REF!,"&lt;&gt;0",#REF!,"&gt;="&amp;B350,#REF!,"&lt;="&amp;EOMONTH(B350,0))</f>
        <v>#NAME?</v>
      </c>
      <c r="AW375" s="1141" t="e">
        <f ca="1">MAXIFS(#REF!,#REF!,"&lt;&gt;0",#REF!,"&gt;="&amp;B350,#REF!,"&lt;="&amp;EOMONTH(B350,0))</f>
        <v>#NAME?</v>
      </c>
      <c r="AX375" s="1288" t="e">
        <f>COUNTIFS(#REF!,"&gt;="&amp;AR375,#REF!,"&gt;="&amp;B350,#REF!,"&lt;="&amp;EOMONTH(B350,0))</f>
        <v>#REF!</v>
      </c>
      <c r="AY375" s="1224" t="e">
        <f>AX375/AS375</f>
        <v>#REF!</v>
      </c>
      <c r="AZ375" s="1095" t="e">
        <f t="shared" si="158"/>
        <v>#REF!</v>
      </c>
      <c r="BA375" s="2"/>
    </row>
    <row r="376" spans="1:53" ht="15.75" hidden="1" customHeight="1" outlineLevel="1">
      <c r="A376" s="1027"/>
      <c r="B376" s="1096"/>
      <c r="C376" s="1139" t="s">
        <v>118</v>
      </c>
      <c r="D376" s="1122">
        <f>Parametres!$D$33</f>
        <v>75</v>
      </c>
      <c r="E376" s="1068" t="e">
        <f>COUNTIFS(#REF!,"&gt;0",#REF!,"&gt;="&amp;B350,#REF!,"&lt;="&amp;EOMONTH(B350,0))</f>
        <v>#REF!</v>
      </c>
      <c r="F376" s="1069" t="e">
        <f>SUMIFS(#REF!,#REF!,"&lt;&gt;0",#REF!,"&gt;="&amp;B350,#REF!,"&lt;="&amp;EOMONTH(B350,0))</f>
        <v>#REF!</v>
      </c>
      <c r="G376" s="1069" t="e">
        <f t="shared" si="156"/>
        <v>#REF!</v>
      </c>
      <c r="H376" s="1070" t="e">
        <f ca="1">MINIFS(#REF!,#REF!,"&lt;&gt;0",#REF!,"&gt;="&amp;B350,#REF!,"&lt;="&amp;EOMONTH(B350,0))</f>
        <v>#NAME?</v>
      </c>
      <c r="I376" s="1069" t="e">
        <f ca="1">MAXIFS(#REF!,#REF!,"&lt;&gt;0",#REF!,"&gt;="&amp;B350,#REF!,"&lt;="&amp;EOMONTH(B350,0))</f>
        <v>#NAME?</v>
      </c>
      <c r="J376" s="1114" t="e">
        <f>COUNTIFS(#REF!,"&gt;="&amp;D376,#REF!,"&gt;="&amp;B350,#REF!,"&lt;="&amp;EOMONTH(B350,0))</f>
        <v>#REF!</v>
      </c>
      <c r="K376" s="1341" t="e">
        <f t="shared" si="163"/>
        <v>#REF!</v>
      </c>
      <c r="L376" s="1281"/>
      <c r="M376" s="1289"/>
      <c r="N376" s="1290"/>
      <c r="O376" s="1290"/>
      <c r="P376" s="1286"/>
      <c r="Q376" s="1283"/>
      <c r="R376" s="1286"/>
      <c r="S376" s="1286"/>
      <c r="T376" s="1290"/>
      <c r="U376" s="1290"/>
      <c r="V376" s="1285"/>
      <c r="W376" s="1083">
        <f>Parametres!$T$33</f>
        <v>150</v>
      </c>
      <c r="X376" s="1142">
        <f>COUNTIFS('Degrémont sortie'!$X$14:$X$379,"&gt;0",'Degrémont sortie'!$A$14:$A$379,"&gt;="&amp;B350,'Degrémont sortie'!$A$14:$A$379,"&lt;="&amp;EOMONTH(B350,0))</f>
        <v>4</v>
      </c>
      <c r="Y376" s="1085">
        <f>SUMIFS('Degrémont sortie'!$X$14:$X$379,'Degrémont sortie'!$X$14:$X$379,"&lt;&gt;0",'Degrémont sortie'!$A$14:$A$379,"&gt;="&amp;B350,'Degrémont sortie'!$A$14:$A$379,"&lt;="&amp;EOMONTH(B350,0))</f>
        <v>552</v>
      </c>
      <c r="Z376" s="1069">
        <f t="shared" si="166"/>
        <v>138</v>
      </c>
      <c r="AA376" s="1286" t="e">
        <f ca="1">MINIFS('Degrémont sortie'!$X$14:$X$379,'Degrémont sortie'!$X$14:$X$379,"&lt;&gt;0",'Degrémont sortie'!$A$14:$A$379,"&gt;="&amp;B350,'Degrémont sortie'!$A$14:$A$379,"&lt;="&amp;EOMONTH(B350,0))</f>
        <v>#NAME?</v>
      </c>
      <c r="AB376" s="1286" t="e">
        <f ca="1">MAXIFS('Degrémont sortie'!$X$14:$X$379,'Degrémont sortie'!$X$14:$X$379,"&lt;&gt;0",'Degrémont sortie'!$A$14:$A$379,"&gt;="&amp;B350,'Degrémont sortie'!$A$14:$A$379,"&lt;="&amp;EOMONTH(B350,0))</f>
        <v>#NAME?</v>
      </c>
      <c r="AC376" s="1291" t="s">
        <v>153</v>
      </c>
      <c r="AD376" s="1292" t="s">
        <v>153</v>
      </c>
      <c r="AE376" s="1285"/>
      <c r="AF376" s="1293"/>
      <c r="AG376" s="1293"/>
      <c r="AH376" s="1293"/>
      <c r="AI376" s="1293"/>
      <c r="AJ376" s="1293"/>
      <c r="AK376" s="1285"/>
      <c r="AL376" s="1293"/>
      <c r="AM376" s="1293"/>
      <c r="AN376" s="1293"/>
      <c r="AO376" s="1293"/>
      <c r="AP376" s="1293"/>
      <c r="AQ376" s="1285"/>
      <c r="AR376" s="1293"/>
      <c r="AS376" s="1293"/>
      <c r="AT376" s="1293"/>
      <c r="AU376" s="1293"/>
      <c r="AV376" s="1293"/>
      <c r="AW376" s="1293"/>
      <c r="AX376" s="1294"/>
      <c r="AY376" s="1295"/>
      <c r="AZ376" s="1095" t="e">
        <f t="shared" si="158"/>
        <v>#REF!</v>
      </c>
      <c r="BA376" s="2"/>
    </row>
    <row r="377" spans="1:53" ht="15.75" hidden="1" customHeight="1" outlineLevel="1">
      <c r="A377" s="1027"/>
      <c r="B377" s="1096"/>
      <c r="C377" s="1139" t="s">
        <v>285</v>
      </c>
      <c r="D377" s="1122">
        <f>Parametres!$D$34</f>
        <v>10000000</v>
      </c>
      <c r="E377" s="1068" t="e">
        <f>COUNTIFS(#REF!,"&gt;0",#REF!,"&gt;="&amp;B350,#REF!,"&lt;="&amp;EOMONTH(B350,0))</f>
        <v>#REF!</v>
      </c>
      <c r="F377" s="1069" t="e">
        <f>SUMIFS(#REF!,#REF!,"&lt;&gt;0",#REF!,"&gt;="&amp;B350,#REF!,"&lt;="&amp;EOMONTH(B350,0))</f>
        <v>#REF!</v>
      </c>
      <c r="G377" s="1069" t="e">
        <f t="shared" si="156"/>
        <v>#REF!</v>
      </c>
      <c r="H377" s="1070" t="e">
        <f ca="1">MINIFS(#REF!,#REF!,"&lt;&gt;0",#REF!,"&gt;="&amp;B350,#REF!,"&lt;="&amp;EOMONTH(B350,0))</f>
        <v>#NAME?</v>
      </c>
      <c r="I377" s="1069" t="e">
        <f ca="1">MAXIFS(#REF!,#REF!,"&lt;&gt;0",#REF!,"&gt;="&amp;B350,#REF!,"&lt;="&amp;EOMONTH(B350,0))</f>
        <v>#NAME?</v>
      </c>
      <c r="J377" s="1072" t="s">
        <v>153</v>
      </c>
      <c r="K377" s="1072" t="s">
        <v>153</v>
      </c>
      <c r="L377" s="1281"/>
      <c r="M377" s="1289"/>
      <c r="N377" s="1290"/>
      <c r="O377" s="1290"/>
      <c r="P377" s="1286"/>
      <c r="Q377" s="1283"/>
      <c r="R377" s="1286"/>
      <c r="S377" s="1286"/>
      <c r="T377" s="1290"/>
      <c r="U377" s="1290"/>
      <c r="V377" s="1285"/>
      <c r="W377" s="1293"/>
      <c r="X377" s="1293"/>
      <c r="Y377" s="1286"/>
      <c r="Z377" s="1286"/>
      <c r="AA377" s="1286"/>
      <c r="AB377" s="1286"/>
      <c r="AC377" s="1293"/>
      <c r="AD377" s="1249"/>
      <c r="AE377" s="1285"/>
      <c r="AF377" s="1293"/>
      <c r="AG377" s="1293"/>
      <c r="AH377" s="1293"/>
      <c r="AI377" s="1293"/>
      <c r="AJ377" s="1293"/>
      <c r="AK377" s="1285"/>
      <c r="AL377" s="1293"/>
      <c r="AM377" s="1293"/>
      <c r="AN377" s="1293"/>
      <c r="AO377" s="1293"/>
      <c r="AP377" s="1293"/>
      <c r="AQ377" s="1285"/>
      <c r="AR377" s="1293"/>
      <c r="AS377" s="1293"/>
      <c r="AT377" s="1293"/>
      <c r="AU377" s="1293"/>
      <c r="AV377" s="1293"/>
      <c r="AW377" s="1293"/>
      <c r="AX377" s="1294"/>
      <c r="AY377" s="1295"/>
      <c r="AZ377" s="1095" t="e">
        <f t="shared" si="158"/>
        <v>#REF!</v>
      </c>
      <c r="BA377" s="2"/>
    </row>
    <row r="378" spans="1:53" ht="15.75" hidden="1" customHeight="1" outlineLevel="1">
      <c r="A378" s="1027"/>
      <c r="B378" s="1096"/>
      <c r="C378" s="1139" t="s">
        <v>48</v>
      </c>
      <c r="D378" s="1122">
        <f>Parametres!$D$35</f>
        <v>0.5</v>
      </c>
      <c r="E378" s="1068" t="e">
        <f>COUNTIFS(#REF!,"&gt;0",#REF!,"&gt;="&amp;B350,#REF!,"&lt;="&amp;EOMONTH(B350,0))</f>
        <v>#REF!</v>
      </c>
      <c r="F378" s="1069" t="e">
        <f>SUMIFS(#REF!,#REF!,"&lt;&gt;0",#REF!,"&gt;="&amp;B350,#REF!,"&lt;="&amp;EOMONTH(B350,0))</f>
        <v>#REF!</v>
      </c>
      <c r="G378" s="1069" t="e">
        <f t="shared" si="156"/>
        <v>#REF!</v>
      </c>
      <c r="H378" s="1070" t="e">
        <f ca="1">MINIFS(#REF!,#REF!,"&lt;&gt;0",#REF!,"&gt;="&amp;B350,#REF!,"&lt;="&amp;EOMONTH(B350,0))</f>
        <v>#NAME?</v>
      </c>
      <c r="I378" s="1069" t="e">
        <f ca="1">MAXIFS(#REF!,#REF!,"&lt;&gt;0",#REF!,"&gt;="&amp;B350,#REF!,"&lt;="&amp;EOMONTH(B350,0))</f>
        <v>#NAME?</v>
      </c>
      <c r="J378" s="1114" t="e">
        <f>COUNTIFS(#REF!,"&gt;="&amp;D378,#REF!,"&gt;="&amp;B350,#REF!,"&lt;="&amp;EOMONTH(B350,0))</f>
        <v>#REF!</v>
      </c>
      <c r="K378" s="1341" t="e">
        <f>J378/E378</f>
        <v>#REF!</v>
      </c>
      <c r="L378" s="1281"/>
      <c r="M378" s="1289"/>
      <c r="N378" s="1144">
        <f>Parametres!$L$35</f>
        <v>30</v>
      </c>
      <c r="O378" s="1077">
        <f>COUNTIFS('Degrémont Entrée'!$BB$14:$BB$379,"&gt;0",'Degrémont Entrée'!$A$14:$A$379,"&gt;="&amp;B350,'Degrémont Entrée'!$A$14:$A$379,"&lt;="&amp;EOMONTH(B350,0))</f>
        <v>4</v>
      </c>
      <c r="P378" s="1078">
        <f>SUMIFS('Degrémont Entrée'!$BB$14:$BB$379,'Degrémont Entrée'!$BB$14:$BB$379,"&lt;&gt;0",'Degrémont Entrée'!$A$14:$A$379,"&gt;="&amp;B350,'Degrémont Entrée'!$A$14:$A$379,"&lt;="&amp;EOMONTH(B350,0))</f>
        <v>151.32</v>
      </c>
      <c r="Q378" s="1283">
        <f>IF(O378=0,0,P378/O378)</f>
        <v>37.83</v>
      </c>
      <c r="R378" s="1286" t="e">
        <f ca="1">MINIFS('Degrémont Entrée'!$BB$14:$BB$379,'Degrémont Entrée'!$BB$14:$BB$379,"&lt;&gt;0",'Degrémont Entrée'!$A$14:$A$379,"&gt;="&amp;B350,'Degrémont Entrée'!$A$14:$A$379,"&lt;="&amp;EOMONTH(B350,0))</f>
        <v>#NAME?</v>
      </c>
      <c r="S378" s="1286" t="e">
        <f ca="1">MAXIFS('Degrémont Entrée'!$BB$14:$BB$379,'Degrémont Entrée'!$BB$14:$BB$379,"&lt;&gt;0",'Degrémont Entrée'!$A$14:$A$379,"&gt;="&amp;B350,'Degrémont Entrée'!$A$14:$A$379,"&lt;="&amp;EOMONTH(B350,0))</f>
        <v>#NAME?</v>
      </c>
      <c r="T378" s="1141">
        <f>COUNTIFS('Degrémont Entrée'!$BB$14:$BB$379,"&gt;="&amp;N378,'Degrémont Entrée'!$A$14:$A$379,"&gt;="&amp;B350,'Degrémont Entrée'!$A$14:$A$379,"&lt;="&amp;EOMONTH(B350,0))</f>
        <v>2</v>
      </c>
      <c r="U378" s="1081">
        <f>T378/O378</f>
        <v>0.5</v>
      </c>
      <c r="V378" s="1285"/>
      <c r="W378" s="1083">
        <f>Parametres!$T$35</f>
        <v>0.16</v>
      </c>
      <c r="X378" s="1142">
        <f>COUNTIFS('Degrémont sortie'!$AV$14:$AV$379,"&gt;0",'Degrémont sortie'!$A$14:$A$379,"&gt;="&amp;B350,'Degrémont sortie'!$A$14:$A$379,"&lt;="&amp;EOMONTH(B350,0))</f>
        <v>4</v>
      </c>
      <c r="Y378" s="1085">
        <f>SUMIFS('Degrémont sortie'!$AV$14:$AV$379,'Degrémont sortie'!$AV$14:$AV$379,"&lt;&gt;0",'Degrémont sortie'!$A$14:$A$379,"&gt;="&amp;B350,'Degrémont sortie'!$A$14:$A$379,"&lt;="&amp;EOMONTH(B350,0))</f>
        <v>1.1499999999999999</v>
      </c>
      <c r="Z378" s="1069">
        <f t="shared" ref="Z378:Z380" si="168">IF(X378=0,0,Y378/X378)</f>
        <v>0.28749999999999998</v>
      </c>
      <c r="AA378" s="1286" t="e">
        <f ca="1">MINIFS('Degrémont sortie'!$AV$14:$AV$379,'Degrémont sortie'!$AV$14:$AV$379,"&lt;&gt;0",'Degrémont sortie'!$A$14:$A$379,"&gt;="&amp;B350,'Degrémont sortie'!$A$14:$A$379,"&lt;="&amp;EOMONTH(B350,0))</f>
        <v>#NAME?</v>
      </c>
      <c r="AB378" s="1286" t="e">
        <f ca="1">MAXIFS('Degrémont sortie'!$AV$14:$AV$379,'Degrémont sortie'!$AV$14:$AV$379,"&lt;&gt;0",'Degrémont sortie'!$A$14:$A$379,"&gt;="&amp;B350,'Degrémont sortie'!$A$14:$A$379,"&lt;="&amp;EOMONTH(B350,0))</f>
        <v>#NAME?</v>
      </c>
      <c r="AC378" s="1141">
        <f>COUNTIFS('Degrémont sortie'!$AV$14:$AV$379,"&gt;="&amp;W378,'Degrémont sortie'!$A$14:$A$379,"&gt;="&amp;B350,'Degrémont sortie'!$A$14:$A$379,"&lt;="&amp;EOMONTH(B350,0))</f>
        <v>1</v>
      </c>
      <c r="AD378" s="1087">
        <f>AC378/X378</f>
        <v>0.25</v>
      </c>
      <c r="AE378" s="1285"/>
      <c r="AF378" s="1293"/>
      <c r="AG378" s="1293"/>
      <c r="AH378" s="1293"/>
      <c r="AI378" s="1293"/>
      <c r="AJ378" s="1293"/>
      <c r="AK378" s="1285"/>
      <c r="AL378" s="1293"/>
      <c r="AM378" s="1293"/>
      <c r="AN378" s="1293"/>
      <c r="AO378" s="1293"/>
      <c r="AP378" s="1293"/>
      <c r="AQ378" s="1285"/>
      <c r="AR378" s="1293"/>
      <c r="AS378" s="1293"/>
      <c r="AT378" s="1293"/>
      <c r="AU378" s="1293"/>
      <c r="AV378" s="1293"/>
      <c r="AW378" s="1293"/>
      <c r="AX378" s="1294"/>
      <c r="AY378" s="1295"/>
      <c r="AZ378" s="1095" t="e">
        <f t="shared" si="158"/>
        <v>#REF!</v>
      </c>
      <c r="BA378" s="2"/>
    </row>
    <row r="379" spans="1:53" ht="15.75" hidden="1" customHeight="1" outlineLevel="1">
      <c r="A379" s="1027"/>
      <c r="B379" s="1096"/>
      <c r="C379" s="1139" t="s">
        <v>39</v>
      </c>
      <c r="D379" s="1122">
        <f>Parametres!$D$36</f>
        <v>10000000</v>
      </c>
      <c r="E379" s="1068" t="e">
        <f>COUNTIFS(#REF!,"&gt;0",#REF!,"&gt;="&amp;B350,#REF!,"&lt;="&amp;EOMONTH(B350,0))</f>
        <v>#REF!</v>
      </c>
      <c r="F379" s="1069" t="e">
        <f>SUMIFS(#REF!,#REF!,"&lt;&gt;0",#REF!,"&gt;="&amp;B350,#REF!,"&lt;="&amp;EOMONTH(B350,0))</f>
        <v>#REF!</v>
      </c>
      <c r="G379" s="1069" t="e">
        <f t="shared" si="156"/>
        <v>#REF!</v>
      </c>
      <c r="H379" s="1070" t="e">
        <f ca="1">MINIFS(#REF!,#REF!,"&lt;&gt;0",#REF!,"&gt;="&amp;B350,#REF!,"&lt;="&amp;EOMONTH(B350,0))</f>
        <v>#NAME?</v>
      </c>
      <c r="I379" s="1277" t="e">
        <f ca="1">MAXIFS(#REF!,#REF!,"&lt;&gt;0",#REF!,"&gt;="&amp;B350,#REF!,"&lt;="&amp;EOMONTH(B350,0))</f>
        <v>#NAME?</v>
      </c>
      <c r="J379" s="1072" t="s">
        <v>153</v>
      </c>
      <c r="K379" s="1072" t="s">
        <v>153</v>
      </c>
      <c r="L379" s="1281"/>
      <c r="M379" s="1289"/>
      <c r="N379" s="1290"/>
      <c r="O379" s="1290"/>
      <c r="P379" s="1286"/>
      <c r="Q379" s="1286"/>
      <c r="R379" s="1286"/>
      <c r="S379" s="1286"/>
      <c r="T379" s="1290"/>
      <c r="U379" s="1290"/>
      <c r="V379" s="1285"/>
      <c r="W379" s="1083">
        <f>Parametres!$T$36</f>
        <v>100000000</v>
      </c>
      <c r="X379" s="1142">
        <f>COUNTIFS('Degrémont sortie'!$R$14:$R$379,"&gt;0",'Degrémont sortie'!$A$14:$A$379,"&gt;="&amp;B350,'Degrémont sortie'!$A$14:$A$379,"&lt;="&amp;EOMONTH(B350,0))</f>
        <v>0</v>
      </c>
      <c r="Y379" s="1085">
        <f>SUMIFS('Degrémont sortie'!$R$14:$R$379,'Degrémont sortie'!$R$14:$R$379,"&lt;&gt;0",'Degrémont sortie'!$A$14:$A$379,"&gt;="&amp;B350,'Degrémont sortie'!$A$14:$A$379,"&lt;="&amp;EOMONTH(B350,0))</f>
        <v>0</v>
      </c>
      <c r="Z379" s="1069">
        <f t="shared" si="168"/>
        <v>0</v>
      </c>
      <c r="AA379" s="1286" t="e">
        <f ca="1">MINIFS('Degrémont sortie'!$R$14:$R$379,'Degrémont sortie'!$R$14:$R$379,"&lt;&gt;0",'Degrémont sortie'!$A$14:$A$379,"&gt;="&amp;B350,'Degrémont sortie'!$A$14:$A$379,"&lt;="&amp;EOMONTH(B350,0))</f>
        <v>#NAME?</v>
      </c>
      <c r="AB379" s="1286" t="e">
        <f ca="1">MAXIFS('Degrémont sortie'!$R$14:$R$379,'Degrémont sortie'!$R$14:$R$379,"&lt;&gt;0",'Degrémont sortie'!$A$14:$A$379,"&gt;="&amp;B350,'Degrémont sortie'!$A$14:$A$379,"&lt;="&amp;EOMONTH(B350,0))</f>
        <v>#NAME?</v>
      </c>
      <c r="AC379" s="1291" t="s">
        <v>153</v>
      </c>
      <c r="AD379" s="1292" t="s">
        <v>153</v>
      </c>
      <c r="AE379" s="1285"/>
      <c r="AF379" s="1293"/>
      <c r="AG379" s="1293"/>
      <c r="AH379" s="1293"/>
      <c r="AI379" s="1293"/>
      <c r="AJ379" s="1293"/>
      <c r="AK379" s="1285"/>
      <c r="AL379" s="1293"/>
      <c r="AM379" s="1293"/>
      <c r="AN379" s="1293"/>
      <c r="AO379" s="1293"/>
      <c r="AP379" s="1293"/>
      <c r="AQ379" s="1285"/>
      <c r="AR379" s="1293"/>
      <c r="AS379" s="1293"/>
      <c r="AT379" s="1293"/>
      <c r="AU379" s="1293"/>
      <c r="AV379" s="1293"/>
      <c r="AW379" s="1293"/>
      <c r="AX379" s="1294"/>
      <c r="AY379" s="1295"/>
      <c r="AZ379" s="1095" t="e">
        <f t="shared" si="158"/>
        <v>#REF!</v>
      </c>
      <c r="BA379" s="2"/>
    </row>
    <row r="380" spans="1:53" ht="15.75" hidden="1" customHeight="1" outlineLevel="1">
      <c r="A380" s="1027"/>
      <c r="B380" s="1096"/>
      <c r="C380" s="1139" t="s">
        <v>40</v>
      </c>
      <c r="D380" s="1122">
        <f>Parametres!$D$37</f>
        <v>10000000</v>
      </c>
      <c r="E380" s="1068" t="e">
        <f>COUNTIFS(#REF!,"&gt;0",#REF!,"&gt;="&amp;B350,#REF!,"&lt;="&amp;EOMONTH(B350,0))</f>
        <v>#REF!</v>
      </c>
      <c r="F380" s="1069" t="e">
        <f>SUMIFS(#REF!,#REF!,"&lt;&gt;0",#REF!,"&gt;="&amp;B350,#REF!,"&lt;="&amp;EOMONTH(B350,0))</f>
        <v>#REF!</v>
      </c>
      <c r="G380" s="1069" t="e">
        <f t="shared" si="156"/>
        <v>#REF!</v>
      </c>
      <c r="H380" s="1070" t="e">
        <f ca="1">MINIFS(#REF!,#REF!,"&lt;&gt;0",#REF!,"&gt;="&amp;B350,#REF!,"&lt;="&amp;EOMONTH(B350,0))</f>
        <v>#NAME?</v>
      </c>
      <c r="I380" s="1069" t="e">
        <f ca="1">MAXIFS(#REF!,#REF!,"&lt;&gt;0",#REF!,"&gt;="&amp;B350,#REF!,"&lt;="&amp;EOMONTH(B350,0))</f>
        <v>#NAME?</v>
      </c>
      <c r="J380" s="1072" t="s">
        <v>153</v>
      </c>
      <c r="K380" s="1072" t="s">
        <v>153</v>
      </c>
      <c r="L380" s="1281"/>
      <c r="M380" s="1289"/>
      <c r="N380" s="1290"/>
      <c r="O380" s="1290"/>
      <c r="P380" s="1286"/>
      <c r="Q380" s="1286"/>
      <c r="R380" s="1286"/>
      <c r="S380" s="1286"/>
      <c r="T380" s="1290"/>
      <c r="U380" s="1290"/>
      <c r="V380" s="1285"/>
      <c r="W380" s="1083">
        <f>Parametres!$T$37</f>
        <v>100000000</v>
      </c>
      <c r="X380" s="1142">
        <f>COUNTIFS('Degrémont sortie'!$U$14:$U$379,"&gt;0",'Degrémont sortie'!$A$14:$A$379,"&gt;="&amp;B350,'Degrémont sortie'!$A$14:$A$379,"&lt;="&amp;EOMONTH(B350,0))</f>
        <v>0</v>
      </c>
      <c r="Y380" s="1085">
        <f>SUMIFS('Degrémont sortie'!$U$14:$U$379,'Degrémont sortie'!$U$14:$U$379,"&lt;&gt;0",'Degrémont sortie'!$A$14:$A$379,"&gt;="&amp;B350,'Degrémont sortie'!$A$14:$A$379,"&lt;="&amp;EOMONTH(B350,0))</f>
        <v>0</v>
      </c>
      <c r="Z380" s="1069">
        <f t="shared" si="168"/>
        <v>0</v>
      </c>
      <c r="AA380" s="1286" t="e">
        <f ca="1">MINIFS('Degrémont sortie'!$U$14:$U$379,'Degrémont sortie'!$U$14:$U$379,"&lt;&gt;0",'Degrémont sortie'!$A$14:$A$379,"&gt;="&amp;B350,'Degrémont sortie'!$A$14:$A$379,"&lt;="&amp;EOMONTH(B350,0))</f>
        <v>#NAME?</v>
      </c>
      <c r="AB380" s="1286" t="e">
        <f ca="1">MAXIFS('Degrémont sortie'!$U$14:$U$379,'Degrémont sortie'!$U$14:$U$379,"&lt;&gt;0",'Degrémont sortie'!$A$14:$A$379,"&gt;="&amp;B350,'Degrémont sortie'!$A$14:$A$379,"&lt;="&amp;EOMONTH(B350,0))</f>
        <v>#NAME?</v>
      </c>
      <c r="AC380" s="1291" t="s">
        <v>153</v>
      </c>
      <c r="AD380" s="1292" t="s">
        <v>153</v>
      </c>
      <c r="AE380" s="1285"/>
      <c r="AF380" s="1293"/>
      <c r="AG380" s="1293"/>
      <c r="AH380" s="1293"/>
      <c r="AI380" s="1293"/>
      <c r="AJ380" s="1293"/>
      <c r="AK380" s="1285"/>
      <c r="AL380" s="1293"/>
      <c r="AM380" s="1293"/>
      <c r="AN380" s="1293"/>
      <c r="AO380" s="1293"/>
      <c r="AP380" s="1293"/>
      <c r="AQ380" s="1285"/>
      <c r="AR380" s="1293"/>
      <c r="AS380" s="1293"/>
      <c r="AT380" s="1293"/>
      <c r="AU380" s="1293"/>
      <c r="AV380" s="1293"/>
      <c r="AW380" s="1293"/>
      <c r="AX380" s="1294"/>
      <c r="AY380" s="1295"/>
      <c r="AZ380" s="1095" t="e">
        <f t="shared" si="158"/>
        <v>#REF!</v>
      </c>
      <c r="BA380" s="2"/>
    </row>
    <row r="381" spans="1:53" ht="15.75" hidden="1" customHeight="1" outlineLevel="1">
      <c r="A381" s="1027"/>
      <c r="B381" s="1096"/>
      <c r="C381" s="1121" t="s">
        <v>15</v>
      </c>
      <c r="D381" s="1122">
        <f>Parametres!$D$38</f>
        <v>1000000</v>
      </c>
      <c r="E381" s="1068" t="e">
        <f>COUNTIFS(#REF!,"&gt;0",#REF!,"&gt;="&amp;B350,#REF!,"&lt;="&amp;EOMONTH(B350,0))</f>
        <v>#REF!</v>
      </c>
      <c r="F381" s="1069" t="e">
        <f>SUMIFS(#REF!,#REF!,"&lt;&gt;0",#REF!,"&gt;="&amp;B350,#REF!,"&lt;="&amp;EOMONTH(B350,0))</f>
        <v>#REF!</v>
      </c>
      <c r="G381" s="1069" t="e">
        <f t="shared" si="156"/>
        <v>#REF!</v>
      </c>
      <c r="H381" s="1070" t="e">
        <f ca="1">MINIFS(#REF!,#REF!,"&lt;&gt;0",#REF!,"&gt;="&amp;B350,#REF!,"&lt;="&amp;EOMONTH(B350,0))</f>
        <v>#NAME?</v>
      </c>
      <c r="I381" s="1069" t="e">
        <f ca="1">MAXIFS(#REF!,#REF!,"&lt;&gt;0",#REF!,"&gt;="&amp;B350,#REF!,"&lt;="&amp;EOMONTH(B350,0))</f>
        <v>#NAME?</v>
      </c>
      <c r="J381" s="1072" t="e">
        <f>COUNTIFS(#REF!,"&gt;="&amp;D381,#REF!,"&gt;="&amp;B350,#REF!,"&lt;="&amp;EOMONTH(B350,0))</f>
        <v>#REF!</v>
      </c>
      <c r="K381" s="1341" t="e">
        <f t="shared" ref="K381:K382" si="169">J381/E381</f>
        <v>#REF!</v>
      </c>
      <c r="L381" s="1281"/>
      <c r="M381" s="1289"/>
      <c r="N381" s="1290"/>
      <c r="O381" s="1290"/>
      <c r="P381" s="1286"/>
      <c r="Q381" s="1286"/>
      <c r="R381" s="1286"/>
      <c r="S381" s="1286"/>
      <c r="T381" s="1290"/>
      <c r="U381" s="1290"/>
      <c r="V381" s="1285"/>
      <c r="W381" s="1293"/>
      <c r="X381" s="1293"/>
      <c r="Y381" s="1286"/>
      <c r="Z381" s="1286"/>
      <c r="AA381" s="1286"/>
      <c r="AB381" s="1286"/>
      <c r="AC381" s="1293"/>
      <c r="AD381" s="1249"/>
      <c r="AE381" s="1285"/>
      <c r="AF381" s="1293"/>
      <c r="AG381" s="1293"/>
      <c r="AH381" s="1293"/>
      <c r="AI381" s="1293"/>
      <c r="AJ381" s="1293"/>
      <c r="AK381" s="1285"/>
      <c r="AL381" s="1293"/>
      <c r="AM381" s="1293"/>
      <c r="AN381" s="1293"/>
      <c r="AO381" s="1293"/>
      <c r="AP381" s="1293"/>
      <c r="AQ381" s="1285"/>
      <c r="AR381" s="1293"/>
      <c r="AS381" s="1293"/>
      <c r="AT381" s="1293"/>
      <c r="AU381" s="1293"/>
      <c r="AV381" s="1293"/>
      <c r="AW381" s="1293"/>
      <c r="AX381" s="1294"/>
      <c r="AY381" s="1295"/>
      <c r="AZ381" s="1095" t="e">
        <f t="shared" si="158"/>
        <v>#REF!</v>
      </c>
      <c r="BA381" s="2"/>
    </row>
    <row r="382" spans="1:53" ht="15.75" hidden="1" customHeight="1" outlineLevel="1">
      <c r="A382" s="1027"/>
      <c r="B382" s="1096"/>
      <c r="C382" s="1121" t="s">
        <v>170</v>
      </c>
      <c r="D382" s="1122">
        <f>Parametres!$D$40</f>
        <v>10000000</v>
      </c>
      <c r="E382" s="1068" t="e">
        <f>COUNTIFS(#REF!,"&gt;0",#REF!,"&gt;="&amp;B350,#REF!,"&lt;="&amp;EOMONTH(B350,0))</f>
        <v>#REF!</v>
      </c>
      <c r="F382" s="1069" t="e">
        <f>SUMIFS(#REF!,#REF!,"&lt;&gt;0",#REF!,"&gt;="&amp;B350,#REF!,"&lt;="&amp;EOMONTH(B350,0))</f>
        <v>#REF!</v>
      </c>
      <c r="G382" s="1069" t="e">
        <f t="shared" si="156"/>
        <v>#REF!</v>
      </c>
      <c r="H382" s="1070" t="e">
        <f ca="1">MINIFS(#REF!,#REF!,"&lt;&gt;0",#REF!,"&gt;="&amp;B350,#REF!,"&lt;="&amp;EOMONTH(B350,0))</f>
        <v>#NAME?</v>
      </c>
      <c r="I382" s="1069" t="e">
        <f ca="1">MAXIFS(#REF!,#REF!,"&lt;&gt;0",#REF!,"&gt;="&amp;B350,#REF!,"&lt;="&amp;EOMONTH(B350,0))</f>
        <v>#NAME?</v>
      </c>
      <c r="J382" s="1114" t="e">
        <f>COUNTIFS(#REF!,"&gt;="&amp;D382,#REF!,"&gt;="&amp;B351,#REF!,"&lt;="&amp;EOMONTH(B351,0))</f>
        <v>#REF!</v>
      </c>
      <c r="K382" s="1341" t="e">
        <f t="shared" si="169"/>
        <v>#REF!</v>
      </c>
      <c r="L382" s="1281"/>
      <c r="M382" s="1289"/>
      <c r="N382" s="1313"/>
      <c r="O382" s="1313"/>
      <c r="P382" s="1315"/>
      <c r="Q382" s="1317"/>
      <c r="R382" s="1286"/>
      <c r="S382" s="1286"/>
      <c r="T382" s="1290"/>
      <c r="U382" s="1290"/>
      <c r="V382" s="1285"/>
      <c r="W382" s="1293"/>
      <c r="X382" s="1293"/>
      <c r="Y382" s="1315"/>
      <c r="Z382" s="1286"/>
      <c r="AA382" s="1286"/>
      <c r="AB382" s="1286"/>
      <c r="AC382" s="1293"/>
      <c r="AD382" s="1249"/>
      <c r="AE382" s="1285"/>
      <c r="AF382" s="1293"/>
      <c r="AG382" s="1293"/>
      <c r="AH382" s="1293"/>
      <c r="AI382" s="1293"/>
      <c r="AJ382" s="1293"/>
      <c r="AK382" s="1285"/>
      <c r="AL382" s="1321"/>
      <c r="AM382" s="1293"/>
      <c r="AN382" s="1293"/>
      <c r="AO382" s="1293"/>
      <c r="AP382" s="1293"/>
      <c r="AQ382" s="1285"/>
      <c r="AR382" s="1293"/>
      <c r="AS382" s="1293"/>
      <c r="AT382" s="1293"/>
      <c r="AU382" s="1293"/>
      <c r="AV382" s="1293"/>
      <c r="AW382" s="1293"/>
      <c r="AX382" s="1294"/>
      <c r="AY382" s="1295"/>
      <c r="AZ382" s="1095"/>
      <c r="BA382" s="2"/>
    </row>
    <row r="383" spans="1:53" ht="15.75" hidden="1" customHeight="1" outlineLevel="1">
      <c r="A383" s="1027"/>
      <c r="B383" s="1096"/>
      <c r="C383" s="1139" t="s">
        <v>38</v>
      </c>
      <c r="D383" s="1122">
        <f>Parametres!$D$39</f>
        <v>1000000</v>
      </c>
      <c r="E383" s="1068" t="e">
        <f>COUNTIFS(#REF!,"&gt;0",#REF!,"&gt;="&amp;B350,#REF!,"&lt;="&amp;EOMONTH(B350,0))</f>
        <v>#REF!</v>
      </c>
      <c r="F383" s="1069" t="e">
        <f>SUMIFS(#REF!,#REF!,"&lt;&gt;0",#REF!,"&gt;="&amp;B350,#REF!,"&lt;="&amp;EOMONTH(B350,0))</f>
        <v>#REF!</v>
      </c>
      <c r="G383" s="1069" t="e">
        <f t="shared" si="156"/>
        <v>#REF!</v>
      </c>
      <c r="H383" s="1070" t="e">
        <f ca="1">MINIFS(#REF!,#REF!,"&lt;&gt;0",#REF!,"&gt;="&amp;B350,#REF!,"&lt;="&amp;EOMONTH(B350,0))</f>
        <v>#NAME?</v>
      </c>
      <c r="I383" s="1069" t="e">
        <f ca="1">MAXIFS(#REF!,#REF!,"&lt;&gt;0",#REF!,"&gt;="&amp;B350,#REF!,"&lt;="&amp;EOMONTH(B350,0))</f>
        <v>#NAME?</v>
      </c>
      <c r="J383" s="1072" t="s">
        <v>153</v>
      </c>
      <c r="K383" s="1072" t="s">
        <v>153</v>
      </c>
      <c r="L383" s="1281"/>
      <c r="M383" s="1289"/>
      <c r="N383" s="1328">
        <f>Parametres!$L$39</f>
        <v>100000</v>
      </c>
      <c r="O383" s="1077">
        <f>COUNTIF('Degrémont Entrée'!$U$14:$U$44,"&gt;0")</f>
        <v>4</v>
      </c>
      <c r="P383" s="1078">
        <f>SUMIFS('Degrémont Entrée'!$U$14:$U$379,'Degrémont Entrée'!$U$14:$U$379,"&lt;&gt;0",'Degrémont Entrée'!$A$14:$A$379,"&gt;="&amp;B350,'Degrémont Entrée'!$A$14:$A$379,"&lt;="&amp;EOMONTH(B350,0))</f>
        <v>1070</v>
      </c>
      <c r="Q383" s="1283">
        <f t="shared" ref="Q383:Q386" si="170">IF(O383=0,0,P383/O383)</f>
        <v>267.5</v>
      </c>
      <c r="R383" s="1286" t="e">
        <f ca="1">MINIFS('Degrémont Entrée'!$U$14:$U$379,'Degrémont Entrée'!$U$14:$U$379,"&lt;&gt;0",'Degrémont Entrée'!$A$14:$A$379,"&gt;="&amp;B350,'Degrémont Entrée'!$A$14:$A$379,"&lt;="&amp;EOMONTH(B350,0))</f>
        <v>#NAME?</v>
      </c>
      <c r="S383" s="1286" t="e">
        <f ca="1">MAXIFS('Degrémont Entrée'!$U$14:$U$379,'Degrémont Entrée'!$U$14:$U$379,"&lt;&gt;0",'Degrémont Entrée'!$A$14:$A$379,"&gt;="&amp;B350,'Degrémont Entrée'!$A$14:$A$379,"&lt;="&amp;EOMONTH(B350,0))</f>
        <v>#NAME?</v>
      </c>
      <c r="T383" s="1291" t="s">
        <v>153</v>
      </c>
      <c r="U383" s="1291" t="s">
        <v>153</v>
      </c>
      <c r="V383" s="1285"/>
      <c r="W383" s="1083">
        <f>Parametres!T381</f>
        <v>0</v>
      </c>
      <c r="X383" s="1142">
        <f>COUNTIFS('Degrémont sortie'!$O$14:$O$379,"&gt;0",'Degrémont sortie'!$A$14:$A$379,"&gt;="&amp;B350,'Degrémont sortie'!$A$14:$A$379,"&lt;="&amp;EOMONTH(B350,0))</f>
        <v>4</v>
      </c>
      <c r="Y383" s="1085">
        <f>SUMIFS('Degrémont sortie'!$O$14:$O$379,'Degrémont sortie'!$O$14:$O$379,"&lt;&gt;0",'Degrémont sortie'!$A$14:$A$379,"&gt;="&amp;B350,'Degrémont sortie'!$A$14:$A$379,"&lt;="&amp;EOMONTH(B350,0))</f>
        <v>552</v>
      </c>
      <c r="Z383" s="1069">
        <f t="shared" ref="Z383:Z389" si="171">IF(X383=0,0,Y383/X383)</f>
        <v>138</v>
      </c>
      <c r="AA383" s="1286" t="e">
        <f ca="1">MINIFS('Degrémont sortie'!$O$14:$O$379,'Degrémont sortie'!$O$14:$O$379,"&lt;&gt;0",'Degrémont sortie'!$A$14:$A$379,"&gt;="&amp;B350,'Degrémont sortie'!$A$14:$A$379,"&lt;="&amp;EOMONTH(B350,0))</f>
        <v>#NAME?</v>
      </c>
      <c r="AB383" s="1286" t="e">
        <f ca="1">MAXIFS('Degrémont sortie'!$O$14:$O$379,'Degrémont sortie'!$O$14:$O$379,"&lt;&gt;0",'Degrémont sortie'!$A$14:$A$379,"&gt;="&amp;B350,'Degrémont sortie'!$A$14:$A$379,"&lt;="&amp;EOMONTH(B350,0))</f>
        <v>#NAME?</v>
      </c>
      <c r="AC383" s="1291" t="s">
        <v>153</v>
      </c>
      <c r="AD383" s="1292" t="s">
        <v>153</v>
      </c>
      <c r="AE383" s="1285"/>
      <c r="AF383" s="1293"/>
      <c r="AG383" s="1293"/>
      <c r="AH383" s="1293"/>
      <c r="AI383" s="1293"/>
      <c r="AJ383" s="1293"/>
      <c r="AK383" s="1285"/>
      <c r="AL383" s="1205" t="e">
        <f>COUNTIFS(#REF!,"&gt;0",#REF!,"&gt;="&amp;B350,#REF!,"&lt;="&amp;EOMONTH(B350,0))</f>
        <v>#REF!</v>
      </c>
      <c r="AM383" s="1208" t="e">
        <f>SUMIFS(#REF!,#REF!,"&lt;&gt;0",#REF!,"&gt;="&amp;B350,#REF!,"&lt;="&amp;EOMONTH(B350,0))</f>
        <v>#REF!</v>
      </c>
      <c r="AN383" s="1208" t="e">
        <f>IF(AL383=0,0,AM383/AL383)</f>
        <v>#REF!</v>
      </c>
      <c r="AO383" s="1141" t="e">
        <f ca="1">MINIFS(#REF!,#REF!,"&lt;&gt;0",#REF!,"&gt;="&amp;B350,#REF!,"&lt;="&amp;EOMONTH(B350,0))</f>
        <v>#NAME?</v>
      </c>
      <c r="AP383" s="1141" t="e">
        <f ca="1">MAXIFS(#REF!,#REF!,"&lt;&gt;0",#REF!,"&gt;="&amp;B350,#REF!,"&lt;="&amp;EOMONTH(B350,0))</f>
        <v>#NAME?</v>
      </c>
      <c r="AQ383" s="1285"/>
      <c r="AR383" s="1293"/>
      <c r="AS383" s="1293"/>
      <c r="AT383" s="1293"/>
      <c r="AU383" s="1293"/>
      <c r="AV383" s="1293"/>
      <c r="AW383" s="1293"/>
      <c r="AX383" s="1294"/>
      <c r="AY383" s="1295"/>
      <c r="AZ383" s="1095" t="e">
        <f t="shared" ref="AZ383:AZ395" si="172">SUM(E383+O383+X383+AF383+AL383+AS383)</f>
        <v>#REF!</v>
      </c>
      <c r="BA383" s="2"/>
    </row>
    <row r="384" spans="1:53" ht="15.75" hidden="1" customHeight="1" outlineLevel="1">
      <c r="A384" s="1027"/>
      <c r="B384" s="1096"/>
      <c r="C384" s="1139" t="s">
        <v>33</v>
      </c>
      <c r="D384" s="1122" t="str">
        <f>Parametres!$D$41</f>
        <v>5,5-8,5</v>
      </c>
      <c r="E384" s="1068" t="e">
        <f>COUNTIFS(#REF!,"&gt;0",#REF!,"&gt;="&amp;B350,#REF!,"&lt;="&amp;EOMONTH(B350,0))</f>
        <v>#REF!</v>
      </c>
      <c r="F384" s="1069" t="e">
        <f>SUMIFS(#REF!,#REF!,"&lt;&gt;0",#REF!,"&gt;="&amp;B350,#REF!,"&lt;="&amp;EOMONTH(B350,0))</f>
        <v>#REF!</v>
      </c>
      <c r="G384" s="1069" t="e">
        <f t="shared" si="156"/>
        <v>#REF!</v>
      </c>
      <c r="H384" s="1070" t="e">
        <f ca="1">MINIFS(#REF!,#REF!,"&lt;&gt;0",#REF!,"&gt;="&amp;B350,#REF!,"&lt;="&amp;EOMONTH(B350,0))</f>
        <v>#NAME?</v>
      </c>
      <c r="I384" s="1069" t="e">
        <f ca="1">MAXIFS(#REF!,#REF!,"&lt;&gt;0",#REF!,"&gt;="&amp;B350,#REF!,"&lt;="&amp;EOMONTH(B350,0))</f>
        <v>#NAME?</v>
      </c>
      <c r="J384" s="1114" t="e">
        <f>COUNTIFS(#REF!,"&lt;="&amp;D384,#REF!,"&gt;="&amp;B350,#REF!,"&lt;="&amp;EOMONTH(B350,0))</f>
        <v>#REF!</v>
      </c>
      <c r="K384" s="1341" t="e">
        <f t="shared" ref="K384:K386" si="173">J384/E384</f>
        <v>#REF!</v>
      </c>
      <c r="L384" s="1281"/>
      <c r="M384" s="1289"/>
      <c r="N384" s="1144">
        <f>Parametres!$L$41</f>
        <v>100000000</v>
      </c>
      <c r="O384" s="1077">
        <f>COUNTIFS('Degrémont Entrée'!$C$14:$C$379,"&gt;0",'Degrémont Entrée'!$A$14:$A$379,"&gt;="&amp;B350,'Degrémont Entrée'!$A$14:$A$379,"&lt;="&amp;EOMONTH(B350,0))</f>
        <v>20</v>
      </c>
      <c r="P384" s="1078">
        <f>SUMIFS('Degrémont Entrée'!$C$14:$C$379,'Degrémont Entrée'!$C$14:$C$379,"&lt;&gt;0",'Degrémont Entrée'!$A$14:$A$379,"&gt;="&amp;B350,'Degrémont Entrée'!$A$14:$A$379,"&lt;="&amp;EOMONTH(B350,0))</f>
        <v>159.13999999999999</v>
      </c>
      <c r="Q384" s="1283">
        <f t="shared" si="170"/>
        <v>7.956999999999999</v>
      </c>
      <c r="R384" s="1286" t="e">
        <f ca="1">MINIFS('Degrémont Entrée'!$C$14:$C$379,'Degrémont Entrée'!$C$14:$C$379,"&lt;&gt;0",'Degrémont Entrée'!$A$14:$A$379,"&gt;="&amp;B350,'Degrémont Entrée'!$A$14:$A$379,"&lt;="&amp;EOMONTH(B350,0))</f>
        <v>#NAME?</v>
      </c>
      <c r="S384" s="1286" t="e">
        <f ca="1">MAXIFS('Degrémont Entrée'!$C$14:$C$379,'Degrémont Entrée'!$C$14:$C$379,"&lt;&gt;0",'Degrémont Entrée'!$A$14:$A$379,"&gt;="&amp;B350,'Degrémont Entrée'!$A$14:$A$379,"&lt;="&amp;EOMONTH(B350,0))</f>
        <v>#NAME?</v>
      </c>
      <c r="T384" s="1291" t="s">
        <v>153</v>
      </c>
      <c r="U384" s="1291" t="s">
        <v>153</v>
      </c>
      <c r="V384" s="1285"/>
      <c r="W384" s="1083">
        <f>Parametres!$T$41</f>
        <v>100000000</v>
      </c>
      <c r="X384" s="1142">
        <f>COUNTIFS('Degrémont sortie'!$C$14:$C$379,"&gt;0",'Degrémont sortie'!$A$14:$A$379,"&gt;="&amp;B350,'Degrémont sortie'!$A$14:$A$379,"&lt;="&amp;EOMONTH(B350,0))</f>
        <v>21</v>
      </c>
      <c r="Y384" s="1085">
        <f>SUMIFS('Degrémont sortie'!$C$14:$C$379,'Degrémont sortie'!$C$14:$C$379,"&lt;&gt;0",'Degrémont sortie'!$A$14:$A$379,"&gt;="&amp;B350,'Degrémont sortie'!$A$14:$A$379,"&lt;="&amp;EOMONTH(B350,0))</f>
        <v>179.64999999999998</v>
      </c>
      <c r="Z384" s="1069">
        <f t="shared" si="171"/>
        <v>8.5547619047619037</v>
      </c>
      <c r="AA384" s="1286" t="e">
        <f ca="1">MINIFS('Degrémont sortie'!$C$14:$C$379,'Degrémont sortie'!$C$14:$C$379,"&lt;&gt;0",'Degrémont sortie'!$A$14:$A$379,"&gt;="&amp;B350,'Degrémont sortie'!$A$14:$A$379,"&lt;="&amp;EOMONTH(B350,0))</f>
        <v>#NAME?</v>
      </c>
      <c r="AB384" s="1286" t="e">
        <f ca="1">MAXIFS('Degrémont sortie'!$C$14:$C$379,'Degrémont sortie'!$C$14:$C$379,"&lt;&gt;0",'Degrémont sortie'!$A$14:$A$379,"&gt;="&amp;B350,'Degrémont sortie'!$A$14:$A$379,"&lt;="&amp;EOMONTH(B350,0))</f>
        <v>#NAME?</v>
      </c>
      <c r="AC384" s="1291" t="s">
        <v>153</v>
      </c>
      <c r="AD384" s="1292" t="s">
        <v>153</v>
      </c>
      <c r="AE384" s="1285"/>
      <c r="AF384" s="1293"/>
      <c r="AG384" s="1293"/>
      <c r="AH384" s="1293"/>
      <c r="AI384" s="1293"/>
      <c r="AJ384" s="1293"/>
      <c r="AK384" s="1285"/>
      <c r="AL384" s="1293"/>
      <c r="AM384" s="1293"/>
      <c r="AN384" s="1293"/>
      <c r="AO384" s="1293"/>
      <c r="AP384" s="1293"/>
      <c r="AQ384" s="1285"/>
      <c r="AR384" s="1293"/>
      <c r="AS384" s="1293"/>
      <c r="AT384" s="1293"/>
      <c r="AU384" s="1293"/>
      <c r="AV384" s="1293"/>
      <c r="AW384" s="1293"/>
      <c r="AX384" s="1294"/>
      <c r="AY384" s="1295"/>
      <c r="AZ384" s="1095" t="e">
        <f t="shared" si="172"/>
        <v>#REF!</v>
      </c>
      <c r="BA384" s="2"/>
    </row>
    <row r="385" spans="1:53" ht="15.75" hidden="1" customHeight="1" outlineLevel="1">
      <c r="A385" s="1027"/>
      <c r="B385" s="1096"/>
      <c r="C385" s="1139" t="s">
        <v>49</v>
      </c>
      <c r="D385" s="1122">
        <f>Parametres!$D$42</f>
        <v>0.5</v>
      </c>
      <c r="E385" s="1068" t="e">
        <f>COUNTIFS(#REF!,"&gt;0",#REF!,"&gt;="&amp;B350,#REF!,"&lt;="&amp;EOMONTH(B350,0))</f>
        <v>#REF!</v>
      </c>
      <c r="F385" s="1069" t="e">
        <f>SUMIFS(#REF!,#REF!,"&lt;&gt;0",#REF!,"&gt;="&amp;B350,#REF!,"&lt;="&amp;EOMONTH(B350,0))</f>
        <v>#REF!</v>
      </c>
      <c r="G385" s="1069" t="e">
        <f t="shared" si="156"/>
        <v>#REF!</v>
      </c>
      <c r="H385" s="1070" t="e">
        <f ca="1">MINIFS(#REF!,#REF!,"&lt;&gt;0",#REF!,"&gt;="&amp;B350,#REF!,"&lt;="&amp;EOMONTH(B350,0))</f>
        <v>#NAME?</v>
      </c>
      <c r="I385" s="1069" t="e">
        <f ca="1">MAXIFS(#REF!,#REF!,"&lt;&gt;0",#REF!,"&gt;="&amp;B350,#REF!,"&lt;="&amp;EOMONTH(B350,0))</f>
        <v>#NAME?</v>
      </c>
      <c r="J385" s="1114" t="e">
        <f>COUNTIFS(#REF!,"&gt;="&amp;D385,#REF!,"&gt;="&amp;B350,#REF!,"&lt;="&amp;EOMONTH(B350,0))</f>
        <v>#REF!</v>
      </c>
      <c r="K385" s="1341" t="e">
        <f t="shared" si="173"/>
        <v>#REF!</v>
      </c>
      <c r="L385" s="1281"/>
      <c r="M385" s="1289"/>
      <c r="N385" s="1144">
        <f>Parametres!$L$42</f>
        <v>0.3</v>
      </c>
      <c r="O385" s="1077">
        <f>COUNTIFS('Degrémont Entrée'!$BE$14:$BE$379,"&gt;0",'Degrémont Entrée'!$A$14:$A$379,"&gt;="&amp;B350,'Degrémont Entrée'!$A$14:$A$379,"&lt;="&amp;EOMONTH(B350,0))</f>
        <v>4</v>
      </c>
      <c r="P385" s="1078">
        <f>SUMIFS('Degrémont Entrée'!$BE$14:$BE$379,'Degrémont Entrée'!$BE$14:$BE$379,"&lt;&gt;0",'Degrémont Entrée'!$A$14:$A$379,"&gt;="&amp;B350,'Degrémont Entrée'!$A$14:$A$379,"&lt;="&amp;EOMONTH(B350,0))</f>
        <v>49.66</v>
      </c>
      <c r="Q385" s="1283">
        <f t="shared" si="170"/>
        <v>12.414999999999999</v>
      </c>
      <c r="R385" s="1286" t="e">
        <f ca="1">MINIFS('Degrémont Entrée'!$BE$14:$BE$379,'Degrémont Entrée'!$BE$14:$BE$379,"&lt;&gt;0",'Degrémont Entrée'!$A$14:$A$379,"&gt;="&amp;B350,'Degrémont Entrée'!$A$14:$A$379,"&lt;="&amp;EOMONTH(B350,0))</f>
        <v>#NAME?</v>
      </c>
      <c r="S385" s="1286" t="e">
        <f ca="1">MAXIFS('Degrémont Entrée'!$BE$14:$BE$379,'Degrémont Entrée'!$BE$14:$BE$379,"&lt;&gt;0",'Degrémont Entrée'!$A$14:$A$379,"&gt;="&amp;B350,'Degrémont Entrée'!$A$14:$A$379,"&lt;="&amp;EOMONTH(B350,0))</f>
        <v>#NAME?</v>
      </c>
      <c r="T385" s="1141">
        <f>COUNTIFS('Degrémont Entrée'!$BE$14:$BE$379,"&gt;="&amp;N385,'Degrémont Entrée'!$A$14:$A$379,"&gt;="&amp;B350,'Degrémont Entrée'!$A$14:$A$379,"&lt;="&amp;EOMONTH(B350,0))</f>
        <v>3</v>
      </c>
      <c r="U385" s="1081">
        <f t="shared" ref="U385:U386" si="174">T385/O385</f>
        <v>0.75</v>
      </c>
      <c r="V385" s="1285"/>
      <c r="W385" s="1083">
        <f>Parametres!$T$42</f>
        <v>0.08</v>
      </c>
      <c r="X385" s="1142">
        <f>COUNTIFS('Degrémont sortie'!$AY$14:$AY$379,"&gt;0",'Degrémont sortie'!$A$14:$A$379,"&gt;="&amp;B350,'Degrémont sortie'!$A$14:$A$379,"&lt;="&amp;EOMONTH(B350,0))</f>
        <v>4</v>
      </c>
      <c r="Y385" s="1085">
        <f>SUMIFS('Degrémont sortie'!$AY$14:$AY$379,'Degrémont sortie'!$AY$14:$AY$379,"&lt;&gt;0",'Degrémont sortie'!$A$14:$A$379,"&gt;="&amp;B350,'Degrémont sortie'!$A$14:$A$379,"&lt;="&amp;EOMONTH(B350,0))</f>
        <v>0.54</v>
      </c>
      <c r="Z385" s="1069">
        <f t="shared" si="171"/>
        <v>0.13500000000000001</v>
      </c>
      <c r="AA385" s="1286" t="e">
        <f ca="1">MINIFS('Degrémont sortie'!$AY$14:$AY$379,'Degrémont sortie'!$AY$14:$AY$379,"&lt;&gt;0",'Degrémont sortie'!$A$14:$A$379,"&gt;="&amp;B350,'Degrémont sortie'!$A$14:$A$379,"&lt;="&amp;EOMONTH(B350,0))</f>
        <v>#NAME?</v>
      </c>
      <c r="AB385" s="1286" t="e">
        <f ca="1">MAXIFS('Degrémont sortie'!$AY$14:$AY$379,'Degrémont sortie'!$AY$14:$AY$379,"&lt;&gt;0",'Degrémont sortie'!$A$14:$A$379,"&gt;="&amp;B350,'Degrémont sortie'!$A$14:$A$379,"&lt;="&amp;EOMONTH(B350,0))</f>
        <v>#NAME?</v>
      </c>
      <c r="AC385" s="1141">
        <f>COUNTIFS('Degrémont sortie'!$AY$14:$AY$379,"&gt;="&amp;W385,'Degrémont sortie'!$A$14:$A$379,"&gt;="&amp;B350,'Degrémont sortie'!$A$14:$A$379,"&lt;="&amp;EOMONTH(B350,0))</f>
        <v>4</v>
      </c>
      <c r="AD385" s="1087">
        <f t="shared" ref="AD385:AD386" si="175">AC385/X385</f>
        <v>1</v>
      </c>
      <c r="AE385" s="1285"/>
      <c r="AF385" s="1293"/>
      <c r="AG385" s="1293"/>
      <c r="AH385" s="1293"/>
      <c r="AI385" s="1293"/>
      <c r="AJ385" s="1293"/>
      <c r="AK385" s="1285"/>
      <c r="AL385" s="1293"/>
      <c r="AM385" s="1293"/>
      <c r="AN385" s="1293"/>
      <c r="AO385" s="1293"/>
      <c r="AP385" s="1293"/>
      <c r="AQ385" s="1285"/>
      <c r="AR385" s="1293"/>
      <c r="AS385" s="1293"/>
      <c r="AT385" s="1293"/>
      <c r="AU385" s="1293"/>
      <c r="AV385" s="1293"/>
      <c r="AW385" s="1293"/>
      <c r="AX385" s="1294"/>
      <c r="AY385" s="1295"/>
      <c r="AZ385" s="1095" t="e">
        <f t="shared" si="172"/>
        <v>#REF!</v>
      </c>
      <c r="BA385" s="2"/>
    </row>
    <row r="386" spans="1:53" ht="15.75" hidden="1" customHeight="1" outlineLevel="1">
      <c r="A386" s="1027"/>
      <c r="B386" s="1096"/>
      <c r="C386" s="1139" t="s">
        <v>37</v>
      </c>
      <c r="D386" s="1122">
        <f>Parametres!$D$43</f>
        <v>15</v>
      </c>
      <c r="E386" s="1069"/>
      <c r="F386" s="1069"/>
      <c r="G386" s="1069">
        <f t="shared" si="156"/>
        <v>0</v>
      </c>
      <c r="H386" s="1070" t="e">
        <f ca="1">MINIFS(#REF!,#REF!,"&lt;&gt;0",#REF!,"&gt;="&amp;B350,#REF!,"&lt;="&amp;EOMONTH(B350,0))</f>
        <v>#NAME?</v>
      </c>
      <c r="I386" s="1069" t="e">
        <f ca="1">MAXIFS(#REF!,#REF!,"&lt;&gt;0",#REF!,"&gt;="&amp;B350,#REF!,"&lt;="&amp;EOMONTH(B350,0))</f>
        <v>#NAME?</v>
      </c>
      <c r="J386" s="1114" t="e">
        <f>COUNTIFS(#REF!,"&gt;="&amp;D386,#REF!,"&gt;="&amp;B351,#REF!,"&lt;="&amp;EOMONTH(B351,0))</f>
        <v>#REF!</v>
      </c>
      <c r="K386" s="1341" t="e">
        <f t="shared" si="173"/>
        <v>#REF!</v>
      </c>
      <c r="L386" s="1281"/>
      <c r="M386" s="1289"/>
      <c r="N386" s="1144">
        <f>Parametres!$L$43</f>
        <v>500</v>
      </c>
      <c r="O386" s="1077">
        <f>COUNTIFS('Degrémont Entrée'!$S$14:$S$379,"&gt;0",'Degrémont Entrée'!$A$14:$A$379,"&gt;="&amp;B350,'Degrémont Entrée'!$A$14:$A$379,"&lt;="&amp;EOMONTH(B350,0))</f>
        <v>20</v>
      </c>
      <c r="P386" s="1078">
        <f>SUMIFS('Degrémont Entrée'!$S$14:$S$379,'Degrémont Entrée'!$S$14:$S$379,"&lt;&gt;0",'Degrémont Entrée'!$A$14:$A$379,"&gt;="&amp;B350,'Degrémont Entrée'!$A$14:$A$379,"&lt;="&amp;EOMONTH(B350,0))</f>
        <v>12450</v>
      </c>
      <c r="Q386" s="1283">
        <f t="shared" si="170"/>
        <v>622.5</v>
      </c>
      <c r="R386" s="1286" t="e">
        <f ca="1">MINIFS('Degrémont Entrée'!$S$14:$S$379,'Degrémont Entrée'!$S$14:$S$379,"&lt;&gt;0",'Degrémont Entrée'!$A$14:$A$379,"&gt;="&amp;B350,'Degrémont Entrée'!$A$14:$A$379,"&lt;="&amp;EOMONTH(B350,0))</f>
        <v>#NAME?</v>
      </c>
      <c r="S386" s="1286" t="e">
        <f ca="1">MAXIFS('Degrémont Entrée'!$S$14:$S$379,'Degrémont Entrée'!$S$14:$S$379,"&lt;&gt;0",'Degrémont Entrée'!$A$14:$A$379,"&gt;="&amp;B350,'Degrémont Entrée'!$A$14:$A$379,"&lt;="&amp;EOMONTH(B350,0))</f>
        <v>#NAME?</v>
      </c>
      <c r="T386" s="1141">
        <f>COUNTIFS('Degrémont Entrée'!$S$14:$S$379,"&gt;="&amp;N386,'Degrémont Entrée'!$A$14:$A$379,"&gt;="&amp;B350,'Degrémont Entrée'!$A$14:$A$379,"&lt;="&amp;EOMONTH(B350,0))</f>
        <v>9</v>
      </c>
      <c r="U386" s="1081">
        <f t="shared" si="174"/>
        <v>0.45</v>
      </c>
      <c r="V386" s="1285"/>
      <c r="W386" s="1083">
        <f>Parametres!$T$43</f>
        <v>20</v>
      </c>
      <c r="X386" s="1142">
        <f>COUNTIFS('Degrémont sortie'!$M$14:$M$379,"&gt;0",'Degrémont sortie'!$A$14:$A$379,"&gt;="&amp;B350,'Degrémont sortie'!$A$14:$A$379,"&lt;="&amp;EOMONTH(B350,0))</f>
        <v>21</v>
      </c>
      <c r="Y386" s="1085">
        <f>SUMIFS('Degrémont sortie'!$M$14:$M$379,'Degrémont sortie'!$M$14:$M$379,"&lt;&gt;0",'Degrémont sortie'!$A$14:$A$379,"&gt;="&amp;B350,'Degrémont sortie'!$A$14:$A$379,"&lt;="&amp;EOMONTH(B350,0))</f>
        <v>52.680000000000014</v>
      </c>
      <c r="Z386" s="1069">
        <f t="shared" si="171"/>
        <v>2.5085714285714293</v>
      </c>
      <c r="AA386" s="1286" t="e">
        <f ca="1">MINIFS('Degrémont sortie'!$M$14:$M$379,'Degrémont sortie'!$M$14:$M$379,"&lt;&gt;0",'Degrémont sortie'!$A$14:$A$379,"&gt;="&amp;B350,'Degrémont sortie'!$A$14:$A$379,"&lt;="&amp;EOMONTH(B350,0))</f>
        <v>#NAME?</v>
      </c>
      <c r="AB386" s="1286" t="e">
        <f ca="1">MAXIFS('Degrémont sortie'!$M$14:$M$379,'Degrémont sortie'!$M$14:$M$379,"&lt;&gt;0",'Degrémont sortie'!$A$14:$A$379,"&gt;="&amp;B350,'Degrémont sortie'!$A$14:$A$379,"&lt;="&amp;EOMONTH(B350,0))</f>
        <v>#NAME?</v>
      </c>
      <c r="AC386" s="1141">
        <f>COUNTIFS('Degrémont sortie'!$M$14:$M$379,"&gt;="&amp;W386,'Degrémont sortie'!$A$14:$A$379,"&gt;="&amp;B350,'Degrémont sortie'!$A$14:$A$379,"&lt;="&amp;EOMONTH(B350,0))</f>
        <v>0</v>
      </c>
      <c r="AD386" s="1087">
        <f t="shared" si="175"/>
        <v>0</v>
      </c>
      <c r="AE386" s="1285"/>
      <c r="AF386" s="1293"/>
      <c r="AG386" s="1293"/>
      <c r="AH386" s="1293"/>
      <c r="AI386" s="1293"/>
      <c r="AJ386" s="1293"/>
      <c r="AK386" s="1285"/>
      <c r="AL386" s="1205" t="e">
        <f>COUNTIFS(#REF!,"&gt;0",#REF!,"&gt;="&amp;B350,#REF!,"&lt;="&amp;EOMONTH(B350,0))</f>
        <v>#REF!</v>
      </c>
      <c r="AM386" s="1208" t="e">
        <f>SUMIFS(#REF!,#REF!,"&lt;&gt;0",#REF!,"&gt;="&amp;B350,#REF!,"&lt;="&amp;EOMONTH(B350,0))</f>
        <v>#REF!</v>
      </c>
      <c r="AN386" s="1208" t="e">
        <f t="shared" ref="AN386:AN388" si="176">IF(AL386=0,0,AM386/AL386)</f>
        <v>#REF!</v>
      </c>
      <c r="AO386" s="1141" t="e">
        <f ca="1">MINIFS(#REF!,#REF!,"&lt;&gt;0",#REF!,"&gt;="&amp;B350,#REF!,"&lt;="&amp;EOMONTH(B350,0))</f>
        <v>#NAME?</v>
      </c>
      <c r="AP386" s="1141" t="e">
        <f ca="1">MAXIFS(#REF!,#REF!,"&lt;&gt;0",#REF!,"&gt;="&amp;B350,#REF!,"&lt;="&amp;EOMONTH(B350,0))</f>
        <v>#NAME?</v>
      </c>
      <c r="AQ386" s="1285"/>
      <c r="AR386" s="1293"/>
      <c r="AS386" s="1293"/>
      <c r="AT386" s="1293"/>
      <c r="AU386" s="1293"/>
      <c r="AV386" s="1293"/>
      <c r="AW386" s="1293"/>
      <c r="AX386" s="1294"/>
      <c r="AY386" s="1295"/>
      <c r="AZ386" s="1095" t="e">
        <f t="shared" si="172"/>
        <v>#REF!</v>
      </c>
      <c r="BA386" s="2"/>
    </row>
    <row r="387" spans="1:53" ht="15.75" hidden="1" customHeight="1" outlineLevel="1">
      <c r="A387" s="1027"/>
      <c r="B387" s="1096"/>
      <c r="C387" s="1139" t="s">
        <v>301</v>
      </c>
      <c r="D387" s="1102"/>
      <c r="E387" s="1069"/>
      <c r="F387" s="1069"/>
      <c r="G387" s="1069"/>
      <c r="H387" s="1069"/>
      <c r="I387" s="1069"/>
      <c r="J387" s="1102"/>
      <c r="K387" s="1102"/>
      <c r="L387" s="1281"/>
      <c r="M387" s="1289"/>
      <c r="N387" s="1290"/>
      <c r="O387" s="1290"/>
      <c r="P387" s="1286"/>
      <c r="Q387" s="1283"/>
      <c r="R387" s="1286"/>
      <c r="S387" s="1286"/>
      <c r="T387" s="1290"/>
      <c r="U387" s="1290"/>
      <c r="V387" s="1285"/>
      <c r="W387" s="1083">
        <f>Parametres!$T$44</f>
        <v>100000</v>
      </c>
      <c r="X387" s="1329">
        <f>COUNTIFS('Degrémont sortie'!$BA$14:$BA$379,"&gt;0",'Degrémont sortie'!$A$14:$A$379,"&gt;="&amp;B350,'Degrémont sortie'!$A$14:$A$379,"&lt;="&amp;EOMONTH(B350,0))</f>
        <v>20</v>
      </c>
      <c r="Y387" s="1286" t="e">
        <f>SUMIFS('Degrémont sortie'!$BA$14:$BA$379,'Degrémont sortie'!$BA$14:$BA$379,"&lt;&gt;0",'Degrémont sortie'!$A$14:$A$379,"&gt;="&amp;B350,'Degrémont sortie'!$A$14:$A$379,"&lt;="&amp;EOMONTH(B350,0))</f>
        <v>#DIV/0!</v>
      </c>
      <c r="Z387" s="1069" t="e">
        <f t="shared" si="171"/>
        <v>#DIV/0!</v>
      </c>
      <c r="AA387" s="1286" t="e">
        <f ca="1">MINIFS('Degrémont sortie'!$BA$14:$BA$379,'Degrémont sortie'!$BA$14:$BA$379,"&lt;&gt;0",'Degrémont sortie'!$A$14:$A$379,"&gt;="&amp;B350,'Degrémont sortie'!$A$14:$A$379,"&lt;="&amp;EOMONTH(B350,0))</f>
        <v>#NAME?</v>
      </c>
      <c r="AB387" s="1286" t="e">
        <f ca="1">MAXIFS('Degrémont sortie'!$BA$14:$BA$379,'Degrémont sortie'!$BA$14:$BA$379,"&lt;&gt;0",'Degrémont sortie'!$A$14:$A$379,"&gt;="&amp;B350,'Degrémont sortie'!$A$14:$A$379,"&lt;="&amp;EOMONTH(B350,0))</f>
        <v>#NAME?</v>
      </c>
      <c r="AC387" s="1213" t="s">
        <v>153</v>
      </c>
      <c r="AD387" s="1330" t="s">
        <v>153</v>
      </c>
      <c r="AE387" s="1285"/>
      <c r="AF387" s="1293"/>
      <c r="AG387" s="1293"/>
      <c r="AH387" s="1293"/>
      <c r="AI387" s="1293"/>
      <c r="AJ387" s="1293"/>
      <c r="AK387" s="1285"/>
      <c r="AL387" s="1205" t="e">
        <f>COUNTIFS(#REF!,"&gt;0",#REF!,"&gt;="&amp;B350,#REF!,"&lt;="&amp;EOMONTH(B350,0))</f>
        <v>#REF!</v>
      </c>
      <c r="AM387" s="1208" t="e">
        <f>SUMIFS(#REF!,#REF!,"&lt;&gt;0",#REF!,"&gt;="&amp;B350,#REF!,"&lt;="&amp;EOMONTH(B350,0))</f>
        <v>#REF!</v>
      </c>
      <c r="AN387" s="1208" t="e">
        <f t="shared" si="176"/>
        <v>#REF!</v>
      </c>
      <c r="AO387" s="1208" t="e">
        <f ca="1">MINIFS(#REF!,#REF!,"&lt;&gt;0",#REF!,"&gt;="&amp;B350,#REF!,"&lt;="&amp;EOMONTH(B350,0))</f>
        <v>#NAME?</v>
      </c>
      <c r="AP387" s="1208" t="e">
        <f ca="1">MAXIFS(#REF!,#REF!,"&lt;&gt;0",#REF!,"&gt;="&amp;B350,#REF!,"&lt;="&amp;EOMONTH(B350,0))</f>
        <v>#NAME?</v>
      </c>
      <c r="AQ387" s="1285"/>
      <c r="AR387" s="1293"/>
      <c r="AS387" s="1293"/>
      <c r="AT387" s="1293"/>
      <c r="AU387" s="1293"/>
      <c r="AV387" s="1293"/>
      <c r="AW387" s="1293"/>
      <c r="AX387" s="1294"/>
      <c r="AY387" s="1295"/>
      <c r="AZ387" s="1095" t="e">
        <f t="shared" si="172"/>
        <v>#REF!</v>
      </c>
      <c r="BA387" s="2"/>
    </row>
    <row r="388" spans="1:53" ht="15.75" hidden="1" customHeight="1" outlineLevel="1">
      <c r="A388" s="1027"/>
      <c r="B388" s="1096"/>
      <c r="C388" s="1139" t="s">
        <v>302</v>
      </c>
      <c r="D388" s="1102"/>
      <c r="E388" s="1069"/>
      <c r="F388" s="1069"/>
      <c r="G388" s="1069"/>
      <c r="H388" s="1069"/>
      <c r="I388" s="1069"/>
      <c r="J388" s="1102"/>
      <c r="K388" s="1102"/>
      <c r="L388" s="1281"/>
      <c r="M388" s="1289"/>
      <c r="N388" s="1290"/>
      <c r="O388" s="1290"/>
      <c r="P388" s="1286"/>
      <c r="Q388" s="1283"/>
      <c r="R388" s="1286"/>
      <c r="S388" s="1286"/>
      <c r="T388" s="1290"/>
      <c r="U388" s="1290"/>
      <c r="V388" s="1285"/>
      <c r="W388" s="1083">
        <f>Parametres!$T$45</f>
        <v>10000</v>
      </c>
      <c r="X388" s="1331">
        <f>COUNTIFS('Degrémont sortie'!BB$14:BB$379,"&gt;0",'Degrémont sortie'!$A$14:$A$379,"&gt;="&amp;B350,'Degrémont sortie'!$A$14:$A$379,"&lt;="&amp;EOMONTH(B350,0))</f>
        <v>20</v>
      </c>
      <c r="Y388" s="1286" t="e">
        <f>SUMIFS('Degrémont sortie'!$BB$14:$BB$379,'Degrémont sortie'!$BB$14:$BB$379,"&lt;&gt;0",'Degrémont sortie'!$A$14:$A$379,"&gt;="&amp;B350,'Degrémont sortie'!$A$14:$A$379,"&lt;="&amp;EOMONTH(B350,0))</f>
        <v>#DIV/0!</v>
      </c>
      <c r="Z388" s="1069" t="e">
        <f t="shared" si="171"/>
        <v>#DIV/0!</v>
      </c>
      <c r="AA388" s="1286" t="e">
        <f ca="1">MINIFS('Degrémont sortie'!$BB$14:$BB$379,'Degrémont sortie'!$BB$14:$BB$379,"&lt;&gt;0",'Degrémont sortie'!$A$14:$A$379,"&gt;="&amp;B350,'Degrémont sortie'!$A$14:$A$379,"&lt;="&amp;EOMONTH(B350,0))</f>
        <v>#NAME?</v>
      </c>
      <c r="AB388" s="1286" t="e">
        <f ca="1">MAXIFS('Degrémont sortie'!$BB$14:$BB$379,'Degrémont sortie'!$BB$14:$BB$379,"&lt;&gt;0",'Degrémont sortie'!$A$14:$A$379,"&gt;="&amp;B350,'Degrémont sortie'!$A$14:$A$379,"&lt;="&amp;EOMONTH(B350,0))</f>
        <v>#NAME?</v>
      </c>
      <c r="AC388" s="1213" t="s">
        <v>153</v>
      </c>
      <c r="AD388" s="1330" t="s">
        <v>153</v>
      </c>
      <c r="AE388" s="1285"/>
      <c r="AF388" s="1293"/>
      <c r="AG388" s="1293"/>
      <c r="AH388" s="1293"/>
      <c r="AI388" s="1293"/>
      <c r="AJ388" s="1293"/>
      <c r="AK388" s="1285"/>
      <c r="AL388" s="1205" t="e">
        <f>COUNTIFS(#REF!,"&gt;0",#REF!,"&gt;="&amp;B350,#REF!,"&lt;="&amp;EOMONTH(B350,0))</f>
        <v>#REF!</v>
      </c>
      <c r="AM388" s="1208" t="e">
        <f>SUMIFS(#REF!,#REF!,"&lt;&gt;0",#REF!,"&gt;="&amp;B350,#REF!,"&lt;="&amp;EOMONTH(B350,0))</f>
        <v>#REF!</v>
      </c>
      <c r="AN388" s="1208" t="e">
        <f t="shared" si="176"/>
        <v>#REF!</v>
      </c>
      <c r="AO388" s="1208" t="e">
        <f ca="1">MINIFS(#REF!,#REF!,"&lt;&gt;0",#REF!,"&gt;="&amp;B350,#REF!,"&lt;="&amp;EOMONTH(B350,0))</f>
        <v>#NAME?</v>
      </c>
      <c r="AP388" s="1208" t="e">
        <f ca="1">MAXIFS(#REF!,#REF!,"&lt;&gt;0",#REF!,"&gt;="&amp;B350,#REF!,"&lt;="&amp;EOMONTH(B350,0))</f>
        <v>#NAME?</v>
      </c>
      <c r="AQ388" s="1285"/>
      <c r="AR388" s="1293"/>
      <c r="AS388" s="1293"/>
      <c r="AT388" s="1293"/>
      <c r="AU388" s="1293"/>
      <c r="AV388" s="1293"/>
      <c r="AW388" s="1293"/>
      <c r="AX388" s="1294"/>
      <c r="AY388" s="1295"/>
      <c r="AZ388" s="1095" t="e">
        <f t="shared" si="172"/>
        <v>#REF!</v>
      </c>
      <c r="BA388" s="2"/>
    </row>
    <row r="389" spans="1:53" ht="15.75" hidden="1" customHeight="1" outlineLevel="1">
      <c r="A389" s="1027"/>
      <c r="B389" s="1096"/>
      <c r="C389" s="1139" t="s">
        <v>303</v>
      </c>
      <c r="D389" s="1102"/>
      <c r="E389" s="1069"/>
      <c r="F389" s="1069"/>
      <c r="G389" s="1069"/>
      <c r="H389" s="1069"/>
      <c r="I389" s="1069"/>
      <c r="J389" s="1102"/>
      <c r="K389" s="1102"/>
      <c r="L389" s="1281"/>
      <c r="M389" s="1289"/>
      <c r="N389" s="1290"/>
      <c r="O389" s="1290"/>
      <c r="P389" s="1286"/>
      <c r="Q389" s="1283"/>
      <c r="R389" s="1286"/>
      <c r="S389" s="1286"/>
      <c r="T389" s="1290"/>
      <c r="U389" s="1290"/>
      <c r="V389" s="1285"/>
      <c r="W389" s="1083">
        <f>Parametres!$T$46</f>
        <v>10000</v>
      </c>
      <c r="X389" s="1142">
        <f>COUNTIFS('Degrémont sortie'!$BC$14:$BC$379,"&gt;0",'Degrémont sortie'!$A$14:$A$379,"&gt;="&amp;B350,'Degrémont sortie'!$A$14:$A$379,"&lt;="&amp;EOMONTH(B350,0))</f>
        <v>20</v>
      </c>
      <c r="Y389" s="1085">
        <f>SUMIFS('Degrémont sortie'!$BC$14:$BC$379,'Degrémont sortie'!$BC$14:$BC$379,"&lt;&gt;0",'Degrémont sortie'!$A$14:$A$379,"&gt;="&amp;B350,'Degrémont sortie'!$A$14:$A$379,"&lt;="&amp;EOMONTH(B350,0))</f>
        <v>1992.3427075917132</v>
      </c>
      <c r="Z389" s="1069">
        <f t="shared" si="171"/>
        <v>99.617135379585662</v>
      </c>
      <c r="AA389" s="1286" t="e">
        <f ca="1">MINIFS('Degrémont sortie'!$BC$14:$BC$379,'Degrémont sortie'!$BC$14:$BC$379,"&lt;&gt;0",'Degrémont sortie'!$A$14:$A$379,"&gt;="&amp;B350,'Degrémont sortie'!$A$14:$A$379,"&lt;="&amp;EOMONTH(B350,0))</f>
        <v>#NAME?</v>
      </c>
      <c r="AB389" s="1286" t="e">
        <f ca="1">MAXIFS('Degrémont sortie'!$BC$14:$BC$379,'Degrémont sortie'!$BC$14:$BC$379,"&lt;&gt;0",'Degrémont sortie'!$A$14:$A$379,"&gt;="&amp;B350,'Degrémont sortie'!$A$14:$A$379,"&lt;="&amp;EOMONTH(B350,0))</f>
        <v>#NAME?</v>
      </c>
      <c r="AC389" s="1291" t="s">
        <v>153</v>
      </c>
      <c r="AD389" s="1292" t="s">
        <v>153</v>
      </c>
      <c r="AE389" s="1285"/>
      <c r="AF389" s="1293"/>
      <c r="AG389" s="1293"/>
      <c r="AH389" s="1293"/>
      <c r="AI389" s="1293"/>
      <c r="AJ389" s="1293"/>
      <c r="AK389" s="1285"/>
      <c r="AL389" s="1293"/>
      <c r="AM389" s="1293"/>
      <c r="AN389" s="1293"/>
      <c r="AO389" s="1293"/>
      <c r="AP389" s="1293"/>
      <c r="AQ389" s="1285"/>
      <c r="AR389" s="1293"/>
      <c r="AS389" s="1293"/>
      <c r="AT389" s="1293"/>
      <c r="AU389" s="1293"/>
      <c r="AV389" s="1293"/>
      <c r="AW389" s="1293"/>
      <c r="AX389" s="1294"/>
      <c r="AY389" s="1295"/>
      <c r="AZ389" s="1095">
        <f t="shared" si="172"/>
        <v>20</v>
      </c>
      <c r="BA389" s="2"/>
    </row>
    <row r="390" spans="1:53" ht="15.75" hidden="1" customHeight="1" outlineLevel="1">
      <c r="A390" s="1027"/>
      <c r="B390" s="1096"/>
      <c r="C390" s="1139" t="s">
        <v>338</v>
      </c>
      <c r="D390" s="1102"/>
      <c r="E390" s="1069"/>
      <c r="F390" s="1069"/>
      <c r="G390" s="1069"/>
      <c r="H390" s="1069"/>
      <c r="I390" s="1069"/>
      <c r="J390" s="1102"/>
      <c r="K390" s="1102"/>
      <c r="L390" s="1281"/>
      <c r="M390" s="1289"/>
      <c r="N390" s="1290"/>
      <c r="O390" s="1290"/>
      <c r="P390" s="1286"/>
      <c r="Q390" s="1283"/>
      <c r="R390" s="1286"/>
      <c r="S390" s="1286"/>
      <c r="T390" s="1290"/>
      <c r="U390" s="1290"/>
      <c r="V390" s="1285"/>
      <c r="W390" s="1293"/>
      <c r="X390" s="1293"/>
      <c r="Y390" s="1286"/>
      <c r="Z390" s="1286"/>
      <c r="AA390" s="1286"/>
      <c r="AB390" s="1286"/>
      <c r="AC390" s="1293"/>
      <c r="AD390" s="1249"/>
      <c r="AE390" s="1285"/>
      <c r="AF390" s="1293"/>
      <c r="AG390" s="1293"/>
      <c r="AH390" s="1293"/>
      <c r="AI390" s="1293"/>
      <c r="AJ390" s="1293"/>
      <c r="AK390" s="1285"/>
      <c r="AL390" s="1293"/>
      <c r="AM390" s="1293"/>
      <c r="AN390" s="1293"/>
      <c r="AO390" s="1293"/>
      <c r="AP390" s="1293"/>
      <c r="AQ390" s="1285"/>
      <c r="AR390" s="1293"/>
      <c r="AS390" s="1293"/>
      <c r="AT390" s="1293"/>
      <c r="AU390" s="1293"/>
      <c r="AV390" s="1293"/>
      <c r="AW390" s="1293"/>
      <c r="AX390" s="1294"/>
      <c r="AY390" s="1295"/>
      <c r="AZ390" s="1095">
        <f t="shared" si="172"/>
        <v>0</v>
      </c>
      <c r="BA390" s="2"/>
    </row>
    <row r="391" spans="1:53" ht="15.75" hidden="1" customHeight="1" outlineLevel="1">
      <c r="A391" s="1027"/>
      <c r="B391" s="1096"/>
      <c r="C391" s="1139" t="s">
        <v>339</v>
      </c>
      <c r="D391" s="1122">
        <f>Parametres!$D$48</f>
        <v>30</v>
      </c>
      <c r="E391" s="1068" t="e">
        <f>COUNTIFS(#REF!,"&gt;0",#REF!,"&gt;="&amp;B350,#REF!,"&lt;="&amp;EOMONTH(B350,0))</f>
        <v>#REF!</v>
      </c>
      <c r="F391" s="1069" t="e">
        <f>SUMIFS(#REF!,#REF!,"&lt;&gt;0",#REF!,"&gt;="&amp;B350,#REF!,"&lt;="&amp;EOMONTH(B350,0))</f>
        <v>#REF!</v>
      </c>
      <c r="G391" s="1069" t="e">
        <f t="shared" ref="G391:G395" si="177">IF(E391=0,0,F391/E391)</f>
        <v>#REF!</v>
      </c>
      <c r="H391" s="1069" t="e">
        <f ca="1">MINIFS(#REF!,#REF!,"&lt;&gt;0",#REF!,"&gt;="&amp;B350,#REF!,"&lt;="&amp;EOMONTH(B350,0))</f>
        <v>#NAME?</v>
      </c>
      <c r="I391" s="1069" t="e">
        <f ca="1">MAXIFS(#REF!,#REF!,"&lt;&gt;0",#REF!,"&gt;="&amp;B350,#REF!,"&lt;="&amp;EOMONTH(B350,0))</f>
        <v>#NAME?</v>
      </c>
      <c r="J391" s="1114" t="e">
        <f>COUNTIFS(#REF!,"&gt;="&amp;D391,#REF!,"&gt;="&amp;B350,#REF!,"&lt;="&amp;EOMONTH(B350,0))</f>
        <v>#REF!</v>
      </c>
      <c r="K391" s="1341" t="e">
        <f t="shared" ref="K391:K395" si="178">J391/E391</f>
        <v>#REF!</v>
      </c>
      <c r="L391" s="1281"/>
      <c r="M391" s="1289"/>
      <c r="N391" s="1290"/>
      <c r="O391" s="1290"/>
      <c r="P391" s="1286"/>
      <c r="Q391" s="1283"/>
      <c r="R391" s="1286"/>
      <c r="S391" s="1286"/>
      <c r="T391" s="1290"/>
      <c r="U391" s="1290"/>
      <c r="V391" s="1285"/>
      <c r="W391" s="1293"/>
      <c r="X391" s="1293"/>
      <c r="Y391" s="1286"/>
      <c r="Z391" s="1286"/>
      <c r="AA391" s="1286"/>
      <c r="AB391" s="1286"/>
      <c r="AC391" s="1293"/>
      <c r="AD391" s="1249"/>
      <c r="AE391" s="1285"/>
      <c r="AF391" s="1293"/>
      <c r="AG391" s="1293"/>
      <c r="AH391" s="1293"/>
      <c r="AI391" s="1293"/>
      <c r="AJ391" s="1293"/>
      <c r="AK391" s="1285"/>
      <c r="AL391" s="1293"/>
      <c r="AM391" s="1293"/>
      <c r="AN391" s="1293"/>
      <c r="AO391" s="1293"/>
      <c r="AP391" s="1293"/>
      <c r="AQ391" s="1285"/>
      <c r="AR391" s="1293"/>
      <c r="AS391" s="1293"/>
      <c r="AT391" s="1293"/>
      <c r="AU391" s="1293"/>
      <c r="AV391" s="1293"/>
      <c r="AW391" s="1293"/>
      <c r="AX391" s="1294"/>
      <c r="AY391" s="1295"/>
      <c r="AZ391" s="1095" t="e">
        <f t="shared" si="172"/>
        <v>#REF!</v>
      </c>
      <c r="BA391" s="2"/>
    </row>
    <row r="392" spans="1:53" ht="15.75" hidden="1" customHeight="1" outlineLevel="1">
      <c r="A392" s="1027"/>
      <c r="B392" s="1096"/>
      <c r="C392" s="1302" t="s">
        <v>24</v>
      </c>
      <c r="D392" s="1122">
        <f>Parametres!$D$50</f>
        <v>4</v>
      </c>
      <c r="E392" s="1068" t="e">
        <f>COUNTIFS(#REF!,"&gt;0",#REF!,"&gt;="&amp;B350,#REF!,"&lt;="&amp;EOMONTH(B350,0))</f>
        <v>#REF!</v>
      </c>
      <c r="F392" s="1069" t="e">
        <f>SUMIFS(#REF!,#REF!,"&lt;&gt;0",#REF!,"&gt;="&amp;B350,#REF!,"&lt;="&amp;EOMONTH(B350,0))</f>
        <v>#REF!</v>
      </c>
      <c r="G392" s="1069" t="e">
        <f t="shared" si="177"/>
        <v>#REF!</v>
      </c>
      <c r="H392" s="1069" t="e">
        <f ca="1">MINIFS(#REF!,#REF!,"&lt;&gt;0",#REF!,"&gt;="&amp;B350,#REF!,"&lt;="&amp;EOMONTH(B350,0))</f>
        <v>#NAME?</v>
      </c>
      <c r="I392" s="1069" t="e">
        <f ca="1">MAXIFS(#REF!,#REF!,"&lt;&gt;0",#REF!,"&gt;="&amp;B350,#REF!,"&lt;="&amp;EOMONTH(B350,0))</f>
        <v>#NAME?</v>
      </c>
      <c r="J392" s="1114" t="e">
        <f>COUNTIFS(#REF!,"&gt;="&amp;D392,#REF!,"&gt;="&amp;B350,#REF!,"&lt;="&amp;EOMONTH(B350,0))</f>
        <v>#REF!</v>
      </c>
      <c r="K392" s="1341" t="e">
        <f t="shared" si="178"/>
        <v>#REF!</v>
      </c>
      <c r="L392" s="1281"/>
      <c r="M392" s="1289"/>
      <c r="N392" s="1290"/>
      <c r="O392" s="1290"/>
      <c r="P392" s="1286"/>
      <c r="Q392" s="1283"/>
      <c r="R392" s="1286"/>
      <c r="S392" s="1286"/>
      <c r="T392" s="1290"/>
      <c r="U392" s="1290"/>
      <c r="V392" s="1285"/>
      <c r="W392" s="1293"/>
      <c r="X392" s="1293"/>
      <c r="Y392" s="1286"/>
      <c r="Z392" s="1286"/>
      <c r="AA392" s="1286"/>
      <c r="AB392" s="1286"/>
      <c r="AC392" s="1293"/>
      <c r="AD392" s="1249"/>
      <c r="AE392" s="1285"/>
      <c r="AF392" s="1293"/>
      <c r="AG392" s="1293"/>
      <c r="AH392" s="1293"/>
      <c r="AI392" s="1293"/>
      <c r="AJ392" s="1293"/>
      <c r="AK392" s="1285"/>
      <c r="AL392" s="1293"/>
      <c r="AM392" s="1293"/>
      <c r="AN392" s="1293"/>
      <c r="AO392" s="1293"/>
      <c r="AP392" s="1293"/>
      <c r="AQ392" s="1285"/>
      <c r="AR392" s="1293"/>
      <c r="AS392" s="1293"/>
      <c r="AT392" s="1293"/>
      <c r="AU392" s="1293"/>
      <c r="AV392" s="1293"/>
      <c r="AW392" s="1293"/>
      <c r="AX392" s="1294"/>
      <c r="AY392" s="1295"/>
      <c r="AZ392" s="1095" t="e">
        <f t="shared" si="172"/>
        <v>#REF!</v>
      </c>
      <c r="BA392" s="2"/>
    </row>
    <row r="393" spans="1:53" ht="15.75" hidden="1" customHeight="1" outlineLevel="1">
      <c r="A393" s="1027"/>
      <c r="B393" s="1096"/>
      <c r="C393" s="1302" t="s">
        <v>168</v>
      </c>
      <c r="D393" s="1122" t="e">
        <f>#REF!</f>
        <v>#REF!</v>
      </c>
      <c r="E393" s="1068" t="e">
        <f>COUNTIFS(#REF!,"&gt;0",#REF!,"&gt;="&amp;B350,#REF!,"&lt;="&amp;EOMONTH(B350,0))</f>
        <v>#REF!</v>
      </c>
      <c r="F393" s="1069" t="e">
        <f>SUMIFS(#REF!,#REF!,"&lt;&gt;0",#REF!,"&gt;="&amp;B350,#REF!,"&lt;="&amp;EOMONTH(B350,0))</f>
        <v>#REF!</v>
      </c>
      <c r="G393" s="1069" t="e">
        <f t="shared" si="177"/>
        <v>#REF!</v>
      </c>
      <c r="H393" s="1069" t="e">
        <f ca="1">MINIFS(#REF!,#REF!,"&lt;&gt;0",#REF!,"&gt;="&amp;B350,#REF!,"&lt;="&amp;EOMONTH(B350,0))</f>
        <v>#NAME?</v>
      </c>
      <c r="I393" s="1069" t="e">
        <f ca="1">MAXIFS(#REF!,#REF!,"&lt;&gt;0",#REF!,"&gt;="&amp;B350,#REF!,"&lt;="&amp;EOMONTH(B350,0))</f>
        <v>#NAME?</v>
      </c>
      <c r="J393" s="1072" t="e">
        <f>COUNTIFS(#REF!,"&gt;="&amp;D393,#REF!,"&gt;="&amp;B350,#REF!,"&lt;="&amp;EOMONTH(B350,0))</f>
        <v>#REF!</v>
      </c>
      <c r="K393" s="1341" t="e">
        <f t="shared" si="178"/>
        <v>#REF!</v>
      </c>
      <c r="L393" s="1281"/>
      <c r="M393" s="1289"/>
      <c r="N393" s="1290"/>
      <c r="O393" s="1290"/>
      <c r="P393" s="1286"/>
      <c r="Q393" s="1283"/>
      <c r="R393" s="1286"/>
      <c r="S393" s="1286"/>
      <c r="T393" s="1290"/>
      <c r="U393" s="1290"/>
      <c r="V393" s="1285"/>
      <c r="W393" s="1293"/>
      <c r="X393" s="1293"/>
      <c r="Y393" s="1286"/>
      <c r="Z393" s="1286"/>
      <c r="AA393" s="1286"/>
      <c r="AB393" s="1286"/>
      <c r="AC393" s="1293"/>
      <c r="AD393" s="1249"/>
      <c r="AE393" s="1285"/>
      <c r="AF393" s="1293"/>
      <c r="AG393" s="1293"/>
      <c r="AH393" s="1293"/>
      <c r="AI393" s="1293"/>
      <c r="AJ393" s="1293"/>
      <c r="AK393" s="1285"/>
      <c r="AL393" s="1293"/>
      <c r="AM393" s="1293"/>
      <c r="AN393" s="1293"/>
      <c r="AO393" s="1293"/>
      <c r="AP393" s="1293"/>
      <c r="AQ393" s="1285"/>
      <c r="AR393" s="1293"/>
      <c r="AS393" s="1293"/>
      <c r="AT393" s="1293"/>
      <c r="AU393" s="1293"/>
      <c r="AV393" s="1293"/>
      <c r="AW393" s="1293"/>
      <c r="AX393" s="1294"/>
      <c r="AY393" s="1295"/>
      <c r="AZ393" s="1095" t="e">
        <f t="shared" si="172"/>
        <v>#REF!</v>
      </c>
      <c r="BA393" s="2"/>
    </row>
    <row r="394" spans="1:53" ht="15.75" hidden="1" customHeight="1" outlineLevel="1">
      <c r="A394" s="1027"/>
      <c r="B394" s="1096"/>
      <c r="C394" s="1302" t="s">
        <v>25</v>
      </c>
      <c r="D394" s="1122">
        <f>Parametres!$D$51</f>
        <v>1.5</v>
      </c>
      <c r="E394" s="1068" t="e">
        <f>COUNTIFS(#REF!,"&gt;0",#REF!,"&gt;="&amp;B350,#REF!,"&lt;="&amp;EOMONTH(B350,0))</f>
        <v>#REF!</v>
      </c>
      <c r="F394" s="1069" t="e">
        <f>SUMIFS(#REF!,#REF!,"&lt;&gt;0",#REF!,"&gt;="&amp;B350,#REF!,"&lt;="&amp;EOMONTH(B350,0))</f>
        <v>#REF!</v>
      </c>
      <c r="G394" s="1069" t="e">
        <f t="shared" si="177"/>
        <v>#REF!</v>
      </c>
      <c r="H394" s="1069" t="e">
        <f ca="1">MINIFS(#REF!,#REF!,"&lt;&gt;0",#REF!,"&gt;="&amp;B350,#REF!,"&lt;="&amp;EOMONTH(B350,0))</f>
        <v>#NAME?</v>
      </c>
      <c r="I394" s="1069" t="e">
        <f ca="1">MAXIFS(#REF!,#REF!,"&lt;&gt;0",#REF!,"&gt;="&amp;B350,#REF!,"&lt;="&amp;EOMONTH(B350,0))</f>
        <v>#NAME?</v>
      </c>
      <c r="J394" s="1114" t="e">
        <f>COUNTIFS(#REF!,"&gt;="&amp;D394,#REF!,"&gt;="&amp;B350,#REF!,"&lt;="&amp;EOMONTH(B350,0))</f>
        <v>#REF!</v>
      </c>
      <c r="K394" s="1341" t="e">
        <f t="shared" si="178"/>
        <v>#REF!</v>
      </c>
      <c r="L394" s="1281"/>
      <c r="M394" s="1289"/>
      <c r="N394" s="1290"/>
      <c r="O394" s="1290"/>
      <c r="P394" s="1286"/>
      <c r="Q394" s="1283"/>
      <c r="R394" s="1286"/>
      <c r="S394" s="1286"/>
      <c r="T394" s="1290"/>
      <c r="U394" s="1290"/>
      <c r="V394" s="1285"/>
      <c r="W394" s="1293"/>
      <c r="X394" s="1293"/>
      <c r="Y394" s="1286"/>
      <c r="Z394" s="1286"/>
      <c r="AA394" s="1286"/>
      <c r="AB394" s="1286"/>
      <c r="AC394" s="1293"/>
      <c r="AD394" s="1249"/>
      <c r="AE394" s="1285"/>
      <c r="AF394" s="1293"/>
      <c r="AG394" s="1293"/>
      <c r="AH394" s="1293"/>
      <c r="AI394" s="1293"/>
      <c r="AJ394" s="1293"/>
      <c r="AK394" s="1285"/>
      <c r="AL394" s="1293"/>
      <c r="AM394" s="1293"/>
      <c r="AN394" s="1293"/>
      <c r="AO394" s="1293"/>
      <c r="AP394" s="1293"/>
      <c r="AQ394" s="1285"/>
      <c r="AR394" s="1293"/>
      <c r="AS394" s="1293"/>
      <c r="AT394" s="1293"/>
      <c r="AU394" s="1293"/>
      <c r="AV394" s="1293"/>
      <c r="AW394" s="1293"/>
      <c r="AX394" s="1294"/>
      <c r="AY394" s="1295"/>
      <c r="AZ394" s="1095" t="e">
        <f t="shared" si="172"/>
        <v>#REF!</v>
      </c>
      <c r="BA394" s="2"/>
    </row>
    <row r="395" spans="1:53" ht="15.75" hidden="1" customHeight="1" outlineLevel="1">
      <c r="A395" s="1027"/>
      <c r="B395" s="1332"/>
      <c r="C395" s="1139" t="s">
        <v>47</v>
      </c>
      <c r="D395" s="1122">
        <f>Parametres!$D$52</f>
        <v>2</v>
      </c>
      <c r="E395" s="1068" t="e">
        <f>COUNTIFS(#REF!,"&gt;0",#REF!,"&gt;="&amp;B350,#REF!,"&lt;="&amp;EOMONTH(B350,0))</f>
        <v>#REF!</v>
      </c>
      <c r="F395" s="1069" t="e">
        <f>SUMIFS(#REF!,#REF!,"&lt;&gt;0",#REF!,"&gt;="&amp;B350,#REF!,"&lt;="&amp;EOMONTH(B350,0))</f>
        <v>#REF!</v>
      </c>
      <c r="G395" s="1069" t="e">
        <f t="shared" si="177"/>
        <v>#REF!</v>
      </c>
      <c r="H395" s="1069" t="e">
        <f ca="1">MINIFS(#REF!,#REF!,"&lt;&gt;0",#REF!,"&gt;="&amp;B350,#REF!,"&lt;="&amp;EOMONTH(B350,0))</f>
        <v>#NAME?</v>
      </c>
      <c r="I395" s="1069" t="e">
        <f ca="1">MAXIFS(#REF!,#REF!,"&lt;&gt;0",#REF!,"&gt;="&amp;B350,#REF!,"&lt;="&amp;EOMONTH(B350,0))</f>
        <v>#NAME?</v>
      </c>
      <c r="J395" s="1072" t="e">
        <f>COUNTIFS(#REF!,"&gt;="&amp;D395,#REF!,"&gt;="&amp;B350,#REF!,"&lt;="&amp;EOMONTH(B350,0))</f>
        <v>#REF!</v>
      </c>
      <c r="K395" s="1341" t="e">
        <f t="shared" si="178"/>
        <v>#REF!</v>
      </c>
      <c r="L395" s="1281"/>
      <c r="M395" s="1289"/>
      <c r="N395" s="1144">
        <f>Parametres!$L$52</f>
        <v>90</v>
      </c>
      <c r="O395" s="1077">
        <f>COUNTIFS('Degrémont Entrée'!$AY$14:$AY$379,"&gt;0",'Degrémont Entrée'!$A$14:$A$379,"&gt;="&amp;B350,'Degrémont Entrée'!$A$14:$A$379,"&lt;="&amp;EOMONTH(B350,0))</f>
        <v>4</v>
      </c>
      <c r="P395" s="1078">
        <f>SUMIFS('Degrémont Entrée'!$AY$14:$AY$379,'Degrémont Entrée'!$AY$14:$AY$379,"&lt;&gt;0",'Degrémont Entrée'!$A$14:$A$379,"&gt;="&amp;B350,'Degrémont Entrée'!$A$14:$A$379,"&lt;="&amp;EOMONTH(B350,0))</f>
        <v>1304.69</v>
      </c>
      <c r="Q395" s="1283">
        <f>IF(O395=0,0,P395/O395)</f>
        <v>326.17250000000001</v>
      </c>
      <c r="R395" s="1286" t="e">
        <f ca="1">MINIFS('Degrémont Entrée'!$AY$14:$AY$379,'Degrémont Entrée'!$AY$14:$AY$379,"&lt;&gt;0",'Degrémont Entrée'!$A$14:$A$379,"&gt;="&amp;B350,'Degrémont Entrée'!$A$14:$A$379,"&lt;="&amp;EOMONTH(B350,0))</f>
        <v>#NAME?</v>
      </c>
      <c r="S395" s="1286" t="e">
        <f ca="1">MAXIFS('Degrémont Entrée'!$AY$14:$AY$379,'Degrémont Entrée'!$AY$14:$AY$379,"&lt;&gt;0",'Degrémont Entrée'!$A$14:$A$379,"&gt;="&amp;B350,'Degrémont Entrée'!$A$14:$A$379,"&lt;="&amp;EOMONTH(B350,0))</f>
        <v>#NAME?</v>
      </c>
      <c r="T395" s="1141">
        <f>COUNTIFS('Degrémont Entrée'!$AY$14:$AY$379,"&gt;="&amp;N395,'Degrémont Entrée'!$A$14:$A$379,"&gt;="&amp;B350,'Degrémont Entrée'!$A$14:$A$379,"&lt;="&amp;EOMONTH(B350,0))</f>
        <v>4</v>
      </c>
      <c r="U395" s="1081">
        <f>T395/O395</f>
        <v>1</v>
      </c>
      <c r="V395" s="1285"/>
      <c r="W395" s="1083">
        <f>Parametres!$T$52</f>
        <v>0.64</v>
      </c>
      <c r="X395" s="1142">
        <f>COUNTIFS('Degrémont sortie'!$AS$14:$AS$379,"&gt;0",'Degrémont sortie'!$A$14:$A$379,"&gt;="&amp;B350,'Degrémont sortie'!$A$14:$A$379,"&lt;="&amp;EOMONTH(B350,0))</f>
        <v>4</v>
      </c>
      <c r="Y395" s="1085">
        <f>SUMIFS('Degrémont sortie'!$AS$14:$AS$379,'Degrémont sortie'!$AS$14:$AS$379,"&lt;&gt;0",'Degrémont sortie'!$A$14:$A$379,"&gt;="&amp;B350,'Degrémont sortie'!$A$14:$A$379,"&lt;="&amp;EOMONTH(B350,0))</f>
        <v>8.2000000000000011</v>
      </c>
      <c r="Z395" s="1069">
        <f>IF(X395=0,0,Y395/X395)</f>
        <v>2.0500000000000003</v>
      </c>
      <c r="AA395" s="1286" t="e">
        <f ca="1">MINIFS('Degrémont sortie'!$AS$14:$AS$379,'Degrémont sortie'!$AS$14:$AS$379,"&lt;&gt;0",'Degrémont sortie'!$A$14:$A$379,"&gt;="&amp;B350,'Degrémont sortie'!$A$14:$A$379,"&lt;="&amp;EOMONTH(B350,0))</f>
        <v>#NAME?</v>
      </c>
      <c r="AB395" s="1286" t="e">
        <f ca="1">MAXIFS('Degrémont sortie'!$AS$14:$AS$379,'Degrémont sortie'!$AS$14:$AS$379,"&lt;&gt;0",'Degrémont sortie'!$A$14:$A$379,"&gt;="&amp;B350,'Degrémont sortie'!$A$14:$A$379,"&lt;="&amp;EOMONTH(B350,0))</f>
        <v>#NAME?</v>
      </c>
      <c r="AC395" s="1141">
        <f>COUNTIFS('Degrémont sortie'!$AS$14:$AS$379,"&gt;="&amp;W395,'Degrémont sortie'!$A$14:$A$379,"&gt;="&amp;B350,'Degrémont sortie'!$A$14:$A$379,"&lt;="&amp;EOMONTH(B350,0))</f>
        <v>3</v>
      </c>
      <c r="AD395" s="1087">
        <f>AC395/X395</f>
        <v>0.75</v>
      </c>
      <c r="AE395" s="1285"/>
      <c r="AF395" s="1293"/>
      <c r="AG395" s="1293"/>
      <c r="AH395" s="1293"/>
      <c r="AI395" s="1293"/>
      <c r="AJ395" s="1293"/>
      <c r="AK395" s="1285"/>
      <c r="AL395" s="1293"/>
      <c r="AM395" s="1293"/>
      <c r="AN395" s="1293"/>
      <c r="AO395" s="1293"/>
      <c r="AP395" s="1293"/>
      <c r="AQ395" s="1285"/>
      <c r="AR395" s="1293"/>
      <c r="AS395" s="1293"/>
      <c r="AT395" s="1293"/>
      <c r="AU395" s="1293"/>
      <c r="AV395" s="1293"/>
      <c r="AW395" s="1293"/>
      <c r="AX395" s="1294"/>
      <c r="AY395" s="1295"/>
      <c r="AZ395" s="1095" t="e">
        <f t="shared" si="172"/>
        <v>#REF!</v>
      </c>
      <c r="BA395" s="2"/>
    </row>
    <row r="396" spans="1:53" ht="15.75" customHeight="1" collapsed="1">
      <c r="A396" s="1027"/>
      <c r="B396" s="1370"/>
      <c r="C396" s="13"/>
      <c r="D396" s="1371"/>
      <c r="E396" s="1357"/>
      <c r="F396" s="1358"/>
      <c r="G396" s="1358"/>
      <c r="H396" s="1358"/>
      <c r="I396" s="1358"/>
      <c r="J396" s="1076"/>
      <c r="K396" s="1076"/>
      <c r="L396" s="1076"/>
      <c r="M396" s="1289"/>
      <c r="N396" s="1076"/>
      <c r="O396" s="1076"/>
      <c r="P396" s="1358"/>
      <c r="Q396" s="1358"/>
      <c r="R396" s="1364"/>
      <c r="S396" s="1364"/>
      <c r="T396" s="13"/>
      <c r="U396" s="13"/>
      <c r="V396" s="1289"/>
      <c r="W396" s="1076"/>
      <c r="X396" s="1076"/>
      <c r="Y396" s="1358"/>
      <c r="Z396" s="1358"/>
      <c r="AA396" s="1364"/>
      <c r="AB396" s="1364"/>
      <c r="AC396" s="13"/>
      <c r="AD396" s="13"/>
      <c r="AE396" s="1289"/>
      <c r="AF396" s="1372"/>
      <c r="AG396" s="1372"/>
      <c r="AH396" s="1372"/>
      <c r="AI396" s="1372"/>
      <c r="AJ396" s="1372"/>
      <c r="AK396" s="1289"/>
      <c r="AL396" s="1372"/>
      <c r="AM396" s="1372"/>
      <c r="AN396" s="1372"/>
      <c r="AO396" s="1372"/>
      <c r="AP396" s="1372"/>
      <c r="AQ396" s="1289"/>
      <c r="AR396" s="1372"/>
      <c r="AS396" s="1372"/>
      <c r="AT396" s="1372"/>
      <c r="AU396" s="1372"/>
      <c r="AV396" s="1372"/>
      <c r="AW396" s="1372"/>
      <c r="AX396" s="1372"/>
      <c r="AY396" s="1372"/>
      <c r="AZ396" s="1095"/>
      <c r="BA396" s="2"/>
    </row>
    <row r="397" spans="1:53" ht="15.75" hidden="1" customHeight="1" outlineLevel="1">
      <c r="A397" s="1027"/>
      <c r="B397" s="1033"/>
      <c r="C397" s="2"/>
      <c r="D397" s="1039"/>
      <c r="E397" s="1555" t="s">
        <v>283</v>
      </c>
      <c r="F397" s="1420"/>
      <c r="G397" s="1420"/>
      <c r="H397" s="1420"/>
      <c r="I397" s="1420"/>
      <c r="J397" s="1420"/>
      <c r="K397" s="1420"/>
      <c r="L397" s="1421"/>
      <c r="M397" s="1045"/>
      <c r="N397" s="1333"/>
      <c r="O397" s="1550" t="s">
        <v>288</v>
      </c>
      <c r="P397" s="1420"/>
      <c r="Q397" s="1420"/>
      <c r="R397" s="1420"/>
      <c r="S397" s="1420"/>
      <c r="T397" s="1421"/>
      <c r="U397" s="1334"/>
      <c r="V397" s="1046"/>
      <c r="W397" s="1335"/>
      <c r="X397" s="1549" t="s">
        <v>289</v>
      </c>
      <c r="Y397" s="1517"/>
      <c r="Z397" s="1517"/>
      <c r="AA397" s="1517"/>
      <c r="AB397" s="1517"/>
      <c r="AC397" s="1514"/>
      <c r="AD397" s="1335"/>
      <c r="AE397" s="1046"/>
      <c r="AF397" s="1549" t="s">
        <v>199</v>
      </c>
      <c r="AG397" s="1517"/>
      <c r="AH397" s="1517"/>
      <c r="AI397" s="1517"/>
      <c r="AJ397" s="1514"/>
      <c r="AK397" s="1046"/>
      <c r="AL397" s="1549" t="s">
        <v>200</v>
      </c>
      <c r="AM397" s="1517"/>
      <c r="AN397" s="1517"/>
      <c r="AO397" s="1517"/>
      <c r="AP397" s="1514"/>
      <c r="AQ397" s="1046"/>
      <c r="AR397" s="1335"/>
      <c r="AS397" s="1549" t="s">
        <v>290</v>
      </c>
      <c r="AT397" s="1517"/>
      <c r="AU397" s="1517"/>
      <c r="AV397" s="1517"/>
      <c r="AW397" s="1517"/>
      <c r="AX397" s="1514"/>
      <c r="AY397" s="1027"/>
      <c r="AZ397" s="2"/>
      <c r="BA397" s="2"/>
    </row>
    <row r="398" spans="1:53" ht="15.75" hidden="1" customHeight="1" outlineLevel="1">
      <c r="A398" s="1027"/>
      <c r="B398" s="1033"/>
      <c r="C398" s="2"/>
      <c r="D398" s="1343" t="s">
        <v>344</v>
      </c>
      <c r="E398" s="1048" t="s">
        <v>292</v>
      </c>
      <c r="F398" s="1049" t="s">
        <v>293</v>
      </c>
      <c r="G398" s="1050" t="s">
        <v>294</v>
      </c>
      <c r="H398" s="1049" t="s">
        <v>295</v>
      </c>
      <c r="I398" s="1051" t="s">
        <v>296</v>
      </c>
      <c r="J398" s="1063" t="s">
        <v>297</v>
      </c>
      <c r="K398" s="1337" t="s">
        <v>216</v>
      </c>
      <c r="L398" s="1338" t="s">
        <v>298</v>
      </c>
      <c r="M398" s="1055"/>
      <c r="N398" s="1056" t="s">
        <v>291</v>
      </c>
      <c r="O398" s="1057" t="s">
        <v>292</v>
      </c>
      <c r="P398" s="1051" t="s">
        <v>293</v>
      </c>
      <c r="Q398" s="1058" t="s">
        <v>294</v>
      </c>
      <c r="R398" s="1051" t="s">
        <v>295</v>
      </c>
      <c r="S398" s="1051" t="s">
        <v>296</v>
      </c>
      <c r="T398" s="1059" t="s">
        <v>299</v>
      </c>
      <c r="U398" s="1060" t="s">
        <v>216</v>
      </c>
      <c r="V398" s="1055"/>
      <c r="W398" s="1056" t="s">
        <v>291</v>
      </c>
      <c r="X398" s="1057" t="s">
        <v>292</v>
      </c>
      <c r="Y398" s="1051" t="s">
        <v>293</v>
      </c>
      <c r="Z398" s="1058" t="s">
        <v>294</v>
      </c>
      <c r="AA398" s="1051" t="s">
        <v>295</v>
      </c>
      <c r="AB398" s="1051" t="s">
        <v>296</v>
      </c>
      <c r="AC398" s="1059" t="s">
        <v>299</v>
      </c>
      <c r="AD398" s="1060" t="s">
        <v>216</v>
      </c>
      <c r="AE398" s="1055"/>
      <c r="AF398" s="1057" t="s">
        <v>292</v>
      </c>
      <c r="AG398" s="1061" t="s">
        <v>293</v>
      </c>
      <c r="AH398" s="1062" t="s">
        <v>294</v>
      </c>
      <c r="AI398" s="1061" t="s">
        <v>295</v>
      </c>
      <c r="AJ398" s="1061" t="s">
        <v>296</v>
      </c>
      <c r="AK398" s="1055"/>
      <c r="AL398" s="1057" t="s">
        <v>292</v>
      </c>
      <c r="AM398" s="1061" t="s">
        <v>293</v>
      </c>
      <c r="AN398" s="1062" t="s">
        <v>294</v>
      </c>
      <c r="AO398" s="1061" t="s">
        <v>295</v>
      </c>
      <c r="AP398" s="1061" t="s">
        <v>296</v>
      </c>
      <c r="AQ398" s="1055"/>
      <c r="AR398" s="1056" t="s">
        <v>291</v>
      </c>
      <c r="AS398" s="1057" t="s">
        <v>292</v>
      </c>
      <c r="AT398" s="1061" t="s">
        <v>293</v>
      </c>
      <c r="AU398" s="1062" t="s">
        <v>294</v>
      </c>
      <c r="AV398" s="1061" t="s">
        <v>295</v>
      </c>
      <c r="AW398" s="1061" t="s">
        <v>296</v>
      </c>
      <c r="AX398" s="1059" t="s">
        <v>299</v>
      </c>
      <c r="AY398" s="1340" t="s">
        <v>216</v>
      </c>
      <c r="AZ398" s="1065" t="s">
        <v>300</v>
      </c>
      <c r="BA398" s="2"/>
    </row>
    <row r="399" spans="1:53" ht="15.75" hidden="1" customHeight="1" outlineLevel="1">
      <c r="A399" s="1027"/>
      <c r="B399" s="54">
        <v>43709</v>
      </c>
      <c r="C399" s="1066" t="s">
        <v>43</v>
      </c>
      <c r="D399" s="1067">
        <f>Parametres!$D$5</f>
        <v>5</v>
      </c>
      <c r="E399" s="1068" t="e">
        <f>COUNTIFS(#REF!,"&gt;0",#REF!,"&gt;="&amp;B399,#REF!,"&lt;="&amp;EOMONTH(B399,0))</f>
        <v>#REF!</v>
      </c>
      <c r="F399" s="1069" t="e">
        <f>SUMIFS(#REF!,#REF!,"&lt;&gt;0",#REF!,"&gt;="&amp;B399,#REF!,"&lt;="&amp;EOMONTH(B399,0))</f>
        <v>#REF!</v>
      </c>
      <c r="G399" s="1069" t="e">
        <f t="shared" ref="G399:G435" si="179">IF(E399=0,0,F399/E399)</f>
        <v>#REF!</v>
      </c>
      <c r="H399" s="1070" t="e">
        <f ca="1">MINIFS(#REF!,#REF!,"&lt;&gt;0",#REF!,"&gt;="&amp;B399,#REF!,"&lt;="&amp;EOMONTH(B399,0))</f>
        <v>#NAME?</v>
      </c>
      <c r="I399" s="1071" t="e">
        <f ca="1">MAXIFS(#REF!,#REF!,"&lt;&gt;0",#REF!,"&gt;="&amp;B399,#REF!,"&lt;="&amp;EOMONTH(B399,0))</f>
        <v>#NAME?</v>
      </c>
      <c r="J399" s="1072" t="e">
        <f>COUNTIFS(#REF!,"&gt;="&amp;D399,#REF!,"&gt;="&amp;B399,#REF!,"&lt;="&amp;EOMONTH(B399,0))</f>
        <v>#REF!</v>
      </c>
      <c r="K399" s="1341" t="e">
        <f t="shared" ref="K399:K412" si="180">J399/E399</f>
        <v>#REF!</v>
      </c>
      <c r="L399" s="1074"/>
      <c r="M399" s="1075"/>
      <c r="N399" s="1076">
        <f>Parametres!$L$5</f>
        <v>50</v>
      </c>
      <c r="O399" s="1077">
        <f>COUNTIFS('Degrémont Entrée'!$AM$14:$AM$379,"&gt;0",'Degrémont Entrée'!$A$14:$A$379,"&gt;="&amp;B399,'Degrémont Entrée'!$A$14:$A$379,"&lt;="&amp;EOMONTH(B399,0))</f>
        <v>3</v>
      </c>
      <c r="P399" s="1078">
        <f>SUMIFS('Degrémont Entrée'!$AM$14:$AM$379,'Degrémont Entrée'!$AM$14:$AM$379,"&lt;&gt;0",'Degrémont Entrée'!$A$14:$A$379,"&gt;="&amp;B399,'Degrémont Entrée'!$A$14:$A$379,"&lt;="&amp;EOMONTH(B399,0))</f>
        <v>196</v>
      </c>
      <c r="Q399" s="1078">
        <f>IF(O399=0,0,P399/O399)</f>
        <v>65.333333333333329</v>
      </c>
      <c r="R399" s="1079" t="e">
        <f ca="1">MINIFS('Degrémont Entrée'!$AM$14:$AM$379,'Degrémont Entrée'!$AM$14:$AM$379,"&lt;&gt;0",'Degrémont Entrée'!$A$14:$A$379,"&gt;="&amp;B399,'Degrémont Entrée'!$A$14:$A$379,"&lt;="&amp;EOMONTH(B399,0))</f>
        <v>#NAME?</v>
      </c>
      <c r="S399" s="1078" t="e">
        <f ca="1">MAXIFS('Degrémont Entrée'!$AM$14:$AM$379,'Degrémont Entrée'!$AM$14:$AM$379,"&lt;&gt;0",'Degrémont Entrée'!$A$14:$A$379,"&gt;="&amp;B399,'Degrémont Entrée'!$A$14:$A$379,"&lt;="&amp;EOMONTH(B399,0))</f>
        <v>#NAME?</v>
      </c>
      <c r="T399" s="1080">
        <f>COUNTIFS('Degrémont Entrée'!$AM$14:$AM$379,"&gt;="&amp;N399,'Degrémont Entrée'!$A$14:$A$379,"&gt;="&amp;B399,'Degrémont Entrée'!$A$14:$A$379,"&lt;="&amp;EOMONTH(B399,0))</f>
        <v>3</v>
      </c>
      <c r="U399" s="1081">
        <f>T399/O399</f>
        <v>1</v>
      </c>
      <c r="V399" s="1082"/>
      <c r="W399" s="1083">
        <f>Parametres!$T$5</f>
        <v>3</v>
      </c>
      <c r="X399" s="1084">
        <f>COUNTIFS('Degrémont sortie'!$AG$14:$AG$379,"&gt;0",'Degrémont sortie'!$A$14:$A$379,"&gt;="&amp;B399,'Degrémont sortie'!$A$14:$A$379,"&lt;="&amp;EOMONTH(B399,0))</f>
        <v>4</v>
      </c>
      <c r="Y399" s="1085">
        <f>SUMIFS('Degrémont sortie'!$AG$14:$AG$379,'Degrémont sortie'!$AG$14:$AG$379,"&lt;&gt;0",'Degrémont sortie'!$A$14:$A$379,"&gt;="&amp;B399,'Degrémont sortie'!$A$14:$A$379,"&lt;="&amp;EOMONTH(B399,0))</f>
        <v>1.48</v>
      </c>
      <c r="Z399" s="1085">
        <f>IF(X399=0,0,Y399/X399)</f>
        <v>0.37</v>
      </c>
      <c r="AA399" s="1085" t="e">
        <f ca="1">MINIFS('Degrémont sortie'!$AG$14:$AG$379,'Degrémont sortie'!$AG$14:$AG$379,"&lt;&gt;0",'Degrémont sortie'!$A$14:$A$379,"&gt;="&amp;B399,'Degrémont sortie'!$A$14:$A$379,"&lt;="&amp;EOMONTH(B399,0))</f>
        <v>#NAME?</v>
      </c>
      <c r="AB399" s="1085" t="e">
        <f ca="1">MAXIFS('Degrémont sortie'!$AG$14:$AG$379,'Degrémont sortie'!$AG$14:$AG$379,"&lt;&gt;0",'Degrémont sortie'!$A$14:$A$379,"&gt;="&amp;B399,'Degrémont sortie'!$A$14:$A$379,"&lt;="&amp;EOMONTH(B399,0))</f>
        <v>#NAME?</v>
      </c>
      <c r="AC399" s="1086">
        <f>COUNTIFS('Degrémont sortie'!$AG$14:$AG$379,"&gt;="&amp;W399,'Degrémont sortie'!$A$14:$A$379,"&gt;="&amp;B399,'Degrémont sortie'!$A$14:$A$379,"&lt;="&amp;EOMONTH(B399,0))</f>
        <v>0</v>
      </c>
      <c r="AD399" s="1087">
        <f>AC399/X399</f>
        <v>0</v>
      </c>
      <c r="AE399" s="1088"/>
      <c r="AF399" s="1089"/>
      <c r="AG399" s="1090"/>
      <c r="AH399" s="1090"/>
      <c r="AI399" s="1090"/>
      <c r="AJ399" s="1090"/>
      <c r="AK399" s="1088"/>
      <c r="AL399" s="1089"/>
      <c r="AM399" s="1090"/>
      <c r="AN399" s="1090"/>
      <c r="AO399" s="1090"/>
      <c r="AP399" s="1090"/>
      <c r="AQ399" s="1088"/>
      <c r="AR399" s="1091"/>
      <c r="AS399" s="1089"/>
      <c r="AT399" s="1090"/>
      <c r="AU399" s="1090"/>
      <c r="AV399" s="1090"/>
      <c r="AW399" s="1092"/>
      <c r="AX399" s="1093"/>
      <c r="AY399" s="1094"/>
      <c r="AZ399" s="1095" t="e">
        <f t="shared" ref="AZ399:AZ430" si="181">SUM(E399+O399+X399+AF399+AL399+AS399)</f>
        <v>#REF!</v>
      </c>
      <c r="BA399" s="2"/>
    </row>
    <row r="400" spans="1:53" ht="15.75" hidden="1" customHeight="1" outlineLevel="1">
      <c r="A400" s="1027"/>
      <c r="B400" s="1096"/>
      <c r="C400" s="1097" t="s">
        <v>16</v>
      </c>
      <c r="D400" s="1067">
        <f>Parametres!$D$6</f>
        <v>10000000</v>
      </c>
      <c r="E400" s="1068" t="e">
        <f>COUNTIFS(#REF!,"&gt;0",#REF!,"&gt;="&amp;B399,#REF!,"&lt;="&amp;EOMONTH(B399,0))</f>
        <v>#REF!</v>
      </c>
      <c r="F400" s="1069" t="e">
        <f>SUMIFS(#REF!,#REF!,"&lt;&gt;0",#REF!,"&gt;="&amp;B399,#REF!,"&lt;="&amp;EOMONTH(B399,0))</f>
        <v>#REF!</v>
      </c>
      <c r="G400" s="1098" t="e">
        <f t="shared" si="179"/>
        <v>#REF!</v>
      </c>
      <c r="H400" s="1070" t="e">
        <f ca="1">MINIFS(#REF!,#REF!,"&lt;&gt;0",#REF!,"&gt;="&amp;B399,#REF!,"&lt;="&amp;EOMONTH(B399,0))</f>
        <v>#NAME?</v>
      </c>
      <c r="I400" s="1069" t="e">
        <f ca="1">MAXIFS(#REF!,#REF!,"&lt;&gt;0",#REF!,"&gt;="&amp;B399,#REF!,"&lt;="&amp;EOMONTH(B399,0))</f>
        <v>#NAME?</v>
      </c>
      <c r="J400" s="1072" t="e">
        <f>COUNTIFS(#REF!,"&gt;="&amp;D400,#REF!,"&gt;="&amp;B399,#REF!,"&lt;="&amp;EOMONTH(B399,0))</f>
        <v>#REF!</v>
      </c>
      <c r="K400" s="1341" t="e">
        <f t="shared" si="180"/>
        <v>#REF!</v>
      </c>
      <c r="L400" s="1099"/>
      <c r="M400" s="1082"/>
      <c r="N400" s="1100"/>
      <c r="O400" s="1100"/>
      <c r="P400" s="1078"/>
      <c r="Q400" s="1078"/>
      <c r="R400" s="1078"/>
      <c r="S400" s="1078"/>
      <c r="T400" s="1101"/>
      <c r="U400" s="1101"/>
      <c r="V400" s="1082"/>
      <c r="W400" s="1102"/>
      <c r="X400" s="1102"/>
      <c r="Y400" s="1069"/>
      <c r="Z400" s="1069"/>
      <c r="AA400" s="1069"/>
      <c r="AB400" s="1069"/>
      <c r="AC400" s="1103"/>
      <c r="AD400" s="1104"/>
      <c r="AE400" s="1082"/>
      <c r="AF400" s="1105"/>
      <c r="AG400" s="1106"/>
      <c r="AH400" s="1106"/>
      <c r="AI400" s="1106"/>
      <c r="AJ400" s="1106"/>
      <c r="AK400" s="1107"/>
      <c r="AL400" s="1108"/>
      <c r="AM400" s="1109"/>
      <c r="AN400" s="1109"/>
      <c r="AO400" s="1109"/>
      <c r="AP400" s="1109"/>
      <c r="AQ400" s="1107"/>
      <c r="AR400" s="1110"/>
      <c r="AS400" s="1105"/>
      <c r="AT400" s="1109"/>
      <c r="AU400" s="1109"/>
      <c r="AV400" s="1109"/>
      <c r="AW400" s="1111"/>
      <c r="AX400" s="1112"/>
      <c r="AY400" s="1094"/>
      <c r="AZ400" s="1095" t="e">
        <f t="shared" si="181"/>
        <v>#REF!</v>
      </c>
      <c r="BA400" s="2"/>
    </row>
    <row r="401" spans="1:53" ht="15.75" hidden="1" customHeight="1" outlineLevel="1">
      <c r="A401" s="1027"/>
      <c r="B401" s="1096"/>
      <c r="C401" s="1097" t="s">
        <v>17</v>
      </c>
      <c r="D401" s="1067">
        <f>Parametres!$D$7</f>
        <v>0.8</v>
      </c>
      <c r="E401" s="1068" t="e">
        <f>COUNTIFS(#REF!,"&gt;0",#REF!,"&gt;="&amp;B399,#REF!,"&lt;="&amp;EOMONTH(B399,0))</f>
        <v>#REF!</v>
      </c>
      <c r="F401" s="1069" t="e">
        <f>SUMIFS(#REF!,#REF!,"&lt;&gt;0",#REF!,"&gt;="&amp;B399,#REF!,"&lt;="&amp;EOMONTH(B399,0))</f>
        <v>#REF!</v>
      </c>
      <c r="G401" s="1098" t="e">
        <f t="shared" si="179"/>
        <v>#REF!</v>
      </c>
      <c r="H401" s="1113" t="e">
        <f ca="1">MINIFS(#REF!,#REF!,"&lt;&gt;0",#REF!,"&gt;="&amp;B399,#REF!,"&lt;="&amp;EOMONTH(B399,0))</f>
        <v>#NAME?</v>
      </c>
      <c r="I401" s="1078" t="e">
        <f ca="1">MAXIFS(#REF!,#REF!,"&lt;&gt;0",#REF!,"&gt;="&amp;B399,#REF!,"&lt;="&amp;EOMONTH(B399,0))</f>
        <v>#NAME?</v>
      </c>
      <c r="J401" s="1114" t="e">
        <f>COUNTIFS(#REF!,"&gt;="&amp;D401,#REF!,"&gt;="&amp;B399,#REF!,"&lt;="&amp;EOMONTH(B399,0))</f>
        <v>#REF!</v>
      </c>
      <c r="K401" s="1341" t="e">
        <f t="shared" si="180"/>
        <v>#REF!</v>
      </c>
      <c r="L401" s="1115"/>
      <c r="M401" s="1082"/>
      <c r="N401" s="1100"/>
      <c r="O401" s="1100"/>
      <c r="P401" s="1078"/>
      <c r="Q401" s="1078"/>
      <c r="R401" s="1078"/>
      <c r="S401" s="1078"/>
      <c r="T401" s="1101"/>
      <c r="U401" s="1101"/>
      <c r="V401" s="1082"/>
      <c r="W401" s="1102"/>
      <c r="X401" s="1102"/>
      <c r="Y401" s="1069"/>
      <c r="Z401" s="1069"/>
      <c r="AA401" s="1069"/>
      <c r="AB401" s="1069"/>
      <c r="AC401" s="1103"/>
      <c r="AD401" s="1104"/>
      <c r="AE401" s="1082"/>
      <c r="AF401" s="1116"/>
      <c r="AG401" s="1117"/>
      <c r="AH401" s="1117"/>
      <c r="AI401" s="1117"/>
      <c r="AJ401" s="1117"/>
      <c r="AK401" s="1082"/>
      <c r="AL401" s="1105"/>
      <c r="AM401" s="1106"/>
      <c r="AN401" s="1106"/>
      <c r="AO401" s="1106"/>
      <c r="AP401" s="1106"/>
      <c r="AQ401" s="1082"/>
      <c r="AR401" s="1118"/>
      <c r="AS401" s="1116"/>
      <c r="AT401" s="1106"/>
      <c r="AU401" s="1106"/>
      <c r="AV401" s="1106"/>
      <c r="AW401" s="1119"/>
      <c r="AX401" s="1120"/>
      <c r="AY401" s="1094"/>
      <c r="AZ401" s="1095" t="e">
        <f t="shared" si="181"/>
        <v>#REF!</v>
      </c>
      <c r="BA401" s="2"/>
    </row>
    <row r="402" spans="1:53" ht="15.75" hidden="1" customHeight="1" outlineLevel="1">
      <c r="A402" s="1027"/>
      <c r="B402" s="1096"/>
      <c r="C402" s="1121" t="s">
        <v>18</v>
      </c>
      <c r="D402" s="1122">
        <f>Parametres!$D$8</f>
        <v>0.05</v>
      </c>
      <c r="E402" s="1068" t="e">
        <f>COUNTIFS(#REF!,"&gt;0",#REF!,"&gt;="&amp;B399,#REF!,"&lt;="&amp;EOMONTH(B399,0))</f>
        <v>#REF!</v>
      </c>
      <c r="F402" s="1069" t="e">
        <f>SUMIFS(#REF!,#REF!,"&lt;&gt;0",#REF!,"&gt;="&amp;B399,#REF!,"&lt;="&amp;EOMONTH(B399,0))</f>
        <v>#REF!</v>
      </c>
      <c r="G402" s="1098" t="e">
        <f t="shared" si="179"/>
        <v>#REF!</v>
      </c>
      <c r="H402" s="1113" t="e">
        <f ca="1">MINIFS(#REF!,#REF!,"&lt;&gt;0",#REF!,"&gt;="&amp;B399,#REF!,"&lt;="&amp;EOMONTH(B399,0))</f>
        <v>#NAME?</v>
      </c>
      <c r="I402" s="1078" t="e">
        <f ca="1">MAXIFS(#REF!,#REF!,"&lt;&gt;0",#REF!,"&gt;="&amp;B399,#REF!,"&lt;="&amp;EOMONTH(B399,0))</f>
        <v>#NAME?</v>
      </c>
      <c r="J402" s="1072" t="e">
        <f>COUNTIFS(#REF!,"&gt;="&amp;D402,#REF!,"&gt;="&amp;B399,#REF!,"&lt;="&amp;EOMONTH(B399,0))</f>
        <v>#REF!</v>
      </c>
      <c r="K402" s="1341" t="e">
        <f t="shared" si="180"/>
        <v>#REF!</v>
      </c>
      <c r="L402" s="1115"/>
      <c r="M402" s="1082"/>
      <c r="N402" s="1100"/>
      <c r="O402" s="1100"/>
      <c r="P402" s="1078"/>
      <c r="Q402" s="1078"/>
      <c r="R402" s="1078"/>
      <c r="S402" s="1078"/>
      <c r="T402" s="1101"/>
      <c r="U402" s="1101"/>
      <c r="V402" s="1082"/>
      <c r="W402" s="1102"/>
      <c r="X402" s="1102"/>
      <c r="Y402" s="1069"/>
      <c r="Z402" s="1069"/>
      <c r="AA402" s="1069"/>
      <c r="AB402" s="1069"/>
      <c r="AC402" s="1103"/>
      <c r="AD402" s="1104"/>
      <c r="AE402" s="1107"/>
      <c r="AF402" s="1108"/>
      <c r="AG402" s="1109"/>
      <c r="AH402" s="1109"/>
      <c r="AI402" s="1109"/>
      <c r="AJ402" s="1109"/>
      <c r="AK402" s="1123"/>
      <c r="AL402" s="1108"/>
      <c r="AM402" s="1109"/>
      <c r="AN402" s="1109"/>
      <c r="AO402" s="1109"/>
      <c r="AP402" s="1109"/>
      <c r="AQ402" s="1123"/>
      <c r="AR402" s="1124"/>
      <c r="AS402" s="1108"/>
      <c r="AT402" s="1109"/>
      <c r="AU402" s="1109"/>
      <c r="AV402" s="1109"/>
      <c r="AW402" s="1111"/>
      <c r="AX402" s="1112"/>
      <c r="AY402" s="1094"/>
      <c r="AZ402" s="1095" t="e">
        <f t="shared" si="181"/>
        <v>#REF!</v>
      </c>
      <c r="BA402" s="2"/>
    </row>
    <row r="403" spans="1:53" ht="15.75" hidden="1" customHeight="1" outlineLevel="1">
      <c r="A403" s="1027"/>
      <c r="B403" s="1096"/>
      <c r="C403" s="1097" t="s">
        <v>11</v>
      </c>
      <c r="D403" s="1067">
        <f>Parametres!$D$9</f>
        <v>0.2</v>
      </c>
      <c r="E403" s="1068" t="e">
        <f>COUNTIFS(#REF!,"&gt;0",#REF!,"&gt;="&amp;B399,#REF!,"&lt;="&amp;EOMONTH(B399,0))</f>
        <v>#REF!</v>
      </c>
      <c r="F403" s="1069" t="e">
        <f>SUMIFS(#REF!,#REF!,"&lt;&gt;0",#REF!,"&gt;="&amp;B399,#REF!,"&lt;="&amp;EOMONTH(B399,0))</f>
        <v>#REF!</v>
      </c>
      <c r="G403" s="1098" t="e">
        <f t="shared" si="179"/>
        <v>#REF!</v>
      </c>
      <c r="H403" s="1113" t="e">
        <f ca="1">MINIFS(#REF!,#REF!,"&lt;&gt;0",#REF!,"&gt;="&amp;B399,#REF!,"&lt;="&amp;EOMONTH(B399,0))</f>
        <v>#NAME?</v>
      </c>
      <c r="I403" s="1078" t="e">
        <f ca="1">MAXIFS(#REF!,#REF!,"&lt;&gt;0",#REF!,"&gt;="&amp;B399,#REF!,"&lt;="&amp;EOMONTH(B399,0))</f>
        <v>#NAME?</v>
      </c>
      <c r="J403" s="1072" t="e">
        <f>COUNTIFS(#REF!,"&gt;="&amp;D403,#REF!,"&gt;="&amp;B399,#REF!,"&lt;="&amp;EOMONTH(B399,0))</f>
        <v>#REF!</v>
      </c>
      <c r="K403" s="1341" t="e">
        <f t="shared" si="180"/>
        <v>#REF!</v>
      </c>
      <c r="L403" s="1115"/>
      <c r="M403" s="1082"/>
      <c r="N403" s="1100"/>
      <c r="O403" s="1100"/>
      <c r="P403" s="1078"/>
      <c r="Q403" s="1078"/>
      <c r="R403" s="1078"/>
      <c r="S403" s="1078"/>
      <c r="T403" s="1101"/>
      <c r="U403" s="1101"/>
      <c r="V403" s="1082"/>
      <c r="W403" s="1102"/>
      <c r="X403" s="1102"/>
      <c r="Y403" s="1069"/>
      <c r="Z403" s="1069"/>
      <c r="AA403" s="1069"/>
      <c r="AB403" s="1069"/>
      <c r="AC403" s="1103"/>
      <c r="AD403" s="1104"/>
      <c r="AE403" s="1075"/>
      <c r="AF403" s="1125"/>
      <c r="AG403" s="1126"/>
      <c r="AH403" s="1126"/>
      <c r="AI403" s="1126"/>
      <c r="AJ403" s="1126"/>
      <c r="AK403" s="1107"/>
      <c r="AL403" s="1125"/>
      <c r="AM403" s="1126"/>
      <c r="AN403" s="1126"/>
      <c r="AO403" s="1126"/>
      <c r="AP403" s="1126"/>
      <c r="AQ403" s="1107"/>
      <c r="AR403" s="1110"/>
      <c r="AS403" s="1125"/>
      <c r="AT403" s="1126"/>
      <c r="AU403" s="1126"/>
      <c r="AV403" s="1126"/>
      <c r="AW403" s="1127"/>
      <c r="AX403" s="1128"/>
      <c r="AY403" s="1094"/>
      <c r="AZ403" s="1095" t="e">
        <f t="shared" si="181"/>
        <v>#REF!</v>
      </c>
      <c r="BA403" s="2"/>
    </row>
    <row r="404" spans="1:53" ht="15.75" hidden="1" customHeight="1" outlineLevel="1">
      <c r="A404" s="1027"/>
      <c r="B404" s="1096"/>
      <c r="C404" s="1097" t="s">
        <v>12</v>
      </c>
      <c r="D404" s="1067">
        <f>Parametres!$D$10</f>
        <v>10000000</v>
      </c>
      <c r="E404" s="1068" t="e">
        <f>COUNTIFS(#REF!,"&gt;0",#REF!,"&gt;="&amp;B399,#REF!,"&lt;="&amp;EOMONTH(B399,0))</f>
        <v>#REF!</v>
      </c>
      <c r="F404" s="1069" t="e">
        <f>SUMIFS(#REF!,#REF!,"&lt;&gt;0",#REF!,"&gt;="&amp;B399,#REF!,"&lt;="&amp;EOMONTH(B399,0))</f>
        <v>#REF!</v>
      </c>
      <c r="G404" s="1098" t="e">
        <f t="shared" si="179"/>
        <v>#REF!</v>
      </c>
      <c r="H404" s="1113" t="e">
        <f ca="1">MINIFS(#REF!,#REF!,"&lt;&gt;0",#REF!,"&gt;="&amp;B399,#REF!,"&lt;="&amp;EOMONTH(B399,0))</f>
        <v>#NAME?</v>
      </c>
      <c r="I404" s="1078" t="e">
        <f ca="1">MAXIFS(#REF!,#REF!,"&lt;&gt;0",#REF!,"&gt;="&amp;B399,#REF!,"&lt;="&amp;EOMONTH(B399,0))</f>
        <v>#NAME?</v>
      </c>
      <c r="J404" s="1072" t="e">
        <f>COUNTIFS(#REF!,"&gt;="&amp;D404,#REF!,"&gt;="&amp;B399,#REF!,"&lt;="&amp;EOMONTH(B399,0))</f>
        <v>#REF!</v>
      </c>
      <c r="K404" s="1341" t="e">
        <f t="shared" si="180"/>
        <v>#REF!</v>
      </c>
      <c r="L404" s="1115"/>
      <c r="M404" s="1082"/>
      <c r="N404" s="1100"/>
      <c r="O404" s="1100"/>
      <c r="P404" s="1078"/>
      <c r="Q404" s="1078"/>
      <c r="R404" s="1078"/>
      <c r="S404" s="1078"/>
      <c r="T404" s="1101"/>
      <c r="U404" s="1101"/>
      <c r="V404" s="1082"/>
      <c r="W404" s="1129"/>
      <c r="X404" s="1129"/>
      <c r="Y404" s="1069"/>
      <c r="Z404" s="1069"/>
      <c r="AA404" s="1069"/>
      <c r="AB404" s="1069"/>
      <c r="AC404" s="1130"/>
      <c r="AD404" s="1131"/>
      <c r="AE404" s="1082"/>
      <c r="AF404" s="1105"/>
      <c r="AG404" s="1106"/>
      <c r="AH404" s="1106"/>
      <c r="AI404" s="1106"/>
      <c r="AJ404" s="1106"/>
      <c r="AK404" s="1132"/>
      <c r="AL404" s="1105"/>
      <c r="AM404" s="1106"/>
      <c r="AN404" s="1106"/>
      <c r="AO404" s="1106"/>
      <c r="AP404" s="1106"/>
      <c r="AQ404" s="1133"/>
      <c r="AR404" s="1134"/>
      <c r="AS404" s="1135"/>
      <c r="AT404" s="1106"/>
      <c r="AU404" s="1106"/>
      <c r="AV404" s="1106"/>
      <c r="AW404" s="1119"/>
      <c r="AX404" s="1120"/>
      <c r="AY404" s="1094"/>
      <c r="AZ404" s="1095" t="e">
        <f t="shared" si="181"/>
        <v>#REF!</v>
      </c>
      <c r="BA404" s="2"/>
    </row>
    <row r="405" spans="1:53" ht="15.75" hidden="1" customHeight="1" outlineLevel="1">
      <c r="A405" s="1027"/>
      <c r="B405" s="1096"/>
      <c r="C405" s="1097" t="s">
        <v>19</v>
      </c>
      <c r="D405" s="1067">
        <f>Parametres!$D$11</f>
        <v>1.5</v>
      </c>
      <c r="E405" s="1068" t="e">
        <f>COUNTIFS(#REF!,"&gt;0",#REF!,"&gt;="&amp;B399,#REF!,"&lt;="&amp;EOMONTH(B399,0))</f>
        <v>#REF!</v>
      </c>
      <c r="F405" s="1069" t="e">
        <f>SUMIFS(#REF!,#REF!,"&lt;&gt;0",#REF!,"&gt;="&amp;B399,#REF!,"&lt;="&amp;EOMONTH(B399,0))</f>
        <v>#REF!</v>
      </c>
      <c r="G405" s="1098" t="e">
        <f t="shared" si="179"/>
        <v>#REF!</v>
      </c>
      <c r="H405" s="1113" t="e">
        <f ca="1">MINIFS(#REF!,#REF!,"&lt;&gt;0",#REF!,"&gt;="&amp;B399,#REF!,"&lt;="&amp;EOMONTH(B399,0))</f>
        <v>#NAME?</v>
      </c>
      <c r="I405" s="1078" t="e">
        <f ca="1">MAXIFS(#REF!,#REF!,"&lt;&gt;0",#REF!,"&gt;="&amp;B399,#REF!,"&lt;="&amp;EOMONTH(B399,0))</f>
        <v>#NAME?</v>
      </c>
      <c r="J405" s="1072" t="e">
        <f>COUNTIFS(#REF!,"&gt;="&amp;D405,#REF!,"&gt;="&amp;B399,#REF!,"&lt;="&amp;EOMONTH(B399,0))</f>
        <v>#REF!</v>
      </c>
      <c r="K405" s="1341" t="e">
        <f t="shared" si="180"/>
        <v>#REF!</v>
      </c>
      <c r="L405" s="1115"/>
      <c r="M405" s="1082"/>
      <c r="N405" s="1100"/>
      <c r="O405" s="1100"/>
      <c r="P405" s="1078"/>
      <c r="Q405" s="1078"/>
      <c r="R405" s="1078"/>
      <c r="S405" s="1078"/>
      <c r="T405" s="1101"/>
      <c r="U405" s="1101"/>
      <c r="V405" s="1082"/>
      <c r="W405" s="1129"/>
      <c r="X405" s="1129"/>
      <c r="Y405" s="1069"/>
      <c r="Z405" s="1069"/>
      <c r="AA405" s="1069"/>
      <c r="AB405" s="1069"/>
      <c r="AC405" s="1130"/>
      <c r="AD405" s="1131"/>
      <c r="AE405" s="1082"/>
      <c r="AF405" s="1105"/>
      <c r="AG405" s="1106"/>
      <c r="AH405" s="1106"/>
      <c r="AI405" s="1106"/>
      <c r="AJ405" s="1106"/>
      <c r="AK405" s="1082"/>
      <c r="AL405" s="1136"/>
      <c r="AM405" s="1137"/>
      <c r="AN405" s="1137"/>
      <c r="AO405" s="1137"/>
      <c r="AP405" s="1137"/>
      <c r="AQ405" s="1082"/>
      <c r="AR405" s="1118"/>
      <c r="AS405" s="1105"/>
      <c r="AT405" s="1106"/>
      <c r="AU405" s="1106"/>
      <c r="AV405" s="1106"/>
      <c r="AW405" s="1138"/>
      <c r="AX405" s="1120"/>
      <c r="AY405" s="1094"/>
      <c r="AZ405" s="1095" t="e">
        <f t="shared" si="181"/>
        <v>#REF!</v>
      </c>
      <c r="BA405" s="2"/>
    </row>
    <row r="406" spans="1:53" ht="15.75" hidden="1" customHeight="1" outlineLevel="1">
      <c r="A406" s="1027"/>
      <c r="B406" s="1096"/>
      <c r="C406" s="1139" t="s">
        <v>42</v>
      </c>
      <c r="D406" s="1122">
        <f>Parametres!$D$12</f>
        <v>0.1</v>
      </c>
      <c r="E406" s="1068" t="e">
        <f>COUNTIFS(#REF!,"&gt;0",#REF!,"&gt;="&amp;B399,#REF!,"&lt;="&amp;EOMONTH(B399,0))</f>
        <v>#REF!</v>
      </c>
      <c r="F406" s="1069" t="e">
        <f>SUMIFS(#REF!,#REF!,"&lt;&gt;0",#REF!,"&gt;="&amp;B399,#REF!,"&lt;="&amp;EOMONTH(B399,0))</f>
        <v>#REF!</v>
      </c>
      <c r="G406" s="1098" t="e">
        <f t="shared" si="179"/>
        <v>#REF!</v>
      </c>
      <c r="H406" s="1113" t="e">
        <f ca="1">MINIFS(#REF!,#REF!,"&lt;&gt;0",#REF!,"&gt;="&amp;B399,#REF!,"&lt;="&amp;EOMONTH(B399,0))</f>
        <v>#NAME?</v>
      </c>
      <c r="I406" s="1078" t="e">
        <f ca="1">MAXIFS(#REF!,#REF!,"&lt;&gt;0",#REF!,"&gt;="&amp;B399,#REF!,"&lt;="&amp;EOMONTH(B399,0))</f>
        <v>#NAME?</v>
      </c>
      <c r="J406" s="1114" t="e">
        <f>COUNTIFS(#REF!,"&gt;="&amp;D406,#REF!,"&gt;="&amp;B399,#REF!,"&lt;="&amp;EOMONTH(B399,0))</f>
        <v>#REF!</v>
      </c>
      <c r="K406" s="1341" t="e">
        <f t="shared" si="180"/>
        <v>#REF!</v>
      </c>
      <c r="L406" s="1115"/>
      <c r="M406" s="1082"/>
      <c r="N406" s="1076">
        <f>Parametres!$L$12</f>
        <v>100000</v>
      </c>
      <c r="O406" s="1077">
        <f>COUNTIFS('Degrémont Entrée'!$AG$14:$AG$379,"&gt;0",'Degrémont Entrée'!$A$14:$A$379,"&gt;="&amp;B399,'Degrémont Entrée'!$A$14:$A$379,"&lt;="&amp;EOMONTH(B399,0))</f>
        <v>24</v>
      </c>
      <c r="P406" s="1078">
        <f>SUMIFS('Degrémont Entrée'!$AG$14:$AG$379,'Degrémont Entrée'!$AG$14:$AG$379,"&lt;&gt;0",'Degrémont Entrée'!$A$14:$A$379,"&gt;="&amp;B399,'Degrémont Entrée'!$A$14:$A$379,"&lt;="&amp;EOMONTH(B399,0))</f>
        <v>0.25000000000000006</v>
      </c>
      <c r="Q406" s="1078">
        <f>IF(O406=0,0,P406/O406)</f>
        <v>1.041666666666667E-2</v>
      </c>
      <c r="R406" s="1078" t="e">
        <f ca="1">MINIFS('Degrémont Entrée'!$AG$14:$AG$379,'Degrémont Entrée'!$AG$14:$AG$379,"&lt;&gt;0",'Degrémont Entrée'!$A$14:$A$379,"&gt;="&amp;B399,'Degrémont Entrée'!$A$14:$A$379,"&lt;="&amp;EOMONTH(B399,0))</f>
        <v>#NAME?</v>
      </c>
      <c r="S406" s="1078" t="e">
        <f ca="1">MAXIFS('Degrémont Entrée'!$AG$14:$AG$379,'Degrémont Entrée'!$AG$14:$AG$379,"&lt;&gt;0",'Degrémont Entrée'!$A$14:$A$379,"&gt;="&amp;B399,'Degrémont Entrée'!$A$14:$A$379,"&lt;="&amp;EOMONTH(B399,0))</f>
        <v>#NAME?</v>
      </c>
      <c r="T406" s="1140" t="s">
        <v>153</v>
      </c>
      <c r="U406" s="1140" t="s">
        <v>153</v>
      </c>
      <c r="V406" s="1082"/>
      <c r="W406" s="1083">
        <f>Parametres!$T$12</f>
        <v>0.1</v>
      </c>
      <c r="X406" s="1142">
        <f>COUNTIFS('Degrémont sortie'!$AA$14:$AA$379,"&gt;0",'Degrémont sortie'!$A$14:$A$379,"&gt;="&amp;B399,'Degrémont sortie'!$A$14:$A$379,"&lt;="&amp;EOMONTH(B399,0))</f>
        <v>24</v>
      </c>
      <c r="Y406" s="1085">
        <f>SUMIFS('Degrémont sortie'!$AA$14:$AA$379,'Degrémont sortie'!$AA$14:$AA$379,"&lt;&gt;0",'Degrémont sortie'!$A$14:$A$379,"&gt;="&amp;B399,'Degrémont sortie'!$A$14:$A$379,"&lt;="&amp;EOMONTH(B399,0))</f>
        <v>0.25000000000000006</v>
      </c>
      <c r="Z406" s="1069">
        <f t="shared" ref="Z406:Z408" si="182">IF(X406=0,0,Y406/X406)</f>
        <v>1.041666666666667E-2</v>
      </c>
      <c r="AA406" s="1069" t="e">
        <f ca="1">MINIFS('Degrémont sortie'!$AA$14:$AA$379,'Degrémont sortie'!$AA$14:$AA$379,"&lt;&gt;0",'Degrémont sortie'!$A$14:$A$379,"&gt;="&amp;B399,'Degrémont sortie'!$A$14:$A$379,"&lt;="&amp;EOMONTH(B399,0))</f>
        <v>#NAME?</v>
      </c>
      <c r="AB406" s="1069" t="e">
        <f ca="1">MAXIFS('Degrémont sortie'!$AA$14:$AA$379,'Degrémont sortie'!$AA$14:$AA$379,"&lt;&gt;0",'Degrémont sortie'!$A$14:$A$379,"&gt;="&amp;B399,'Degrémont sortie'!$A$14:$A$379,"&lt;="&amp;EOMONTH(B399,0))</f>
        <v>#NAME?</v>
      </c>
      <c r="AC406" s="1142">
        <f>COUNTIFS('Degrémont sortie'!$AA$14:$AA$379,"&gt;="&amp;W406,'Degrémont sortie'!$A$14:$A$379,"&gt;="&amp;B399,'Degrémont sortie'!$A$14:$A$379,"&lt;="&amp;EOMONTH(B399,0))</f>
        <v>0</v>
      </c>
      <c r="AD406" s="1087">
        <f t="shared" ref="AD406:AD408" si="183">AC406/X406</f>
        <v>0</v>
      </c>
      <c r="AE406" s="1082"/>
      <c r="AF406" s="1105"/>
      <c r="AG406" s="1106"/>
      <c r="AH406" s="1106"/>
      <c r="AI406" s="1106"/>
      <c r="AJ406" s="1106"/>
      <c r="AK406" s="1082"/>
      <c r="AL406" s="1116"/>
      <c r="AM406" s="1117"/>
      <c r="AN406" s="1117"/>
      <c r="AO406" s="1117"/>
      <c r="AP406" s="1117"/>
      <c r="AQ406" s="1082"/>
      <c r="AR406" s="1118"/>
      <c r="AS406" s="1105"/>
      <c r="AT406" s="1106"/>
      <c r="AU406" s="1106"/>
      <c r="AV406" s="1106"/>
      <c r="AW406" s="1119"/>
      <c r="AX406" s="1120"/>
      <c r="AY406" s="1094"/>
      <c r="AZ406" s="1095" t="e">
        <f t="shared" si="181"/>
        <v>#REF!</v>
      </c>
      <c r="BA406" s="2"/>
    </row>
    <row r="407" spans="1:53" ht="15.75" hidden="1" customHeight="1" outlineLevel="1">
      <c r="A407" s="1027"/>
      <c r="B407" s="1096"/>
      <c r="C407" s="1139" t="s">
        <v>286</v>
      </c>
      <c r="D407" s="1122">
        <f>Parametres!$D$13</f>
        <v>0.5</v>
      </c>
      <c r="E407" s="1068" t="e">
        <f>COUNTIFS(#REF!,"&gt;0",#REF!,"&gt;="&amp;B399,#REF!,"&lt;="&amp;EOMONTH(B399,0))</f>
        <v>#REF!</v>
      </c>
      <c r="F407" s="1069" t="e">
        <f>SUMIFS(#REF!,#REF!,"&lt;&gt;0",#REF!,"&gt;="&amp;B399,#REF!,"&lt;="&amp;EOMONTH(B399,0))</f>
        <v>#REF!</v>
      </c>
      <c r="G407" s="1098" t="e">
        <f t="shared" si="179"/>
        <v>#REF!</v>
      </c>
      <c r="H407" s="1113" t="e">
        <f ca="1">MINIFS(#REF!,#REF!,"&lt;&gt;0",#REF!,"&gt;="&amp;B399,#REF!,"&lt;="&amp;EOMONTH(B399,0))</f>
        <v>#NAME?</v>
      </c>
      <c r="I407" s="1078" t="e">
        <f ca="1">MAXIFS(#REF!,#REF!,"&lt;&gt;0",#REF!,"&gt;="&amp;B399,#REF!,"&lt;="&amp;EOMONTH(B399,0))</f>
        <v>#NAME?</v>
      </c>
      <c r="J407" s="1114" t="e">
        <f>COUNTIFS(#REF!,"&gt;="&amp;D407,#REF!,"&gt;="&amp;B399,#REF!,"&lt;="&amp;EOMONTH(B399,0))</f>
        <v>#REF!</v>
      </c>
      <c r="K407" s="1341" t="e">
        <f t="shared" si="180"/>
        <v>#REF!</v>
      </c>
      <c r="L407" s="1115"/>
      <c r="M407" s="1082"/>
      <c r="N407" s="1129"/>
      <c r="O407" s="1129"/>
      <c r="P407" s="1069"/>
      <c r="Q407" s="1069"/>
      <c r="R407" s="1069"/>
      <c r="S407" s="1069"/>
      <c r="T407" s="1143"/>
      <c r="U407" s="1143"/>
      <c r="V407" s="1132"/>
      <c r="W407" s="1083">
        <f>Parametres!$T$13</f>
        <v>0.08</v>
      </c>
      <c r="X407" s="1142">
        <f>COUNTIFS('Degrémont sortie'!$AD$14:$AD$379,"&gt;0",'Degrémont sortie'!$A$14:$A$379,"&gt;="&amp;B399,'Degrémont sortie'!$A$14:$A$379,"&lt;="&amp;EOMONTH(B399,0))</f>
        <v>0</v>
      </c>
      <c r="Y407" s="1085">
        <f>SUMIFS('Degrémont sortie'!$AD$14:$AD$379,'Degrémont sortie'!$AD$14:$AD$379,"&lt;&gt;0",'Degrémont sortie'!$A$14:$A$379,"&gt;="&amp;B399,'Degrémont sortie'!$A$14:$A$379,"&lt;="&amp;EOMONTH(B399,0))</f>
        <v>0</v>
      </c>
      <c r="Z407" s="1069">
        <f t="shared" si="182"/>
        <v>0</v>
      </c>
      <c r="AA407" s="1069" t="e">
        <f ca="1">MINIFS('Degrémont sortie'!$AD$14:$AD$379,'Degrémont sortie'!$AD$14:$AD$379,"&lt;&gt;0",'Degrémont sortie'!$A$14:$A$379,"&gt;="&amp;B399,'Degrémont sortie'!$A$14:$A$379,"&lt;="&amp;EOMONTH(B399,0))</f>
        <v>#NAME?</v>
      </c>
      <c r="AB407" s="1069" t="e">
        <f ca="1">MAXIFS('Degrémont sortie'!$AD$14:$AD$379,'Degrémont sortie'!$AD$14:$AD$379,"&lt;&gt;0",'Degrémont sortie'!$A$14:$A$379,"&gt;="&amp;B399,'Degrémont sortie'!$A$14:$A$379,"&lt;="&amp;EOMONTH(B399,0))</f>
        <v>#NAME?</v>
      </c>
      <c r="AC407" s="1142">
        <f>COUNTIFS('Degrémont sortie'!$AD$14:$AD$379,"&gt;="&amp;W407,'Degrémont sortie'!$A$14:$A$379,"&gt;="&amp;B399,'Degrémont sortie'!$A$14:$A$379,"&lt;="&amp;EOMONTH(B399,0))</f>
        <v>0</v>
      </c>
      <c r="AD407" s="1087" t="e">
        <f t="shared" si="183"/>
        <v>#DIV/0!</v>
      </c>
      <c r="AE407" s="1132"/>
      <c r="AF407" s="1105"/>
      <c r="AG407" s="1106"/>
      <c r="AH407" s="1106"/>
      <c r="AI407" s="1106"/>
      <c r="AJ407" s="1106"/>
      <c r="AK407" s="1132"/>
      <c r="AL407" s="1105"/>
      <c r="AM407" s="1106"/>
      <c r="AN407" s="1106"/>
      <c r="AO407" s="1106"/>
      <c r="AP407" s="1106"/>
      <c r="AQ407" s="1133"/>
      <c r="AR407" s="1134"/>
      <c r="AS407" s="1135"/>
      <c r="AT407" s="1106"/>
      <c r="AU407" s="1106"/>
      <c r="AV407" s="1106"/>
      <c r="AW407" s="1119"/>
      <c r="AX407" s="1120"/>
      <c r="AY407" s="1094"/>
      <c r="AZ407" s="1095" t="e">
        <f t="shared" si="181"/>
        <v>#REF!</v>
      </c>
      <c r="BA407" s="2"/>
    </row>
    <row r="408" spans="1:53" ht="15.75" hidden="1" customHeight="1" outlineLevel="1">
      <c r="A408" s="1027"/>
      <c r="B408" s="1096"/>
      <c r="C408" s="1139" t="s">
        <v>45</v>
      </c>
      <c r="D408" s="1122">
        <f>Parametres!$D$14</f>
        <v>0.5</v>
      </c>
      <c r="E408" s="1068" t="e">
        <f>COUNTIFS(#REF!,"&gt;0",#REF!,"&gt;="&amp;B399,#REF!,"&lt;="&amp;EOMONTH(B399,0))</f>
        <v>#REF!</v>
      </c>
      <c r="F408" s="1069" t="e">
        <f>SUMIFS(#REF!,#REF!,"&lt;&gt;0",#REF!,"&gt;="&amp;B399,#REF!,"&lt;="&amp;EOMONTH(B399,0))</f>
        <v>#REF!</v>
      </c>
      <c r="G408" s="1098" t="e">
        <f t="shared" si="179"/>
        <v>#REF!</v>
      </c>
      <c r="H408" s="1070" t="e">
        <f ca="1">MINIFS(#REF!,#REF!,"&lt;&gt;0",#REF!,"&gt;="&amp;B399,#REF!,"&lt;="&amp;EOMONTH(B399,0))</f>
        <v>#NAME?</v>
      </c>
      <c r="I408" s="1078" t="e">
        <f ca="1">MAXIFS(#REF!,#REF!,"&lt;&gt;0",#REF!,"&gt;="&amp;B399,#REF!,"&lt;="&amp;EOMONTH(B399,0))</f>
        <v>#NAME?</v>
      </c>
      <c r="J408" s="1114" t="e">
        <f>COUNTIFS(#REF!,"&gt;="&amp;D408,#REF!,"&gt;="&amp;B399,#REF!,"&lt;="&amp;EOMONTH(B399,0))</f>
        <v>#REF!</v>
      </c>
      <c r="K408" s="1341" t="e">
        <f t="shared" si="180"/>
        <v>#REF!</v>
      </c>
      <c r="L408" s="1115"/>
      <c r="M408" s="1082"/>
      <c r="N408" s="1144">
        <f>Parametres!$L$14</f>
        <v>3</v>
      </c>
      <c r="O408" s="1077">
        <f>COUNTIFS('Degrémont Entrée'!$AS$14:$AS$379,"&gt;0",'Degrémont Entrée'!$A$14:$A$379,"&gt;="&amp;B399,'Degrémont Entrée'!$A$14:$A$379,"&lt;="&amp;EOMONTH(B399,0))</f>
        <v>4</v>
      </c>
      <c r="P408" s="1078">
        <f>SUMIFS('Degrémont Entrée'!$AS$14:$AS$379,'Degrémont Entrée'!$AS$14:$AS$379,"&lt;&gt;0",'Degrémont Entrée'!$A$14:$A$379,"&gt;="&amp;B399,'Degrémont Entrée'!$A$14:$A$379,"&lt;="&amp;EOMONTH(B399,0))</f>
        <v>3.0100000000000002</v>
      </c>
      <c r="Q408" s="1078">
        <f>IF(O408=0,0,P408/O408)</f>
        <v>0.75250000000000006</v>
      </c>
      <c r="R408" s="1069" t="e">
        <f ca="1">MINIFS('Degrémont Entrée'!$AS$14:$AS$379,'Degrémont Entrée'!$AS$14:$AS$379,"&lt;&gt;0",'Degrémont Entrée'!$A$14:$A$379,"&gt;="&amp;B399,'Degrémont Entrée'!$A$14:$A$379,"&lt;="&amp;EOMONTH(B399,0))</f>
        <v>#NAME?</v>
      </c>
      <c r="S408" s="1069" t="e">
        <f ca="1">MAXIFS('Degrémont Entrée'!$AS$14:$AS$379,'Degrémont Entrée'!$AS$14:$AS$379,"&lt;&gt;0",'Degrémont Entrée'!$A$14:$A$379,"&gt;="&amp;B399,'Degrémont Entrée'!$A$14:$A$379,"&lt;="&amp;EOMONTH(B399,0))</f>
        <v>#NAME?</v>
      </c>
      <c r="T408" s="1145">
        <f>COUNTIFS('Degrémont Entrée'!$AS$14:$AS$379,"&gt;="&amp;N408,'Degrémont Entrée'!$A$14:$A$379,"&gt;="&amp;B399,'Degrémont Entrée'!$A$14:$A$379,"&lt;="&amp;EOMONTH(B399,0))</f>
        <v>0</v>
      </c>
      <c r="U408" s="1081">
        <f>T408/O408</f>
        <v>0</v>
      </c>
      <c r="V408" s="1132"/>
      <c r="W408" s="1083">
        <f>Parametres!$T$14</f>
        <v>0.12</v>
      </c>
      <c r="X408" s="1142">
        <f>COUNTIFS('Degrémont sortie'!$AM$14:$AM$379,"&gt;0",'Degrémont sortie'!$A$14:$A$379,"&gt;="&amp;B399,'Degrémont sortie'!$A$14:$A$379,"&lt;="&amp;EOMONTH(B399,0))</f>
        <v>4</v>
      </c>
      <c r="Y408" s="1085">
        <f>SUMIFS('Degrémont sortie'!$AM$14:$AM$379,'Degrémont sortie'!$AM$14:$AM$379,"&lt;&gt;0",'Degrémont sortie'!$A$14:$A$379,"&gt;="&amp;B399,'Degrémont sortie'!$A$14:$A$379,"&lt;="&amp;EOMONTH(B399,0))</f>
        <v>0.19</v>
      </c>
      <c r="Z408" s="1069">
        <f t="shared" si="182"/>
        <v>4.7500000000000001E-2</v>
      </c>
      <c r="AA408" s="1069" t="e">
        <f ca="1">MINIFS('Degrémont sortie'!$AM$14:$AM$379,'Degrémont sortie'!$AM$14:$AM$379,"&lt;&gt;0",'Degrémont sortie'!$A$14:$A$379,"&gt;="&amp;B399,'Degrémont sortie'!$A$14:$A$379,"&lt;="&amp;EOMONTH(B399,0))</f>
        <v>#NAME?</v>
      </c>
      <c r="AB408" s="1069" t="e">
        <f ca="1">MAXIFS('Degrémont sortie'!$AM$14:$AM$379,'Degrémont sortie'!$AM$14:$AM$379,"&lt;&gt;0",'Degrémont sortie'!$A$14:$A$379,"&gt;="&amp;B399,'Degrémont sortie'!$A$14:$A$379,"&lt;="&amp;EOMONTH(B399,0))</f>
        <v>#NAME?</v>
      </c>
      <c r="AC408" s="1142">
        <f>COUNTIFS('Degrémont sortie'!$AM$14:$AM$379,"&gt;="&amp;W408,'Degrémont sortie'!$A$14:$A$379,"&gt;="&amp;B399,'Degrémont sortie'!$A$14:$A$379,"&lt;="&amp;EOMONTH(B399,0))</f>
        <v>0</v>
      </c>
      <c r="AD408" s="1087">
        <f t="shared" si="183"/>
        <v>0</v>
      </c>
      <c r="AE408" s="1132"/>
      <c r="AF408" s="1105"/>
      <c r="AG408" s="1106"/>
      <c r="AH408" s="1106"/>
      <c r="AI408" s="1106"/>
      <c r="AJ408" s="1106"/>
      <c r="AK408" s="1132"/>
      <c r="AL408" s="1105"/>
      <c r="AM408" s="1106"/>
      <c r="AN408" s="1106"/>
      <c r="AO408" s="1106"/>
      <c r="AP408" s="1106"/>
      <c r="AQ408" s="1132"/>
      <c r="AR408" s="1148"/>
      <c r="AS408" s="1105"/>
      <c r="AT408" s="1106"/>
      <c r="AU408" s="1106"/>
      <c r="AV408" s="1106"/>
      <c r="AW408" s="1138"/>
      <c r="AX408" s="1120"/>
      <c r="AY408" s="1094"/>
      <c r="AZ408" s="1095" t="e">
        <f t="shared" si="181"/>
        <v>#REF!</v>
      </c>
      <c r="BA408" s="2"/>
    </row>
    <row r="409" spans="1:53" ht="15.75" hidden="1" customHeight="1" outlineLevel="1">
      <c r="A409" s="1027"/>
      <c r="B409" s="1096"/>
      <c r="C409" s="1121" t="s">
        <v>20</v>
      </c>
      <c r="D409" s="1122">
        <f>Parametres!$D$15</f>
        <v>0.1</v>
      </c>
      <c r="E409" s="1068" t="e">
        <f>COUNTIFS(#REF!,"&gt;0",#REF!,"&gt;="&amp;B399,#REF!,"&lt;="&amp;EOMONTH(B399,0))</f>
        <v>#REF!</v>
      </c>
      <c r="F409" s="1069" t="e">
        <f>SUMIFS(#REF!,#REF!,"&lt;&gt;0",#REF!,"&gt;="&amp;B399,#REF!,"&lt;="&amp;EOMONTH(B399,0))</f>
        <v>#REF!</v>
      </c>
      <c r="G409" s="1098" t="e">
        <f t="shared" si="179"/>
        <v>#REF!</v>
      </c>
      <c r="H409" s="1070" t="e">
        <f ca="1">MINIFS(#REF!,#REF!,"&lt;&gt;0",#REF!,"&gt;="&amp;B399,#REF!,"&lt;="&amp;EOMONTH(B399,0))</f>
        <v>#NAME?</v>
      </c>
      <c r="I409" s="1078" t="e">
        <f ca="1">MAXIFS(#REF!,#REF!,"&lt;&gt;0",#REF!,"&gt;="&amp;B399,#REF!,"&lt;="&amp;EOMONTH(B399,0))</f>
        <v>#NAME?</v>
      </c>
      <c r="J409" s="1072" t="e">
        <f>COUNTIFS(#REF!,"&gt;="&amp;D409,#REF!,"&gt;="&amp;B399,#REF!,"&lt;="&amp;EOMONTH(B399,0))</f>
        <v>#REF!</v>
      </c>
      <c r="K409" s="1341" t="e">
        <f t="shared" si="180"/>
        <v>#REF!</v>
      </c>
      <c r="L409" s="1115"/>
      <c r="M409" s="1082"/>
      <c r="N409" s="1129"/>
      <c r="O409" s="1129"/>
      <c r="P409" s="1069"/>
      <c r="Q409" s="1069"/>
      <c r="R409" s="1069"/>
      <c r="S409" s="1069"/>
      <c r="T409" s="1143"/>
      <c r="U409" s="1143"/>
      <c r="V409" s="1132"/>
      <c r="W409" s="1129"/>
      <c r="X409" s="1129"/>
      <c r="Y409" s="1069"/>
      <c r="Z409" s="1069"/>
      <c r="AA409" s="1069"/>
      <c r="AB409" s="1069"/>
      <c r="AC409" s="1130"/>
      <c r="AD409" s="1131"/>
      <c r="AE409" s="1132"/>
      <c r="AF409" s="1105"/>
      <c r="AG409" s="1106"/>
      <c r="AH409" s="1106"/>
      <c r="AI409" s="1106"/>
      <c r="AJ409" s="1106"/>
      <c r="AK409" s="1132"/>
      <c r="AL409" s="1105"/>
      <c r="AM409" s="1106"/>
      <c r="AN409" s="1106"/>
      <c r="AO409" s="1106"/>
      <c r="AP409" s="1106"/>
      <c r="AQ409" s="1132"/>
      <c r="AR409" s="1148"/>
      <c r="AS409" s="1105"/>
      <c r="AT409" s="1106"/>
      <c r="AU409" s="1106"/>
      <c r="AV409" s="1106"/>
      <c r="AW409" s="1119"/>
      <c r="AX409" s="1120"/>
      <c r="AY409" s="1094"/>
      <c r="AZ409" s="1095" t="e">
        <f t="shared" si="181"/>
        <v>#REF!</v>
      </c>
      <c r="BA409" s="2"/>
    </row>
    <row r="410" spans="1:53" ht="15.75" hidden="1" customHeight="1" outlineLevel="1">
      <c r="A410" s="1027"/>
      <c r="B410" s="1096"/>
      <c r="C410" s="1121" t="s">
        <v>14</v>
      </c>
      <c r="D410" s="1122">
        <f>Parametres!$D$16</f>
        <v>10000000</v>
      </c>
      <c r="E410" s="1068" t="e">
        <f>COUNTIFS(#REF!,"&gt;0",#REF!,"&gt;="&amp;B399,#REF!,"&lt;="&amp;EOMONTH(B399,0))</f>
        <v>#REF!</v>
      </c>
      <c r="F410" s="1069" t="e">
        <f>SUMIFS(#REF!,#REF!,"&lt;&gt;0",#REF!,"&gt;="&amp;B399,#REF!,"&lt;="&amp;EOMONTH(B399,0))</f>
        <v>#REF!</v>
      </c>
      <c r="G410" s="1098" t="e">
        <f t="shared" si="179"/>
        <v>#REF!</v>
      </c>
      <c r="H410" s="1070" t="e">
        <f ca="1">MINIFS(#REF!,#REF!,"&lt;&gt;0",#REF!,"&gt;="&amp;B399,#REF!,"&lt;="&amp;EOMONTH(B399,0))</f>
        <v>#NAME?</v>
      </c>
      <c r="I410" s="1078" t="e">
        <f ca="1">MAXIFS(#REF!,#REF!,"&lt;&gt;0",#REF!,"&gt;="&amp;B399,#REF!,"&lt;="&amp;EOMONTH(B399,0))</f>
        <v>#NAME?</v>
      </c>
      <c r="J410" s="1072" t="e">
        <f>COUNTIFS(#REF!,"&gt;="&amp;D410,#REF!,"&gt;="&amp;B399,#REF!,"&lt;="&amp;EOMONTH(B399,0))</f>
        <v>#REF!</v>
      </c>
      <c r="K410" s="1341" t="e">
        <f t="shared" si="180"/>
        <v>#REF!</v>
      </c>
      <c r="L410" s="1115"/>
      <c r="M410" s="1082"/>
      <c r="N410" s="1129"/>
      <c r="O410" s="1129"/>
      <c r="P410" s="1069"/>
      <c r="Q410" s="1069"/>
      <c r="R410" s="1069"/>
      <c r="S410" s="1069"/>
      <c r="T410" s="1143"/>
      <c r="U410" s="1143"/>
      <c r="V410" s="1132"/>
      <c r="W410" s="1129"/>
      <c r="X410" s="1129"/>
      <c r="Y410" s="1069"/>
      <c r="Z410" s="1069"/>
      <c r="AA410" s="1069"/>
      <c r="AB410" s="1069"/>
      <c r="AC410" s="1130"/>
      <c r="AD410" s="1131"/>
      <c r="AE410" s="1132"/>
      <c r="AF410" s="1105"/>
      <c r="AG410" s="1106"/>
      <c r="AH410" s="1106"/>
      <c r="AI410" s="1106"/>
      <c r="AJ410" s="1106"/>
      <c r="AK410" s="1082"/>
      <c r="AL410" s="1136"/>
      <c r="AM410" s="1137"/>
      <c r="AN410" s="1137"/>
      <c r="AO410" s="1137"/>
      <c r="AP410" s="1137"/>
      <c r="AQ410" s="1082"/>
      <c r="AR410" s="1118"/>
      <c r="AS410" s="1105"/>
      <c r="AT410" s="1106"/>
      <c r="AU410" s="1106"/>
      <c r="AV410" s="1106"/>
      <c r="AW410" s="1138"/>
      <c r="AX410" s="1120"/>
      <c r="AY410" s="1094"/>
      <c r="AZ410" s="1095" t="e">
        <f t="shared" si="181"/>
        <v>#REF!</v>
      </c>
      <c r="BA410" s="2"/>
    </row>
    <row r="411" spans="1:53" ht="15.75" hidden="1" customHeight="1" outlineLevel="1">
      <c r="A411" s="1027"/>
      <c r="B411" s="1096"/>
      <c r="C411" s="1139" t="s">
        <v>284</v>
      </c>
      <c r="D411" s="1122">
        <f>Parametres!$D$17</f>
        <v>450</v>
      </c>
      <c r="E411" s="1068" t="e">
        <f>COUNTIFS(#REF!,"&gt;0",#REF!,"&gt;="&amp;B399,#REF!,"&lt;="&amp;EOMONTH(B399,0))</f>
        <v>#REF!</v>
      </c>
      <c r="F411" s="1069" t="e">
        <f>SUMIFS(#REF!,#REF!,"&lt;&gt;0",#REF!,"&gt;="&amp;B399,#REF!,"&lt;="&amp;EOMONTH(B399,0))</f>
        <v>#REF!</v>
      </c>
      <c r="G411" s="1069" t="e">
        <f t="shared" si="179"/>
        <v>#REF!</v>
      </c>
      <c r="H411" s="1070" t="e">
        <f ca="1">MINIFS(#REF!,#REF!,"&lt;&gt;0",#REF!,"&gt;="&amp;B399,#REF!,"&lt;="&amp;EOMONTH(B399,0))</f>
        <v>#NAME?</v>
      </c>
      <c r="I411" s="1078" t="e">
        <f ca="1">MAXIFS(#REF!,#REF!,"&lt;&gt;0",#REF!,"&gt;="&amp;B399,#REF!,"&lt;="&amp;EOMONTH(B399,0))</f>
        <v>#NAME?</v>
      </c>
      <c r="J411" s="1114" t="e">
        <f>COUNTIFS(#REF!,"&gt;="&amp;D411,#REF!,"&gt;="&amp;B399,#REF!,"&lt;="&amp;EOMONTH(B399,0))</f>
        <v>#REF!</v>
      </c>
      <c r="K411" s="1341" t="e">
        <f t="shared" si="180"/>
        <v>#REF!</v>
      </c>
      <c r="L411" s="1115"/>
      <c r="M411" s="1082"/>
      <c r="N411" s="1171"/>
      <c r="O411" s="1171"/>
      <c r="P411" s="1173"/>
      <c r="Q411" s="1173"/>
      <c r="R411" s="1173"/>
      <c r="S411" s="1173"/>
      <c r="T411" s="1175"/>
      <c r="U411" s="1175"/>
      <c r="V411" s="1177"/>
      <c r="W411" s="1129"/>
      <c r="X411" s="1129"/>
      <c r="Y411" s="1069"/>
      <c r="Z411" s="1069"/>
      <c r="AA411" s="1069"/>
      <c r="AB411" s="1069"/>
      <c r="AC411" s="1130"/>
      <c r="AD411" s="1131"/>
      <c r="AE411" s="1082"/>
      <c r="AF411" s="1105"/>
      <c r="AG411" s="1106"/>
      <c r="AH411" s="1106"/>
      <c r="AI411" s="1106"/>
      <c r="AJ411" s="1106"/>
      <c r="AK411" s="1132"/>
      <c r="AL411" s="1105"/>
      <c r="AM411" s="1106"/>
      <c r="AN411" s="1106"/>
      <c r="AO411" s="1106"/>
      <c r="AP411" s="1119"/>
      <c r="AQ411" s="1132"/>
      <c r="AR411" s="1148"/>
      <c r="AS411" s="1105"/>
      <c r="AT411" s="1106"/>
      <c r="AU411" s="1106"/>
      <c r="AV411" s="1106"/>
      <c r="AW411" s="1119"/>
      <c r="AX411" s="1120"/>
      <c r="AY411" s="1094"/>
      <c r="AZ411" s="1095" t="e">
        <f t="shared" si="181"/>
        <v>#REF!</v>
      </c>
      <c r="BA411" s="2"/>
    </row>
    <row r="412" spans="1:53" ht="15.75" hidden="1" customHeight="1" outlineLevel="1">
      <c r="A412" s="1027"/>
      <c r="B412" s="1096"/>
      <c r="C412" s="1182" t="s">
        <v>35</v>
      </c>
      <c r="D412" s="1122">
        <f>Parametres!$D$18</f>
        <v>1750</v>
      </c>
      <c r="E412" s="1068" t="e">
        <f>COUNTIFS(#REF!,"&gt;0",#REF!,"&gt;="&amp;B399,#REF!,"&lt;="&amp;EOMONTH(B399,0))</f>
        <v>#REF!</v>
      </c>
      <c r="F412" s="1069" t="e">
        <f>SUMIFS(#REF!,#REF!,"&lt;&gt;0",#REF!,"&gt;="&amp;B399,#REF!,"&lt;="&amp;EOMONTH(B399,0))</f>
        <v>#REF!</v>
      </c>
      <c r="G412" s="1069" t="e">
        <f t="shared" si="179"/>
        <v>#REF!</v>
      </c>
      <c r="H412" s="1070" t="e">
        <f ca="1">MINIFS(#REF!,#REF!,"&lt;&gt;0",#REF!,"&gt;="&amp;B399,#REF!,"&lt;="&amp;EOMONTH(B399,0))</f>
        <v>#NAME?</v>
      </c>
      <c r="I412" s="1078" t="e">
        <f ca="1">MAXIFS(#REF!,#REF!,"&lt;&gt;0",#REF!,"&gt;="&amp;B399,#REF!,"&lt;="&amp;EOMONTH(B399,0))</f>
        <v>#NAME?</v>
      </c>
      <c r="J412" s="1114" t="e">
        <f>COUNTIFS(#REF!,"&gt;="&amp;D412,#REF!,"&gt;="&amp;B399,#REF!,"&lt;="&amp;EOMONTH(B399,0))</f>
        <v>#REF!</v>
      </c>
      <c r="K412" s="1341" t="e">
        <f t="shared" si="180"/>
        <v>#REF!</v>
      </c>
      <c r="L412" s="1115"/>
      <c r="M412" s="1082"/>
      <c r="N412" s="1144">
        <f>Parametres!$L$18</f>
        <v>5000</v>
      </c>
      <c r="O412" s="1077">
        <f>COUNTIFS('Degrémont Entrée'!$K$14:$K$379,"&gt;0",'Degrémont Entrée'!$A$14:$A$379,"&gt;="&amp;B399,'Degrémont Entrée'!$A$14:$A$379,"&lt;="&amp;EOMONTH(B399,0))</f>
        <v>24</v>
      </c>
      <c r="P412" s="1078">
        <f>SUMIFS('Degrémont Entrée'!$K$14:$K$379,'Degrémont Entrée'!$K$14:$K$379,"&lt;&gt;0",'Degrémont Entrée'!$A$14:$A$379,"&gt;="&amp;B399,'Degrémont Entrée'!$A$14:$A$379,"&lt;="&amp;EOMONTH(B399,0))</f>
        <v>142015</v>
      </c>
      <c r="Q412" s="1078">
        <f t="shared" ref="Q412:Q414" si="184">IF(O412=0,0,P412/O412)</f>
        <v>5917.291666666667</v>
      </c>
      <c r="R412" s="1078" t="e">
        <f ca="1">MINIFS('Degrémont Entrée'!$K$14:$K$379,'Degrémont Entrée'!$K$14:$K$379,"&lt;&gt;0",'Degrémont Entrée'!$A$14:$A$379,"&gt;="&amp;B399,'Degrémont Entrée'!$A$14:$A$379,"&lt;="&amp;EOMONTH(B399,0))</f>
        <v>#NAME?</v>
      </c>
      <c r="S412" s="1078" t="e">
        <f ca="1">MAXIFS('Degrémont Entrée'!$K$14:$K$379,'Degrémont Entrée'!$K$14:$K$379,"&lt;&gt;0",'Degrémont Entrée'!$A$14:$A$379,"&gt;="&amp;B399,'Degrémont Entrée'!$A$14:$A$379,"&lt;="&amp;EOMONTH(B399,0))</f>
        <v>#NAME?</v>
      </c>
      <c r="T412" s="1080">
        <f>COUNTIFS('Degrémont Entrée'!$K$14:$K$379,"&gt;="&amp;N412,'Degrémont Entrée'!$A$14:$A$379,"&gt;="&amp;B399,'Degrémont Entrée'!$A$14:$A$379,"&lt;="&amp;EOMONTH(B399,0))</f>
        <v>15</v>
      </c>
      <c r="U412" s="1081">
        <f>T412/O412</f>
        <v>0.625</v>
      </c>
      <c r="V412" s="1082"/>
      <c r="W412" s="1083">
        <f>Parametres!$T$18</f>
        <v>2000</v>
      </c>
      <c r="X412" s="1142">
        <f>COUNTIFS('Degrémont sortie'!$I$14:$I$379,"&gt;0",'Degrémont sortie'!$A$14:$A$379,"&gt;="&amp;B399,'Degrémont sortie'!$A$14:$A$379,"&lt;="&amp;EOMONTH(B399,0))</f>
        <v>24</v>
      </c>
      <c r="Y412" s="1085">
        <f>SUMIFS('Degrémont sortie'!$I$14:$I$379,'Degrémont sortie'!$I$14:$I$379,"&lt;&gt;0",'Degrémont sortie'!$A$14:$A$379,"&gt;="&amp;B399,'Degrémont sortie'!$A$14:$A$379,"&lt;="&amp;EOMONTH(B399,0))</f>
        <v>12548</v>
      </c>
      <c r="Z412" s="1069">
        <f>IF(X412=0,0,Y412/X412)</f>
        <v>522.83333333333337</v>
      </c>
      <c r="AA412" s="1069" t="e">
        <f ca="1">MINIFS('Degrémont sortie'!$I$14:$I$379,'Degrémont sortie'!$I$14:$I$379,"&lt;&gt;0",'Degrémont sortie'!$A$14:$A$379,"&gt;="&amp;B399,'Degrémont sortie'!$A$14:$A$379,"&lt;="&amp;EOMONTH(B399,0))</f>
        <v>#NAME?</v>
      </c>
      <c r="AB412" s="1069" t="e">
        <f ca="1">MAXIFS('Degrémont sortie'!$I$14:$I$379,'Degrémont sortie'!$I$14:$I$379,"&lt;&gt;0",'Degrémont sortie'!$A$14:$A$379,"&gt;="&amp;B399,'Degrémont sortie'!$A$14:$A$379,"&lt;="&amp;EOMONTH(B399,0))</f>
        <v>#NAME?</v>
      </c>
      <c r="AC412" s="1142">
        <f>COUNTIFS('Degrémont sortie'!$I$14:$I$379,"&gt;="&amp;W412,'Degrémont sortie'!$A$14:$A$379,"&gt;="&amp;B399,'Degrémont sortie'!$A$14:$A$379,"&lt;="&amp;EOMONTH(B399,0))</f>
        <v>0</v>
      </c>
      <c r="AD412" s="1087">
        <f>AC412/X412</f>
        <v>0</v>
      </c>
      <c r="AE412" s="1082"/>
      <c r="AF412" s="1205" t="e">
        <f>COUNTIFS(#REF!,"&gt;0",#REF!,"&gt;="&amp;B399,#REF!,"&lt;="&amp;EOMONTH(B399,0))</f>
        <v>#REF!</v>
      </c>
      <c r="AG412" s="1208" t="e">
        <f>SUMIFS(#REF!,#REF!,"&lt;&gt;0",#REF!,"&gt;="&amp;B399,#REF!,"&lt;="&amp;EOMONTH(B399,0))</f>
        <v>#REF!</v>
      </c>
      <c r="AH412" s="1208" t="e">
        <f>IF(AF412=0,0,AG412/AF412)</f>
        <v>#REF!</v>
      </c>
      <c r="AI412" s="1208" t="e">
        <f ca="1">MINIFS(#REF!,#REF!,"&lt;&gt;0",#REF!,"&gt;="&amp;B399,#REF!,"&lt;="&amp;EOMONTH(B399,0))</f>
        <v>#NAME?</v>
      </c>
      <c r="AJ412" s="1211" t="e">
        <f ca="1">MAXIFS(#REF!,#REF!,"&lt;&gt;0",#REF!,"&gt;="&amp;B399,#REF!,"&lt;="&amp;EOMONTH(B399,0))</f>
        <v>#NAME?</v>
      </c>
      <c r="AK412" s="1132"/>
      <c r="AL412" s="1205" t="e">
        <f>COUNTIFS(#REF!,"&gt;0",#REF!,"&gt;="&amp;B399,#REF!,"&lt;="&amp;EOMONTH(B399,0))</f>
        <v>#REF!</v>
      </c>
      <c r="AM412" s="1208" t="e">
        <f>SUMIFS(#REF!,#REF!,"&lt;&gt;0",#REF!,"&gt;="&amp;B399,#REF!,"&lt;="&amp;EOMONTH(B399,0))</f>
        <v>#REF!</v>
      </c>
      <c r="AN412" s="1208" t="e">
        <f>IF(AL412=0,0,AM412/AL412)</f>
        <v>#REF!</v>
      </c>
      <c r="AO412" s="1208" t="e">
        <f ca="1">MINIFS(#REF!,#REF!,"&lt;&gt;0",#REF!,"&gt;="&amp;B399,#REF!,"&lt;="&amp;EOMONTH(B399,0))</f>
        <v>#NAME?</v>
      </c>
      <c r="AP412" s="1218" t="e">
        <f ca="1">MAXIFS(#REF!,#REF!,"&lt;&gt;0",#REF!,"&gt;="&amp;B399,#REF!,"&lt;="&amp;EOMONTH(B399,0))</f>
        <v>#NAME?</v>
      </c>
      <c r="AQ412" s="1132"/>
      <c r="AR412" s="1220">
        <f>Parametres!$AM$18</f>
        <v>17000</v>
      </c>
      <c r="AS412" s="1205" t="e">
        <f>COUNTIFS(#REF!,"&gt;0",#REF!,"&gt;="&amp;B399,#REF!,"&lt;="&amp;EOMONTH(B399,0))</f>
        <v>#REF!</v>
      </c>
      <c r="AT412" s="1208" t="e">
        <f>SUMIFS(#REF!,#REF!,"&lt;&gt;0",#REF!,"&gt;="&amp;B399,#REF!,"&lt;="&amp;EOMONTH(B399,0))</f>
        <v>#REF!</v>
      </c>
      <c r="AU412" s="1208" t="e">
        <f>IF(AS412=0,0,AT412/AS412)</f>
        <v>#REF!</v>
      </c>
      <c r="AV412" s="1208" t="e">
        <f ca="1">MINIFS(#REF!,#REF!,"&lt;&gt;0",#REF!,"&gt;="&amp;B399,#REF!,"&lt;="&amp;EOMONTH(B399,0))</f>
        <v>#NAME?</v>
      </c>
      <c r="AW412" s="1222" t="e">
        <f ca="1">MAXIFS(#REF!,#REF!,"&lt;&gt;0",#REF!,"&gt;="&amp;B399,#REF!,"&lt;="&amp;EOMONTH(B399,0))</f>
        <v>#NAME?</v>
      </c>
      <c r="AX412" s="1223" t="e">
        <f>COUNTIFS(#REF!,"&gt;="&amp;AR412,#REF!,"&gt;="&amp;B399,#REF!,"&lt;="&amp;EOMONTH(B399,0))</f>
        <v>#REF!</v>
      </c>
      <c r="AY412" s="1224" t="e">
        <f>AX412/AS412</f>
        <v>#REF!</v>
      </c>
      <c r="AZ412" s="1095" t="e">
        <f t="shared" si="181"/>
        <v>#REF!</v>
      </c>
      <c r="BA412" s="2"/>
    </row>
    <row r="413" spans="1:53" ht="15.75" hidden="1" customHeight="1" outlineLevel="1">
      <c r="A413" s="1027"/>
      <c r="B413" s="1096"/>
      <c r="C413" s="1139" t="s">
        <v>36</v>
      </c>
      <c r="D413" s="1122">
        <f>Parametres!$D$19</f>
        <v>100000</v>
      </c>
      <c r="E413" s="1068" t="e">
        <f>COUNTIFS(#REF!,"&gt;0",#REF!,"&gt;="&amp;B399,#REF!,"&lt;="&amp;EOMONTH(B399,0))</f>
        <v>#REF!</v>
      </c>
      <c r="F413" s="1069" t="e">
        <f>SUMIFS(#REF!,#REF!,"&lt;&gt;0",#REF!,"&gt;="&amp;B399,#REF!,"&lt;="&amp;EOMONTH(B399,0))</f>
        <v>#REF!</v>
      </c>
      <c r="G413" s="1069" t="e">
        <f t="shared" si="179"/>
        <v>#REF!</v>
      </c>
      <c r="H413" s="1070" t="e">
        <f ca="1">MINIFS(#REF!,#REF!,"&lt;&gt;0",#REF!,"&gt;="&amp;B399,#REF!,"&lt;="&amp;EOMONTH(B399,0))</f>
        <v>#NAME?</v>
      </c>
      <c r="I413" s="1078" t="e">
        <f ca="1">MAXIFS(#REF!,#REF!,"&lt;&gt;0",#REF!,"&gt;="&amp;B399,#REF!,"&lt;="&amp;EOMONTH(B399,0))</f>
        <v>#NAME?</v>
      </c>
      <c r="J413" s="1072" t="s">
        <v>153</v>
      </c>
      <c r="K413" s="1072" t="s">
        <v>153</v>
      </c>
      <c r="L413" s="1115"/>
      <c r="M413" s="1082"/>
      <c r="N413" s="1144">
        <f>Parametres!$L$19</f>
        <v>100000</v>
      </c>
      <c r="O413" s="1077">
        <f>COUNTIFS('Degrémont Entrée'!$O$14:$O$379,"&gt;0",'Degrémont Entrée'!$A$14:$A$379,"&gt;="&amp;B399,'Degrémont Entrée'!$A$14:$A$379,"&lt;="&amp;EOMONTH(B399,0))</f>
        <v>24</v>
      </c>
      <c r="P413" s="1078">
        <f>SUMIFS('Degrémont Entrée'!$O$14:$O$379,'Degrémont Entrée'!$O$14:$O$379,"&lt;&gt;0",'Degrémont Entrée'!$A$14:$A$379,"&gt;="&amp;B399,'Degrémont Entrée'!$A$14:$A$379,"&lt;="&amp;EOMONTH(B399,0))</f>
        <v>13597</v>
      </c>
      <c r="Q413" s="1078">
        <f t="shared" si="184"/>
        <v>566.54166666666663</v>
      </c>
      <c r="R413" s="1173" t="e">
        <f ca="1">MINIFS('Degrémont Entrée'!$O$14:$O$379,'Degrémont Entrée'!$O$14:$O$379,"&lt;&gt;0",'Degrémont Entrée'!$A$14:$A$379,"&gt;="&amp;B399,'Degrémont Entrée'!$A$14:$A$379,"&lt;="&amp;EOMONTH(B399,0))</f>
        <v>#NAME?</v>
      </c>
      <c r="S413" s="1227" t="e">
        <f ca="1">MAXIFS('Degrémont Entrée'!$O$14:$O$379,'Degrémont Entrée'!$O$14:$O$379,"&lt;&gt;0",'Degrémont Entrée'!$A$14:$A$379,"&gt;="&amp;B399,'Degrémont Entrée'!$A$14:$A$379,"&lt;="&amp;EOMONTH(B399,0))</f>
        <v>#NAME?</v>
      </c>
      <c r="T413" s="1228" t="s">
        <v>153</v>
      </c>
      <c r="U413" s="1228" t="s">
        <v>153</v>
      </c>
      <c r="V413" s="1177"/>
      <c r="W413" s="1129"/>
      <c r="X413" s="1129"/>
      <c r="Y413" s="1069"/>
      <c r="Z413" s="1069"/>
      <c r="AA413" s="1069"/>
      <c r="AB413" s="1069"/>
      <c r="AC413" s="1130"/>
      <c r="AD413" s="1131"/>
      <c r="AE413" s="1082"/>
      <c r="AF413" s="1106"/>
      <c r="AG413" s="1106"/>
      <c r="AH413" s="1106"/>
      <c r="AI413" s="1106"/>
      <c r="AJ413" s="1106"/>
      <c r="AK413" s="1132"/>
      <c r="AL413" s="1106"/>
      <c r="AM413" s="1106"/>
      <c r="AN413" s="1106"/>
      <c r="AO413" s="1106"/>
      <c r="AP413" s="1119"/>
      <c r="AQ413" s="1132"/>
      <c r="AR413" s="1106"/>
      <c r="AS413" s="1106"/>
      <c r="AT413" s="1106"/>
      <c r="AU413" s="1106"/>
      <c r="AV413" s="1106"/>
      <c r="AW413" s="1119"/>
      <c r="AX413" s="1120"/>
      <c r="AY413" s="1094"/>
      <c r="AZ413" s="1095" t="e">
        <f t="shared" si="181"/>
        <v>#REF!</v>
      </c>
      <c r="BA413" s="2"/>
    </row>
    <row r="414" spans="1:53" ht="15.75" hidden="1" customHeight="1" outlineLevel="1">
      <c r="A414" s="1027"/>
      <c r="B414" s="1096"/>
      <c r="C414" s="1139" t="s">
        <v>32</v>
      </c>
      <c r="D414" s="1122">
        <f>Parametres!$D$20</f>
        <v>4800</v>
      </c>
      <c r="E414" s="1068" t="e">
        <f>COUNTIFS(#REF!,"&gt;0",#REF!,"&gt;="&amp;B399,#REF!,"&lt;="&amp;EOMONTH(B399,0))</f>
        <v>#REF!</v>
      </c>
      <c r="F414" s="1069" t="e">
        <f>SUMIFS(#REF!,#REF!,"&lt;&gt;0",#REF!,"&gt;="&amp;B399,#REF!,"&lt;="&amp;EOMONTH(B399,0))</f>
        <v>#REF!</v>
      </c>
      <c r="G414" s="1069" t="e">
        <f t="shared" si="179"/>
        <v>#REF!</v>
      </c>
      <c r="H414" s="1070" t="e">
        <f ca="1">MINIFS(#REF!,#REF!,"&lt;&gt;0",#REF!,"&gt;="&amp;B399,#REF!,"&lt;="&amp;EOMONTH(B399,0))</f>
        <v>#NAME?</v>
      </c>
      <c r="I414" s="1078" t="e">
        <f ca="1">MAXIFS(#REF!,#REF!,"&lt;&gt;0",#REF!,"&gt;="&amp;B399,#REF!,"&lt;="&amp;EOMONTH(B399,0))</f>
        <v>#NAME?</v>
      </c>
      <c r="J414" s="1072" t="e">
        <f>COUNTIFS(#REF!,"&gt;="&amp;D414,#REF!,"&gt;="&amp;B399,#REF!,"&lt;="&amp;EOMONTH(B399,0))</f>
        <v>#REF!</v>
      </c>
      <c r="K414" s="1341" t="e">
        <f t="shared" ref="K414:K415" si="185">J414/E414</f>
        <v>#REF!</v>
      </c>
      <c r="L414" s="1115"/>
      <c r="M414" s="1082"/>
      <c r="N414" s="1144">
        <f>Parametres!$L$20</f>
        <v>1000</v>
      </c>
      <c r="O414" s="1077">
        <f>COUNTIFS('Degrémont Entrée'!$B$14:$B$379,"&gt;0",'Degrémont Entrée'!$A$14:$A$379,"&gt;="&amp;B399,'Degrémont Entrée'!$A$14:$A$379,"&lt;="&amp;EOMONTH(B399,0))</f>
        <v>24</v>
      </c>
      <c r="P414" s="1078">
        <f>SUMIFS('Degrémont Entrée'!$B$14:$B$379,'Degrémont Entrée'!$B$14:$B$379,"&lt;&gt;0",'Degrémont Entrée'!$A$14:$A$379,"&gt;="&amp;B399,'Degrémont Entrée'!$A$14:$A$379,"&lt;="&amp;EOMONTH(B399,0))</f>
        <v>24428</v>
      </c>
      <c r="Q414" s="1078">
        <f t="shared" si="184"/>
        <v>1017.8333333333334</v>
      </c>
      <c r="R414" s="1173" t="e">
        <f ca="1">MINIFS('Degrémont Entrée'!$B$14:$B$379,'Degrémont Entrée'!$B$14:$B$379,"&lt;&gt;0",'Degrémont Entrée'!$A$14:$A$379,"&gt;="&amp;B399,'Degrémont Entrée'!$A$14:$A$379,"&lt;="&amp;EOMONTH(B399,0))</f>
        <v>#NAME?</v>
      </c>
      <c r="S414" s="1078" t="e">
        <f ca="1">MAXIFS('Degrémont Entrée'!$B$14:$B$379,'Degrémont Entrée'!$B$14:$B$379,"&lt;&gt;0",'Degrémont Entrée'!$A$14:$A$379,"&gt;="&amp;B399,'Degrémont Entrée'!$A$14:$A$379,"&lt;="&amp;EOMONTH(B399,0))</f>
        <v>#NAME?</v>
      </c>
      <c r="T414" s="1236">
        <f>COUNTIFS('Degrémont Entrée'!$B$14:$B$379,"&gt;="&amp;N414,'Degrémont Entrée'!$A$14:$A$379,"&gt;="&amp;B399,'Degrémont Entrée'!$A$14:$A$379,"&lt;="&amp;EOMONTH(B399,0))</f>
        <v>11</v>
      </c>
      <c r="U414" s="1081">
        <f>T414/O414</f>
        <v>0.45833333333333331</v>
      </c>
      <c r="V414" s="1177"/>
      <c r="W414" s="1083">
        <f>Parametres!$T$20</f>
        <v>1000</v>
      </c>
      <c r="X414" s="1142">
        <f>COUNTIFS('Degrémont sortie'!$B$14:$B$379,"&gt;0",'Degrémont sortie'!$A$14:$A$379,"&gt;="&amp;B399,'Degrémont sortie'!$A$14:$A$379,"&lt;="&amp;EOMONTH(B399,0))</f>
        <v>24</v>
      </c>
      <c r="Y414" s="1085">
        <f>SUMIFS('Degrémont sortie'!$B$14:$B$379,'Degrémont sortie'!$B$14:$B$379,"&lt;&gt;0",'Degrémont sortie'!$A$14:$A$379,"&gt;="&amp;B399,'Degrémont sortie'!$A$14:$A$379,"&lt;="&amp;EOMONTH(B399,0))</f>
        <v>24428</v>
      </c>
      <c r="Z414" s="1069">
        <f>IF(X414=0,0,Y414/X414)</f>
        <v>1017.8333333333334</v>
      </c>
      <c r="AA414" s="1069" t="e">
        <f ca="1">MINIFS('Degrémont sortie'!$B$14:$B$379,'Degrémont sortie'!$B$14:$B$379,"&lt;&gt;0",'Degrémont sortie'!$A$14:$A$379,"&gt;="&amp;B399,'Degrémont sortie'!$A$14:$A$379,"&lt;="&amp;EOMONTH(B399,0))</f>
        <v>#NAME?</v>
      </c>
      <c r="AB414" s="1069" t="e">
        <f ca="1">MAXIFS('Degrémont sortie'!$B$14:$B$379,'Degrémont sortie'!$B$14:$B$379,"&lt;&gt;0",'Degrémont sortie'!$A$14:$A$379,"&gt;="&amp;B399,'Degrémont sortie'!$A$14:$A$379,"&lt;="&amp;EOMONTH(B399,0))</f>
        <v>#NAME?</v>
      </c>
      <c r="AC414" s="1142">
        <f>COUNTIFS('Degrémont sortie'!$B$14:$B$379,"&gt;="&amp;W414,'Degrémont sortie'!$A$14:$A$379,"&gt;="&amp;B399,'Degrémont sortie'!$A$14:$A$379,"&lt;="&amp;EOMONTH(B399,0))</f>
        <v>11</v>
      </c>
      <c r="AD414" s="1087">
        <f>AC414/X414</f>
        <v>0.45833333333333331</v>
      </c>
      <c r="AE414" s="1082"/>
      <c r="AF414" s="1205" t="e">
        <f>COUNTIFS(#REF!,"&gt;0",#REF!,"&gt;="&amp;B399,#REF!,"&lt;="&amp;EOMONTH(B399,0))</f>
        <v>#REF!</v>
      </c>
      <c r="AG414" s="1208" t="e">
        <f>SUMIFS(#REF!,#REF!,"&lt;&gt;0",#REF!,"&gt;="&amp;B399,#REF!,"&lt;="&amp;EOMONTH(B399,0))</f>
        <v>#REF!</v>
      </c>
      <c r="AH414" s="1208" t="e">
        <f>IF(AF414=0,0,AG414/AF414)</f>
        <v>#REF!</v>
      </c>
      <c r="AI414" s="1208" t="e">
        <f ca="1">MINIFS(#REF!,#REF!,"&lt;&gt;0",#REF!,"&gt;="&amp;B399,#REF!,"&lt;="&amp;EOMONTH(B399,0))</f>
        <v>#NAME?</v>
      </c>
      <c r="AJ414" s="1208" t="e">
        <f ca="1">MAXIFS(#REF!,#REF!,"&lt;&gt;0",#REF!,"&gt;="&amp;B399,#REF!,"&lt;="&amp;EOMONTH(B399,0))</f>
        <v>#NAME?</v>
      </c>
      <c r="AK414" s="1132"/>
      <c r="AL414" s="1106"/>
      <c r="AM414" s="1106"/>
      <c r="AN414" s="1106"/>
      <c r="AO414" s="1106"/>
      <c r="AP414" s="1119"/>
      <c r="AQ414" s="1132"/>
      <c r="AR414" s="1220">
        <f>Parametres!$AM$20</f>
        <v>1000000</v>
      </c>
      <c r="AS414" s="1205" t="e">
        <f>COUNTIFS(#REF!,"&gt;0",#REF!,"&gt;="&amp;B399,#REF!,"&lt;="&amp;EOMONTH(B399,0))</f>
        <v>#REF!</v>
      </c>
      <c r="AT414" s="1208" t="e">
        <f>SUMIFS(#REF!,#REF!,"&lt;&gt;0",#REF!,"&gt;="&amp;B399,#REF!,"&lt;="&amp;EOMONTH(B399,0))</f>
        <v>#REF!</v>
      </c>
      <c r="AU414" s="1208" t="e">
        <f>IF(AS414=0,0,AT414/AS414)</f>
        <v>#REF!</v>
      </c>
      <c r="AV414" s="1208" t="e">
        <f ca="1">MINIFS(#REF!,#REF!,"&lt;&gt;0",#REF!,"&gt;="&amp;B399,#REF!,"&lt;="&amp;EOMONTH(B399,0))</f>
        <v>#NAME?</v>
      </c>
      <c r="AW414" s="1222" t="e">
        <f ca="1">MAXIFS(#REF!,#REF!,"&lt;&gt;0",#REF!,"&gt;="&amp;B399,#REF!,"&lt;="&amp;EOMONTH(B399,0))</f>
        <v>#NAME?</v>
      </c>
      <c r="AX414" s="1243" t="s">
        <v>153</v>
      </c>
      <c r="AY414" s="1224" t="e">
        <f>AX414/AS414</f>
        <v>#VALUE!</v>
      </c>
      <c r="AZ414" s="1095" t="e">
        <f t="shared" si="181"/>
        <v>#REF!</v>
      </c>
      <c r="BA414" s="2"/>
    </row>
    <row r="415" spans="1:53" ht="15.75" hidden="1" customHeight="1" outlineLevel="1">
      <c r="A415" s="1027"/>
      <c r="B415" s="1096"/>
      <c r="C415" s="1121" t="s">
        <v>21</v>
      </c>
      <c r="D415" s="1122">
        <f>Parametres!$D$22</f>
        <v>2</v>
      </c>
      <c r="E415" s="1068" t="e">
        <f>COUNTIFS(#REF!,"&gt;0",#REF!,"&gt;="&amp;B399,#REF!,"&lt;="&amp;EOMONTH(B399,0))</f>
        <v>#REF!</v>
      </c>
      <c r="F415" s="1069" t="e">
        <f>SUMIFS(#REF!,#REF!,"&lt;&gt;0",#REF!,"&gt;="&amp;B399,#REF!,"&lt;="&amp;EOMONTH(B399,0))</f>
        <v>#REF!</v>
      </c>
      <c r="G415" s="1069" t="e">
        <f t="shared" si="179"/>
        <v>#REF!</v>
      </c>
      <c r="H415" s="1070" t="e">
        <f ca="1">MINIFS(#REF!,#REF!,"&lt;&gt;0",#REF!,"&gt;="&amp;B399,#REF!,"&lt;="&amp;EOMONTH(B399,0))</f>
        <v>#NAME?</v>
      </c>
      <c r="I415" s="1078" t="e">
        <f ca="1">MAXIFS(#REF!,#REF!,"&lt;&gt;0",#REF!,"&gt;="&amp;B399,#REF!,"&lt;="&amp;EOMONTH(B399,0))</f>
        <v>#NAME?</v>
      </c>
      <c r="J415" s="1072" t="e">
        <f>COUNTIFS(#REF!,"&gt;="&amp;D415,#REF!,"&gt;="&amp;B399,#REF!,"&lt;="&amp;EOMONTH(B399,0))</f>
        <v>#REF!</v>
      </c>
      <c r="K415" s="1341" t="e">
        <f t="shared" si="185"/>
        <v>#REF!</v>
      </c>
      <c r="L415" s="1115"/>
      <c r="M415" s="1082"/>
      <c r="N415" s="1171"/>
      <c r="O415" s="1171"/>
      <c r="P415" s="1173"/>
      <c r="Q415" s="1173"/>
      <c r="R415" s="1173"/>
      <c r="S415" s="1173"/>
      <c r="T415" s="1175"/>
      <c r="U415" s="1175"/>
      <c r="V415" s="1082"/>
      <c r="W415" s="1106"/>
      <c r="X415" s="1106"/>
      <c r="Y415" s="1069"/>
      <c r="Z415" s="1069"/>
      <c r="AA415" s="1069"/>
      <c r="AB415" s="1069"/>
      <c r="AC415" s="1248"/>
      <c r="AD415" s="1249"/>
      <c r="AE415" s="1082"/>
      <c r="AF415" s="1106"/>
      <c r="AG415" s="1106"/>
      <c r="AH415" s="1106"/>
      <c r="AI415" s="1106"/>
      <c r="AJ415" s="1106"/>
      <c r="AK415" s="1132"/>
      <c r="AL415" s="1106"/>
      <c r="AM415" s="1106"/>
      <c r="AN415" s="1106"/>
      <c r="AO415" s="1106"/>
      <c r="AP415" s="1119"/>
      <c r="AQ415" s="1132"/>
      <c r="AR415" s="1106"/>
      <c r="AS415" s="1106"/>
      <c r="AT415" s="1106"/>
      <c r="AU415" s="1106"/>
      <c r="AV415" s="1106"/>
      <c r="AW415" s="1119"/>
      <c r="AX415" s="1120"/>
      <c r="AY415" s="1094"/>
      <c r="AZ415" s="1095" t="e">
        <f t="shared" si="181"/>
        <v>#REF!</v>
      </c>
      <c r="BA415" s="2"/>
    </row>
    <row r="416" spans="1:53" ht="15.75" hidden="1" customHeight="1" outlineLevel="1">
      <c r="A416" s="1027"/>
      <c r="B416" s="1096"/>
      <c r="C416" s="1121" t="s">
        <v>22</v>
      </c>
      <c r="D416" s="1122">
        <f>Parametres!$D$23</f>
        <v>1000000</v>
      </c>
      <c r="E416" s="1068" t="e">
        <f>COUNTIFS(#REF!,"&gt;0",#REF!,"&gt;="&amp;B399,#REF!,"&lt;="&amp;EOMONTH(B399,0))</f>
        <v>#REF!</v>
      </c>
      <c r="F416" s="1069" t="e">
        <f>SUMIFS(#REF!,#REF!,"&lt;&gt;0",#REF!,"&gt;="&amp;B399,#REF!,"&lt;="&amp;EOMONTH(B399,0))</f>
        <v>#REF!</v>
      </c>
      <c r="G416" s="1069" t="e">
        <f t="shared" si="179"/>
        <v>#REF!</v>
      </c>
      <c r="H416" s="1070" t="e">
        <f ca="1">MINIFS(#REF!,#REF!,"&lt;&gt;0",#REF!,"&gt;="&amp;B399,#REF!,"&lt;="&amp;EOMONTH(B399,0))</f>
        <v>#NAME?</v>
      </c>
      <c r="I416" s="1078" t="e">
        <f ca="1">MAXIFS(#REF!,#REF!,"&lt;&gt;0",#REF!,"&gt;="&amp;B399,#REF!,"&lt;="&amp;EOMONTH(B399,0))</f>
        <v>#NAME?</v>
      </c>
      <c r="J416" s="1072" t="s">
        <v>153</v>
      </c>
      <c r="K416" s="1072" t="s">
        <v>153</v>
      </c>
      <c r="L416" s="1115"/>
      <c r="M416" s="1082"/>
      <c r="N416" s="1171"/>
      <c r="O416" s="1171"/>
      <c r="P416" s="1173"/>
      <c r="Q416" s="1173"/>
      <c r="R416" s="1173"/>
      <c r="S416" s="1173"/>
      <c r="T416" s="1175"/>
      <c r="U416" s="1175"/>
      <c r="V416" s="1082"/>
      <c r="W416" s="1106"/>
      <c r="X416" s="1106"/>
      <c r="Y416" s="1069"/>
      <c r="Z416" s="1069"/>
      <c r="AA416" s="1069"/>
      <c r="AB416" s="1069"/>
      <c r="AC416" s="1248"/>
      <c r="AD416" s="1249"/>
      <c r="AE416" s="1082"/>
      <c r="AF416" s="1106"/>
      <c r="AG416" s="1106"/>
      <c r="AH416" s="1106"/>
      <c r="AI416" s="1106"/>
      <c r="AJ416" s="1106"/>
      <c r="AK416" s="1132"/>
      <c r="AL416" s="1106"/>
      <c r="AM416" s="1106"/>
      <c r="AN416" s="1106"/>
      <c r="AO416" s="1106"/>
      <c r="AP416" s="1119"/>
      <c r="AQ416" s="1132"/>
      <c r="AR416" s="1106"/>
      <c r="AS416" s="1106"/>
      <c r="AT416" s="1106"/>
      <c r="AU416" s="1106"/>
      <c r="AV416" s="1106"/>
      <c r="AW416" s="1119"/>
      <c r="AX416" s="1120"/>
      <c r="AY416" s="1094"/>
      <c r="AZ416" s="1095" t="e">
        <f t="shared" si="181"/>
        <v>#REF!</v>
      </c>
      <c r="BA416" s="2"/>
    </row>
    <row r="417" spans="1:53" ht="15.75" hidden="1" customHeight="1" outlineLevel="1">
      <c r="A417" s="1027"/>
      <c r="B417" s="1096"/>
      <c r="C417" s="1139" t="s">
        <v>44</v>
      </c>
      <c r="D417" s="1122">
        <f>Parametres!$D$24</f>
        <v>5</v>
      </c>
      <c r="E417" s="1068" t="e">
        <f>COUNTIFS(#REF!,"&gt;0",#REF!,"&gt;="&amp;B399,#REF!,"&lt;="&amp;EOMONTH(B399,0))</f>
        <v>#REF!</v>
      </c>
      <c r="F417" s="1069" t="e">
        <f>SUMIFS(#REF!,#REF!,"&lt;&gt;0",#REF!,"&gt;="&amp;B399,#REF!,"&lt;="&amp;EOMONTH(B399,0))</f>
        <v>#REF!</v>
      </c>
      <c r="G417" s="1069" t="e">
        <f t="shared" si="179"/>
        <v>#REF!</v>
      </c>
      <c r="H417" s="1070" t="e">
        <f ca="1">MINIFS(#REF!,#REF!,"&lt;&gt;0",#REF!,"&gt;="&amp;B399,#REF!,"&lt;="&amp;EOMONTH(B399,0))</f>
        <v>#NAME?</v>
      </c>
      <c r="I417" s="1078" t="e">
        <f ca="1">MAXIFS(#REF!,#REF!,"&lt;&gt;0",#REF!,"&gt;="&amp;B399,#REF!,"&lt;="&amp;EOMONTH(B399,0))</f>
        <v>#NAME?</v>
      </c>
      <c r="J417" s="1072" t="e">
        <f>COUNTIFS(#REF!,"&gt;="&amp;D417,#REF!,"&gt;="&amp;B399,#REF!,"&lt;="&amp;EOMONTH(B399,0))</f>
        <v>#REF!</v>
      </c>
      <c r="K417" s="1341" t="e">
        <f t="shared" ref="K417:K425" si="186">J417/E417</f>
        <v>#REF!</v>
      </c>
      <c r="L417" s="1115"/>
      <c r="M417" s="1082"/>
      <c r="N417" s="1144">
        <f>Parametres!$L$24</f>
        <v>60</v>
      </c>
      <c r="O417" s="1077">
        <f>COUNTIFS('Degrémont Entrée'!$AP$14:$AP$379,"&gt;0",'Degrémont Entrée'!$A$14:$A$379,"&gt;="&amp;B399,'Degrémont Entrée'!$A$14:$A$379,"&lt;="&amp;EOMONTH(B399,0))</f>
        <v>4</v>
      </c>
      <c r="P417" s="1078">
        <f>SUMIFS('Degrémont Entrée'!$AP$14:$AP$379,'Degrémont Entrée'!$AP$14:$AP$379,"&lt;&gt;0",'Degrémont Entrée'!$A$14:$A$379,"&gt;="&amp;B399,'Degrémont Entrée'!$A$14:$A$379,"&lt;="&amp;EOMONTH(B399,0))</f>
        <v>532.61</v>
      </c>
      <c r="Q417" s="1078">
        <f>IF(O417=0,0,P417/O417)</f>
        <v>133.1525</v>
      </c>
      <c r="R417" s="1078" t="e">
        <f ca="1">MINIFS('Degrémont Entrée'!$AP$14:$AP$379,'Degrémont Entrée'!$AP$14:$AP$379,"&lt;&gt;0",'Degrémont Entrée'!$A$14:$A$379,"&gt;="&amp;B399,'Degrémont Entrée'!$A$14:$A$379,"&lt;="&amp;EOMONTH(B399,0))</f>
        <v>#NAME?</v>
      </c>
      <c r="S417" s="1078" t="e">
        <f ca="1">MAXIFS('Degrémont Entrée'!$AP$14:$AP$379,'Degrémont Entrée'!$AP$14:$AP$379,"&lt;&gt;0",'Degrémont Entrée'!$A$14:$A$379,"&gt;="&amp;B399,'Degrémont Entrée'!$A$14:$A$379,"&lt;="&amp;EOMONTH(B399,0))</f>
        <v>#NAME?</v>
      </c>
      <c r="T417" s="1080">
        <f>COUNTIFS('Degrémont Entrée'!$AP$14:$AP$379,"&gt;="&amp;N417,'Degrémont Entrée'!$A$14:$A$379,"&gt;="&amp;B399,'Degrémont Entrée'!$A$14:$A$379,"&lt;="&amp;EOMONTH(B399,0))</f>
        <v>4</v>
      </c>
      <c r="U417" s="1081">
        <f>T417/O417</f>
        <v>1</v>
      </c>
      <c r="V417" s="1082"/>
      <c r="W417" s="1083">
        <f>Parametres!$T$24</f>
        <v>1.6</v>
      </c>
      <c r="X417" s="1142">
        <f>COUNTIFS('Degrémont sortie'!$AJ$14:$AJ$379,"&gt;0",'Degrémont sortie'!$A$14:$A$379,"&gt;="&amp;B399,'Degrémont sortie'!$A$14:$A$379,"&lt;="&amp;EOMONTH(B399,0))</f>
        <v>4</v>
      </c>
      <c r="Y417" s="1085">
        <f>SUMIFS('Degrémont sortie'!$AJ$14:$AJ$379,'Degrémont sortie'!$AJ$14:$AJ$379,"&lt;&gt;0",'Degrémont sortie'!$A$14:$A$379,"&gt;="&amp;B399,'Degrémont sortie'!$A$14:$A$379,"&lt;="&amp;EOMONTH(B399,0))</f>
        <v>3.6500000000000004</v>
      </c>
      <c r="Z417" s="1069">
        <f>IF(X417=0,0,Y417/X417)</f>
        <v>0.91250000000000009</v>
      </c>
      <c r="AA417" s="1069" t="e">
        <f ca="1">MINIFS('Degrémont sortie'!$AJ$14:$AJ$379,'Degrémont sortie'!$AJ$14:$AJ$379,"&lt;&gt;0",'Degrémont sortie'!$A$14:$A$379,"&gt;="&amp;B399,'Degrémont sortie'!$A$14:$A$379,"&lt;="&amp;EOMONTH(B399,0))</f>
        <v>#NAME?</v>
      </c>
      <c r="AB417" s="1069" t="e">
        <f ca="1">MAXIFS('Degrémont sortie'!$AJ$14:$AJ$379,'Degrémont sortie'!$AJ$14:$AJ$379,"&lt;&gt;0",'Degrémont sortie'!$A$14:$A$379,"&gt;="&amp;B399,'Degrémont sortie'!$A$14:$A$379,"&lt;="&amp;EOMONTH(B399,0))</f>
        <v>#NAME?</v>
      </c>
      <c r="AC417" s="1142">
        <f>COUNTIFS('Degrémont sortie'!$AJ$14:$AJ$379,"&gt;="&amp;W417,'Degrémont sortie'!$A$14:$A$379,"&gt;="&amp;B399,'Degrémont sortie'!$A$14:$A$379,"&lt;="&amp;EOMONTH(B399,0))</f>
        <v>0</v>
      </c>
      <c r="AD417" s="1087">
        <f>AC417/X417</f>
        <v>0</v>
      </c>
      <c r="AE417" s="1082"/>
      <c r="AF417" s="1106"/>
      <c r="AG417" s="1106"/>
      <c r="AH417" s="1106"/>
      <c r="AI417" s="1106"/>
      <c r="AJ417" s="1106"/>
      <c r="AK417" s="1132"/>
      <c r="AL417" s="1106"/>
      <c r="AM417" s="1106"/>
      <c r="AN417" s="1106"/>
      <c r="AO417" s="1106"/>
      <c r="AP417" s="1119"/>
      <c r="AQ417" s="1132"/>
      <c r="AR417" s="1106"/>
      <c r="AS417" s="1106"/>
      <c r="AT417" s="1106"/>
      <c r="AU417" s="1106"/>
      <c r="AV417" s="1106"/>
      <c r="AW417" s="1119"/>
      <c r="AX417" s="1120"/>
      <c r="AY417" s="1094"/>
      <c r="AZ417" s="1095" t="e">
        <f t="shared" si="181"/>
        <v>#REF!</v>
      </c>
      <c r="BA417" s="2"/>
    </row>
    <row r="418" spans="1:53" ht="15.75" hidden="1" customHeight="1" outlineLevel="1">
      <c r="A418" s="1027"/>
      <c r="B418" s="1096"/>
      <c r="C418" s="1121" t="s">
        <v>169</v>
      </c>
      <c r="D418" s="1122">
        <f>Parametres!$D$25</f>
        <v>4</v>
      </c>
      <c r="E418" s="1068" t="e">
        <f>COUNTIFS(#REF!,"&gt;0",#REF!,"&gt;="&amp;B399,#REF!,"&lt;="&amp;EOMONTH(B399,0))</f>
        <v>#REF!</v>
      </c>
      <c r="F418" s="1069" t="e">
        <f>SUMIFS(#REF!,#REF!,"&lt;&gt;0",#REF!,"&gt;="&amp;B399,#REF!,"&lt;="&amp;EOMONTH(B399,0))</f>
        <v>#REF!</v>
      </c>
      <c r="G418" s="1069" t="e">
        <f t="shared" si="179"/>
        <v>#REF!</v>
      </c>
      <c r="H418" s="1070" t="e">
        <f ca="1">MINIFS(#REF!,#REF!,"&lt;&gt;0",#REF!,"&gt;="&amp;B399,#REF!,"&lt;="&amp;EOMONTH(B399,0))</f>
        <v>#NAME?</v>
      </c>
      <c r="I418" s="1078" t="e">
        <f ca="1">MAXIFS(#REF!,#REF!,"&lt;&gt;0",#REF!,"&gt;="&amp;B399,#REF!,"&lt;="&amp;EOMONTH(B399,0))</f>
        <v>#NAME?</v>
      </c>
      <c r="J418" s="1072" t="e">
        <f>COUNTIFS(#REF!,"&gt;="&amp;D418,#REF!,"&gt;="&amp;B399,#REF!,"&lt;="&amp;EOMONTH(B399,0))</f>
        <v>#REF!</v>
      </c>
      <c r="K418" s="1341" t="e">
        <f t="shared" si="186"/>
        <v>#REF!</v>
      </c>
      <c r="L418" s="1115"/>
      <c r="M418" s="1082"/>
      <c r="N418" s="1263"/>
      <c r="O418" s="1263"/>
      <c r="P418" s="1078"/>
      <c r="Q418" s="1078"/>
      <c r="R418" s="1078"/>
      <c r="S418" s="1078"/>
      <c r="T418" s="1264"/>
      <c r="U418" s="1264"/>
      <c r="V418" s="1082"/>
      <c r="W418" s="1106"/>
      <c r="X418" s="1106"/>
      <c r="Y418" s="1069"/>
      <c r="Z418" s="1069"/>
      <c r="AA418" s="1069"/>
      <c r="AB418" s="1069"/>
      <c r="AC418" s="1248"/>
      <c r="AD418" s="1249"/>
      <c r="AE418" s="1082"/>
      <c r="AF418" s="1106"/>
      <c r="AG418" s="1106"/>
      <c r="AH418" s="1106"/>
      <c r="AI418" s="1106"/>
      <c r="AJ418" s="1106"/>
      <c r="AK418" s="1132"/>
      <c r="AL418" s="1106"/>
      <c r="AM418" s="1106"/>
      <c r="AN418" s="1106"/>
      <c r="AO418" s="1106"/>
      <c r="AP418" s="1138"/>
      <c r="AQ418" s="1132"/>
      <c r="AR418" s="1106"/>
      <c r="AS418" s="1106"/>
      <c r="AT418" s="1106"/>
      <c r="AU418" s="1106"/>
      <c r="AV418" s="1106"/>
      <c r="AW418" s="1119"/>
      <c r="AX418" s="1120"/>
      <c r="AY418" s="1094"/>
      <c r="AZ418" s="1095" t="e">
        <f t="shared" si="181"/>
        <v>#REF!</v>
      </c>
      <c r="BA418" s="2"/>
    </row>
    <row r="419" spans="1:53" ht="15.75" hidden="1" customHeight="1" outlineLevel="1">
      <c r="A419" s="1027"/>
      <c r="B419" s="1096"/>
      <c r="C419" s="1139" t="s">
        <v>165</v>
      </c>
      <c r="D419" s="1122">
        <f>Parametres!$D$26</f>
        <v>10</v>
      </c>
      <c r="E419" s="1068" t="e">
        <f>COUNTIFS(#REF!,"&gt;0",#REF!,"&gt;="&amp;B399,#REF!,"&lt;="&amp;EOMONTH(B399,0))</f>
        <v>#REF!</v>
      </c>
      <c r="F419" s="1069" t="e">
        <f>SUMIFS(#REF!,#REF!,"&lt;&gt;0",#REF!,"&gt;="&amp;B399,#REF!,"&lt;="&amp;EOMONTH(B399,0))</f>
        <v>#REF!</v>
      </c>
      <c r="G419" s="1069" t="e">
        <f t="shared" si="179"/>
        <v>#REF!</v>
      </c>
      <c r="H419" s="1070" t="e">
        <f ca="1">MINIFS(#REF!,#REF!,"&lt;&gt;0",#REF!,"&gt;="&amp;B399,#REF!,"&lt;="&amp;EOMONTH(B399,0))</f>
        <v>#NAME?</v>
      </c>
      <c r="I419" s="1078" t="e">
        <f ca="1">MAXIFS(#REF!,#REF!,"&lt;&gt;0",#REF!,"&gt;="&amp;B399,#REF!,"&lt;="&amp;EOMONTH(B399,0))</f>
        <v>#NAME?</v>
      </c>
      <c r="J419" s="1114" t="e">
        <f>COUNTIFS(#REF!,"&gt;="&amp;D419,#REF!,"&gt;="&amp;B399,#REF!,"&lt;="&amp;EOMONTH(B399,0))</f>
        <v>#REF!</v>
      </c>
      <c r="K419" s="1341" t="e">
        <f t="shared" si="186"/>
        <v>#REF!</v>
      </c>
      <c r="L419" s="1115"/>
      <c r="M419" s="1075"/>
      <c r="N419" s="1265"/>
      <c r="O419" s="1265"/>
      <c r="P419" s="1266"/>
      <c r="Q419" s="1266"/>
      <c r="R419" s="1266"/>
      <c r="S419" s="1266"/>
      <c r="T419" s="1267"/>
      <c r="U419" s="1267"/>
      <c r="V419" s="1075"/>
      <c r="W419" s="1106"/>
      <c r="X419" s="1106"/>
      <c r="Y419" s="1069"/>
      <c r="Z419" s="1069"/>
      <c r="AA419" s="1069"/>
      <c r="AB419" s="1069"/>
      <c r="AC419" s="1248"/>
      <c r="AD419" s="1249"/>
      <c r="AE419" s="1082"/>
      <c r="AF419" s="1106"/>
      <c r="AG419" s="1106"/>
      <c r="AH419" s="1106"/>
      <c r="AI419" s="1106"/>
      <c r="AJ419" s="1106"/>
      <c r="AK419" s="1132"/>
      <c r="AL419" s="1106"/>
      <c r="AM419" s="1106"/>
      <c r="AN419" s="1106"/>
      <c r="AO419" s="1106"/>
      <c r="AP419" s="1138"/>
      <c r="AQ419" s="1132"/>
      <c r="AR419" s="1106"/>
      <c r="AS419" s="1106"/>
      <c r="AT419" s="1106"/>
      <c r="AU419" s="1106"/>
      <c r="AV419" s="1106"/>
      <c r="AW419" s="1119"/>
      <c r="AX419" s="1120"/>
      <c r="AY419" s="1094"/>
      <c r="AZ419" s="1095" t="e">
        <f t="shared" si="181"/>
        <v>#REF!</v>
      </c>
      <c r="BA419" s="2"/>
    </row>
    <row r="420" spans="1:53" ht="15.75" hidden="1" customHeight="1" outlineLevel="1">
      <c r="A420" s="1027"/>
      <c r="B420" s="1096"/>
      <c r="C420" s="1121" t="s">
        <v>23</v>
      </c>
      <c r="D420" s="1122">
        <f>Parametres!$D$27</f>
        <v>0.05</v>
      </c>
      <c r="E420" s="1068" t="e">
        <f>COUNTIFS(#REF!,"&gt;0",#REF!,"&gt;="&amp;B399,#REF!,"&lt;="&amp;EOMONTH(B399,0))</f>
        <v>#REF!</v>
      </c>
      <c r="F420" s="1069" t="e">
        <f>SUMIFS(#REF!,#REF!,"&lt;&gt;0",#REF!,"&gt;="&amp;B399,#REF!,"&lt;="&amp;EOMONTH(B399,0))</f>
        <v>#REF!</v>
      </c>
      <c r="G420" s="1069" t="e">
        <f t="shared" si="179"/>
        <v>#REF!</v>
      </c>
      <c r="H420" s="1070" t="e">
        <f ca="1">MINIFS(#REF!,#REF!,"&lt;&gt;0",#REF!,"&gt;="&amp;B399,#REF!,"&lt;="&amp;EOMONTH(B399,0))</f>
        <v>#NAME?</v>
      </c>
      <c r="I420" s="1078" t="e">
        <f ca="1">MAXIFS(#REF!,#REF!,"&lt;&gt;0",#REF!,"&gt;="&amp;B399,#REF!,"&lt;="&amp;EOMONTH(B399,0))</f>
        <v>#NAME?</v>
      </c>
      <c r="J420" s="1072" t="e">
        <f>COUNTIFS(#REF!,"&gt;="&amp;D420,#REF!,"&gt;="&amp;B399,#REF!,"&lt;="&amp;EOMONTH(B399,0))</f>
        <v>#REF!</v>
      </c>
      <c r="K420" s="1341" t="e">
        <f t="shared" si="186"/>
        <v>#REF!</v>
      </c>
      <c r="L420" s="1115"/>
      <c r="M420" s="1082"/>
      <c r="N420" s="1129"/>
      <c r="O420" s="1129"/>
      <c r="P420" s="1069"/>
      <c r="Q420" s="1069"/>
      <c r="R420" s="1069"/>
      <c r="S420" s="1069"/>
      <c r="T420" s="1143"/>
      <c r="U420" s="1143"/>
      <c r="V420" s="1132"/>
      <c r="W420" s="1106"/>
      <c r="X420" s="1106"/>
      <c r="Y420" s="1069"/>
      <c r="Z420" s="1069"/>
      <c r="AA420" s="1069"/>
      <c r="AB420" s="1069"/>
      <c r="AC420" s="1248"/>
      <c r="AD420" s="1249"/>
      <c r="AE420" s="1132"/>
      <c r="AF420" s="1106"/>
      <c r="AG420" s="1106"/>
      <c r="AH420" s="1106"/>
      <c r="AI420" s="1106"/>
      <c r="AJ420" s="1106"/>
      <c r="AK420" s="1132"/>
      <c r="AL420" s="1106"/>
      <c r="AM420" s="1106"/>
      <c r="AN420" s="1106"/>
      <c r="AO420" s="1106"/>
      <c r="AP420" s="1138"/>
      <c r="AQ420" s="1132"/>
      <c r="AR420" s="1106"/>
      <c r="AS420" s="1106"/>
      <c r="AT420" s="1106"/>
      <c r="AU420" s="1106"/>
      <c r="AV420" s="1106"/>
      <c r="AW420" s="1119"/>
      <c r="AX420" s="1120"/>
      <c r="AY420" s="1094"/>
      <c r="AZ420" s="1095" t="e">
        <f t="shared" si="181"/>
        <v>#REF!</v>
      </c>
      <c r="BA420" s="2"/>
    </row>
    <row r="421" spans="1:53" ht="15.75" hidden="1" customHeight="1" outlineLevel="1">
      <c r="A421" s="1027"/>
      <c r="B421" s="1096"/>
      <c r="C421" s="1139" t="s">
        <v>201</v>
      </c>
      <c r="D421" s="1122">
        <f>Parametres!$D$28</f>
        <v>8</v>
      </c>
      <c r="E421" s="1068" t="e">
        <f>COUNTIFS(#REF!,"&gt;0",#REF!,"&gt;="&amp;B399,#REF!,"&lt;="&amp;EOMONTH(B399,0))</f>
        <v>#REF!</v>
      </c>
      <c r="F421" s="1069" t="e">
        <f>SUMIFS(#REF!,#REF!,"&lt;&gt;0",#REF!,"&gt;="&amp;B399,#REF!,"&lt;="&amp;EOMONTH(B399,0))</f>
        <v>#REF!</v>
      </c>
      <c r="G421" s="1069" t="e">
        <f t="shared" si="179"/>
        <v>#REF!</v>
      </c>
      <c r="H421" s="1070" t="e">
        <f ca="1">MINIFS(#REF!,#REF!,"&lt;&gt;0",#REF!,"&gt;="&amp;B399,#REF!,"&lt;="&amp;EOMONTH(B399,0))</f>
        <v>#NAME?</v>
      </c>
      <c r="I421" s="1078" t="e">
        <f ca="1">MAXIFS(#REF!,#REF!,"&lt;&gt;0",#REF!,"&gt;="&amp;B399,#REF!,"&lt;="&amp;EOMONTH(B399,0))</f>
        <v>#NAME?</v>
      </c>
      <c r="J421" s="1114" t="e">
        <f>COUNTIFS(#REF!,"&gt;="&amp;D421,#REF!,"&gt;="&amp;B399,#REF!,"&lt;="&amp;EOMONTH(B399,0))</f>
        <v>#REF!</v>
      </c>
      <c r="K421" s="1341" t="e">
        <f t="shared" si="186"/>
        <v>#REF!</v>
      </c>
      <c r="L421" s="1115"/>
      <c r="M421" s="1082"/>
      <c r="N421" s="1171"/>
      <c r="O421" s="1171"/>
      <c r="P421" s="1173"/>
      <c r="Q421" s="1173"/>
      <c r="R421" s="1173"/>
      <c r="S421" s="1173"/>
      <c r="T421" s="1175"/>
      <c r="U421" s="1175"/>
      <c r="V421" s="1177"/>
      <c r="W421" s="1106"/>
      <c r="X421" s="1106"/>
      <c r="Y421" s="1069"/>
      <c r="Z421" s="1069"/>
      <c r="AA421" s="1069"/>
      <c r="AB421" s="1069"/>
      <c r="AC421" s="1248"/>
      <c r="AD421" s="1249"/>
      <c r="AE421" s="1082"/>
      <c r="AF421" s="1106"/>
      <c r="AG421" s="1106"/>
      <c r="AH421" s="1106"/>
      <c r="AI421" s="1106"/>
      <c r="AJ421" s="1106"/>
      <c r="AK421" s="1082"/>
      <c r="AL421" s="1205" t="e">
        <f>COUNTIFS(#REF!,"&gt;0",#REF!,"&gt;="&amp;B399,#REF!,"&lt;="&amp;EOMONTH(B399,0))</f>
        <v>#REF!</v>
      </c>
      <c r="AM421" s="1208" t="e">
        <f>SUMIFS(#REF!,#REF!,"&lt;&gt;0",#REF!,"&gt;="&amp;B399,#REF!,"&lt;="&amp;EOMONTH(B399,0))</f>
        <v>#REF!</v>
      </c>
      <c r="AN421" s="1208" t="e">
        <f>IF(AL421=0,0,AM421/AL421)</f>
        <v>#REF!</v>
      </c>
      <c r="AO421" s="1269" t="e">
        <f ca="1">MINIFS(#REF!,#REF!,"&lt;&gt;0",#REF!,"&gt;="&amp;B399,#REF!,"&lt;="&amp;EOMONTH(B399,0))</f>
        <v>#NAME?</v>
      </c>
      <c r="AP421" s="1269" t="e">
        <f ca="1">MAXIFS(#REF!,#REF!,"&lt;&gt;0",#REF!,"&gt;="&amp;B399,#REF!,"&lt;="&amp;EOMONTH(B399,0))</f>
        <v>#NAME?</v>
      </c>
      <c r="AQ421" s="1082"/>
      <c r="AR421" s="1220">
        <f>Parametres!$AM$28</f>
        <v>500</v>
      </c>
      <c r="AS421" s="1205" t="e">
        <f>COUNTIFS(#REF!,"&gt;0",#REF!,"&gt;="&amp;B399,#REF!,"&lt;="&amp;EOMONTH(B399,0))</f>
        <v>#REF!</v>
      </c>
      <c r="AT421" s="1208" t="e">
        <f>SUMIFS(#REF!,#REF!,"&lt;&gt;0",#REF!,"&gt;="&amp;B399,#REF!,"&lt;="&amp;EOMONTH(B399,0))</f>
        <v>#REF!</v>
      </c>
      <c r="AU421" s="1208" t="e">
        <f>IF(AS421=0,0,AT421/AS421)</f>
        <v>#REF!</v>
      </c>
      <c r="AV421" s="1208" t="e">
        <f ca="1">MINIFS(#REF!,#REF!,"&lt;&gt;0",#REF!,"&gt;="&amp;B399,#REF!,"&lt;="&amp;EOMONTH(B399,0))</f>
        <v>#NAME?</v>
      </c>
      <c r="AW421" s="1222" t="e">
        <f ca="1">MAXIFS(#REF!,#REF!,"&lt;&gt;0",#REF!,"&gt;="&amp;B399,#REF!,"&lt;="&amp;EOMONTH(B399,0))</f>
        <v>#NAME?</v>
      </c>
      <c r="AX421" s="1223" t="e">
        <f>COUNTIFS(#REF!,"&gt;="&amp;AR421,#REF!,"&gt;="&amp;B399,#REF!,"&lt;="&amp;EOMONTH(B399,0))</f>
        <v>#REF!</v>
      </c>
      <c r="AY421" s="1224" t="e">
        <f>AX421/AS421</f>
        <v>#REF!</v>
      </c>
      <c r="AZ421" s="1095" t="e">
        <f t="shared" si="181"/>
        <v>#REF!</v>
      </c>
      <c r="BA421" s="2"/>
    </row>
    <row r="422" spans="1:53" ht="15.75" hidden="1" customHeight="1" outlineLevel="1">
      <c r="A422" s="1027"/>
      <c r="B422" s="1096"/>
      <c r="C422" s="1121" t="s">
        <v>333</v>
      </c>
      <c r="D422" s="1122">
        <f>Parametres!$D$29</f>
        <v>0.3</v>
      </c>
      <c r="E422" s="1068" t="e">
        <f>COUNTIFS(#REF!,"&gt;0",#REF!,"&gt;="&amp;B399,#REF!,"&lt;="&amp;EOMONTH(B399,0))</f>
        <v>#REF!</v>
      </c>
      <c r="F422" s="1069" t="e">
        <f>SUMIFS(#REF!,#REF!,"&lt;&gt;0",#REF!,"&gt;="&amp;B399,#REF!,"&lt;="&amp;EOMONTH(B399,0))</f>
        <v>#REF!</v>
      </c>
      <c r="G422" s="1069" t="e">
        <f t="shared" si="179"/>
        <v>#REF!</v>
      </c>
      <c r="H422" s="1070" t="e">
        <f ca="1">MINIFS(#REF!,#REF!,"&lt;&gt;0",#REF!,"&gt;="&amp;B399,#REF!,"&lt;="&amp;EOMONTH(B399,0))</f>
        <v>#NAME?</v>
      </c>
      <c r="I422" s="1069" t="e">
        <f ca="1">MAXIFS(#REF!,#REF!,"&lt;&gt;0",#REF!,"&gt;="&amp;B399,#REF!,"&lt;="&amp;EOMONTH(B399,0))</f>
        <v>#NAME?</v>
      </c>
      <c r="J422" s="1072" t="e">
        <f>COUNTIFS(#REF!,"&gt;="&amp;D422,#REF!,"&gt;="&amp;B399,#REF!,"&lt;="&amp;EOMONTH(B399,0))</f>
        <v>#REF!</v>
      </c>
      <c r="K422" s="1341" t="e">
        <f t="shared" si="186"/>
        <v>#REF!</v>
      </c>
      <c r="L422" s="1099"/>
      <c r="M422" s="1132"/>
      <c r="N422" s="1102"/>
      <c r="O422" s="1102"/>
      <c r="P422" s="1069"/>
      <c r="Q422" s="1069"/>
      <c r="R422" s="1069"/>
      <c r="S422" s="1069"/>
      <c r="T422" s="1270"/>
      <c r="U422" s="1270"/>
      <c r="V422" s="1132"/>
      <c r="W422" s="1106"/>
      <c r="X422" s="1106"/>
      <c r="Y422" s="1069"/>
      <c r="Z422" s="1069"/>
      <c r="AA422" s="1069"/>
      <c r="AB422" s="1069"/>
      <c r="AC422" s="1248"/>
      <c r="AD422" s="1249"/>
      <c r="AE422" s="1132"/>
      <c r="AF422" s="1106"/>
      <c r="AG422" s="1106"/>
      <c r="AH422" s="1106"/>
      <c r="AI422" s="1106"/>
      <c r="AJ422" s="1106"/>
      <c r="AK422" s="1082"/>
      <c r="AL422" s="1117"/>
      <c r="AM422" s="1117"/>
      <c r="AN422" s="1117"/>
      <c r="AO422" s="1117"/>
      <c r="AP422" s="1117"/>
      <c r="AQ422" s="1082"/>
      <c r="AR422" s="1106"/>
      <c r="AS422" s="1106"/>
      <c r="AT422" s="1106"/>
      <c r="AU422" s="1106"/>
      <c r="AV422" s="1106"/>
      <c r="AW422" s="1119"/>
      <c r="AX422" s="1120"/>
      <c r="AY422" s="1094"/>
      <c r="AZ422" s="1095" t="e">
        <f t="shared" si="181"/>
        <v>#REF!</v>
      </c>
      <c r="BA422" s="2"/>
    </row>
    <row r="423" spans="1:53" ht="15.75" hidden="1" customHeight="1" outlineLevel="1">
      <c r="A423" s="1027"/>
      <c r="B423" s="1096"/>
      <c r="C423" s="1139" t="s">
        <v>46</v>
      </c>
      <c r="D423" s="1122">
        <f>Parametres!$D$30</f>
        <v>1</v>
      </c>
      <c r="E423" s="1068" t="e">
        <f>COUNTIFS(#REF!,"&gt;0",#REF!,"&gt;="&amp;B399,#REF!,"&lt;="&amp;EOMONTH(B399,0))</f>
        <v>#REF!</v>
      </c>
      <c r="F423" s="1069" t="e">
        <f>SUMIFS(#REF!,#REF!,"&lt;&gt;0",#REF!,"&gt;="&amp;B399,#REF!,"&lt;="&amp;EOMONTH(B399,0))</f>
        <v>#REF!</v>
      </c>
      <c r="G423" s="1069" t="e">
        <f t="shared" si="179"/>
        <v>#REF!</v>
      </c>
      <c r="H423" s="1070" t="e">
        <f ca="1">MINIFS(#REF!,#REF!,"&lt;&gt;0",#REF!,"&gt;="&amp;B399,#REF!,"&lt;="&amp;EOMONTH(B399,0))</f>
        <v>#NAME?</v>
      </c>
      <c r="I423" s="1266" t="e">
        <f ca="1">MAXIFS(#REF!,#REF!,"&lt;&gt;0",#REF!,"&gt;="&amp;B399,#REF!,"&lt;="&amp;EOMONTH(B399,0))</f>
        <v>#NAME?</v>
      </c>
      <c r="J423" s="1072" t="e">
        <f>COUNTIFS(#REF!,"&gt;="&amp;D423,#REF!,"&gt;="&amp;B399,#REF!,"&lt;="&amp;EOMONTH(B399,0))</f>
        <v>#REF!</v>
      </c>
      <c r="K423" s="1341" t="e">
        <f t="shared" si="186"/>
        <v>#REF!</v>
      </c>
      <c r="L423" s="1273"/>
      <c r="M423" s="1274"/>
      <c r="N423" s="1144">
        <f>Parametres!$L$30</f>
        <v>40</v>
      </c>
      <c r="O423" s="1077">
        <f>COUNTIFS('Degrémont Entrée'!$AV$14:$AV$379,"&gt;0",'Degrémont Entrée'!$A$14:$A$379,"&gt;="&amp;B399,'Degrémont Entrée'!$A$14:$A$379,"&lt;="&amp;EOMONTH(B399,0))</f>
        <v>4</v>
      </c>
      <c r="P423" s="1078">
        <f>SUMIFS('Degrémont Entrée'!$AV$14:$AV$379,'Degrémont Entrée'!$AV$14:$AV$379,"&lt;&gt;0",'Degrémont Entrée'!$A$14:$A$379,"&gt;="&amp;B399,'Degrémont Entrée'!$A$14:$A$379,"&lt;="&amp;EOMONTH(B399,0))</f>
        <v>73.150000000000006</v>
      </c>
      <c r="Q423" s="1266">
        <f t="shared" ref="Q423:Q424" si="187">IF(O423=0,0,P423/O423)</f>
        <v>18.287500000000001</v>
      </c>
      <c r="R423" s="1266" t="e">
        <f ca="1">MINIFS('Degrémont Entrée'!$AV$14:$AV$379,'Degrémont Entrée'!$AV$14:$AV$379,"&lt;&gt;0",'Degrémont Entrée'!$A$14:$A$379,"&gt;="&amp;B399,'Degrémont Entrée'!$A$14:$A$379,"&lt;="&amp;EOMONTH(B399,0))</f>
        <v>#NAME?</v>
      </c>
      <c r="S423" s="1266" t="e">
        <f ca="1">MAXIFS('Degrémont Entrée'!$AV$14:$AV$379,'Degrémont Entrée'!$AV$14:$AV$379,"&lt;&gt;0",'Degrémont Entrée'!$A$14:$A$379,"&gt;="&amp;B399,'Degrémont Entrée'!$A$14:$A$379,"&lt;="&amp;EOMONTH(B399,0))</f>
        <v>#NAME?</v>
      </c>
      <c r="T423" s="1276">
        <f>COUNTIFS('Degrémont Entrée'!$AV$14:$AV$379,"&gt;="&amp;N423,'Degrémont Entrée'!$A$14:$A$379,"&gt;="&amp;B399,'Degrémont Entrée'!$A$14:$A$379,"&lt;="&amp;EOMONTH(B399,0))</f>
        <v>0</v>
      </c>
      <c r="U423" s="1081">
        <f t="shared" ref="U423:U424" si="188">T423/O423</f>
        <v>0</v>
      </c>
      <c r="V423" s="1075"/>
      <c r="W423" s="1083">
        <f>Parametres!$T$30</f>
        <v>0.8</v>
      </c>
      <c r="X423" s="1142">
        <f>COUNTIFS('Degrémont sortie'!$AP$14:$AP$379,"&gt;0",'Degrémont sortie'!$A$14:$A$379,"&gt;="&amp;B399,'Degrémont sortie'!$A$14:$A$379,"&lt;="&amp;EOMONTH(B399,0))</f>
        <v>4</v>
      </c>
      <c r="Y423" s="1085">
        <f>SUMIFS('Degrémont sortie'!$AP$14:$AP$379,'Degrémont sortie'!$AP$14:$AP$379,"&lt;&gt;0",'Degrémont sortie'!$A$14:$A$379,"&gt;="&amp;B399,'Degrémont sortie'!$A$14:$A$379,"&lt;="&amp;EOMONTH(B399,0))</f>
        <v>0.42</v>
      </c>
      <c r="Z423" s="1069">
        <f t="shared" ref="Z423:Z425" si="189">IF(X423=0,0,Y423/X423)</f>
        <v>0.105</v>
      </c>
      <c r="AA423" s="1277" t="e">
        <f ca="1">MINIFS('Degrémont sortie'!$AP$14:$AP$379,'Degrémont sortie'!$AP$14:$AP$379,"&lt;&gt;0",'Degrémont sortie'!$A$14:$A$379,"&gt;="&amp;B399,'Degrémont sortie'!$A$14:$A$379,"&lt;="&amp;EOMONTH(B399,0))</f>
        <v>#NAME?</v>
      </c>
      <c r="AB423" s="1069" t="e">
        <f ca="1">MAXIFS('Degrémont sortie'!$AP$14:$AP$379,'Degrémont sortie'!$AP$14:$AP$379,"&lt;&gt;0",'Degrémont sortie'!$A$14:$A$379,"&gt;="&amp;B399,'Degrémont sortie'!$A$14:$A$379,"&lt;="&amp;EOMONTH(B399,0))</f>
        <v>#NAME?</v>
      </c>
      <c r="AC423" s="1142">
        <f>COUNTIFS('Degrémont sortie'!$AP$14:$AP$379,"&gt;="&amp;W423,'Degrémont sortie'!$A$14:$A$379,"&gt;="&amp;B399,'Degrémont sortie'!$A$14:$A$379,"&lt;="&amp;EOMONTH(B399,0))</f>
        <v>0</v>
      </c>
      <c r="AD423" s="1087">
        <f t="shared" ref="AD423:AD424" si="190">AC423/X423</f>
        <v>0</v>
      </c>
      <c r="AE423" s="1075"/>
      <c r="AF423" s="1278"/>
      <c r="AG423" s="1278"/>
      <c r="AH423" s="1278"/>
      <c r="AI423" s="1278"/>
      <c r="AJ423" s="1278"/>
      <c r="AK423" s="1279"/>
      <c r="AL423" s="1278"/>
      <c r="AM423" s="1278"/>
      <c r="AN423" s="1278"/>
      <c r="AO423" s="1278"/>
      <c r="AP423" s="1278"/>
      <c r="AQ423" s="1279"/>
      <c r="AR423" s="1278"/>
      <c r="AS423" s="1278"/>
      <c r="AT423" s="1278"/>
      <c r="AU423" s="1278"/>
      <c r="AV423" s="1278"/>
      <c r="AW423" s="1278"/>
      <c r="AX423" s="1280"/>
      <c r="AY423" s="1094"/>
      <c r="AZ423" s="1095" t="e">
        <f t="shared" si="181"/>
        <v>#REF!</v>
      </c>
      <c r="BA423" s="2"/>
    </row>
    <row r="424" spans="1:53" ht="15.75" hidden="1" customHeight="1" outlineLevel="1">
      <c r="A424" s="1027"/>
      <c r="B424" s="1096"/>
      <c r="C424" s="1139" t="s">
        <v>34</v>
      </c>
      <c r="D424" s="1122">
        <f>Parametres!$D$32</f>
        <v>400</v>
      </c>
      <c r="E424" s="1068" t="e">
        <f>COUNTIFS(#REF!,"&gt;0",#REF!,"&gt;="&amp;B399,#REF!,"&lt;="&amp;EOMONTH(B399,0))</f>
        <v>#REF!</v>
      </c>
      <c r="F424" s="1069" t="e">
        <f>SUMIFS(#REF!,#REF!,"&lt;&gt;0",#REF!,"&gt;="&amp;B399,#REF!,"&lt;="&amp;EOMONTH(B399,0))</f>
        <v>#REF!</v>
      </c>
      <c r="G424" s="1069" t="e">
        <f t="shared" si="179"/>
        <v>#REF!</v>
      </c>
      <c r="H424" s="1070" t="e">
        <f ca="1">MINIFS(#REF!,#REF!,"&lt;&gt;0",#REF!,"&gt;="&amp;B399,#REF!,"&lt;="&amp;EOMONTH(B399,0))</f>
        <v>#NAME?</v>
      </c>
      <c r="I424" s="1069" t="e">
        <f ca="1">MAXIFS(#REF!,#REF!,"&lt;&gt;0",#REF!,"&gt;="&amp;B399,#REF!,"&lt;="&amp;EOMONTH(B399,0))</f>
        <v>#NAME?</v>
      </c>
      <c r="J424" s="1114" t="e">
        <f>COUNTIFS(#REF!,"&gt;="&amp;D424,#REF!,"&gt;="&amp;B399,#REF!,"&lt;="&amp;EOMONTH(B399,0))</f>
        <v>#REF!</v>
      </c>
      <c r="K424" s="1341" t="e">
        <f t="shared" si="186"/>
        <v>#REF!</v>
      </c>
      <c r="L424" s="1281"/>
      <c r="M424" s="1282"/>
      <c r="N424" s="1144">
        <f>Parametres!$L$32</f>
        <v>4000</v>
      </c>
      <c r="O424" s="1077">
        <f>COUNTIFS('Degrémont Entrée'!$G$14:$G$379,"&gt;0",'Degrémont Entrée'!$A$14:$A$379,"&gt;="&amp;B399,'Degrémont Entrée'!$A$14:$A$379,"&lt;="&amp;EOMONTH(B399,0))</f>
        <v>24</v>
      </c>
      <c r="P424" s="1078">
        <f>SUMIFS('Degrémont Entrée'!$G$14:$G$379,'Degrémont Entrée'!$G$14:$G$379,"&lt;&gt;0",'Degrémont Entrée'!$A$14:$A$379,"&gt;="&amp;B399,'Degrémont Entrée'!$A$14:$A$379,"&lt;="&amp;EOMONTH(B399,0))</f>
        <v>180914.6578178732</v>
      </c>
      <c r="Q424" s="1283">
        <f t="shared" si="187"/>
        <v>7538.1107424113834</v>
      </c>
      <c r="R424" s="1069" t="e">
        <f ca="1">MINIFS('Degrémont Entrée'!$G$14:$G$379,'Degrémont Entrée'!$G$14:$G$379,"&lt;&gt;0",'Degrémont Entrée'!$A$14:$A$379,"&gt;="&amp;B399,'Degrémont Entrée'!$A$14:$A$379,"&lt;="&amp;EOMONTH(B399,0))</f>
        <v>#NAME?</v>
      </c>
      <c r="S424" s="1284" t="e">
        <f ca="1">MAXIFS('Degrémont Entrée'!$G$14:$G$379,'Degrémont Entrée'!$G$14:$G$379,"&lt;&gt;0",'Degrémont Entrée'!$A$14:$A$379,"&gt;="&amp;B399,'Degrémont Entrée'!$A$14:$A$379,"&lt;="&amp;EOMONTH(B399,0))</f>
        <v>#NAME?</v>
      </c>
      <c r="T424" s="1141">
        <f>COUNTIFS('Degrémont Entrée'!$G$14:$G$379,"&gt;="&amp;N424,'Degrémont Entrée'!$A$14:$A$379,"&gt;="&amp;B399,'Degrémont Entrée'!$A$14:$A$379,"&lt;="&amp;EOMONTH(B399,0))</f>
        <v>21</v>
      </c>
      <c r="U424" s="1081">
        <f t="shared" si="188"/>
        <v>0.875</v>
      </c>
      <c r="V424" s="1285"/>
      <c r="W424" s="1083">
        <f>Parametres!$T$32</f>
        <v>55</v>
      </c>
      <c r="X424" s="1142">
        <f>COUNTIFS('Degrémont sortie'!$G$14:$G$379,"&gt;0",'Degrémont sortie'!$A$14:$A$379,"&gt;="&amp;B399,'Degrémont sortie'!$A$14:$A$379,"&lt;="&amp;EOMONTH(B399,0))</f>
        <v>24</v>
      </c>
      <c r="Y424" s="1085">
        <f>SUMIFS('Degrémont sortie'!$G$14:$G$379,'Degrémont sortie'!$G$14:$G$379,"&lt;&gt;0",'Degrémont sortie'!$A$14:$A$379,"&gt;="&amp;B399,'Degrémont sortie'!$A$14:$A$379,"&lt;="&amp;EOMONTH(B399,0))</f>
        <v>220.51612903225831</v>
      </c>
      <c r="Z424" s="1069">
        <f t="shared" si="189"/>
        <v>9.1881720430107627</v>
      </c>
      <c r="AA424" s="1286" t="e">
        <f ca="1">MINIFS('Degrémont sortie'!$G$14:$G$379,'Degrémont sortie'!$G$14:G$379,"&lt;&gt;0",'Degrémont sortie'!$A$14:$A$379,"&gt;="&amp;B399,'Degrémont sortie'!$A$14:$A$379,"&lt;="&amp;EOMONTH(B399,0))</f>
        <v>#NAME?</v>
      </c>
      <c r="AB424" s="1286" t="e">
        <f ca="1">MAXIFS('Degrémont sortie'!$G$14:$G$379,'Degrémont sortie'!$G$14:$G$379,"&lt;&gt;0",'Degrémont sortie'!$A$14:$A$379,"&gt;="&amp;B399,'Degrémont sortie'!$A$14:$A$379,"&lt;="&amp;EOMONTH(B399,0))</f>
        <v>#NAME?</v>
      </c>
      <c r="AC424" s="1141">
        <f>COUNTIFS('Degrémont sortie'!$G$14:$G$379,"&gt;="&amp;W424,'Degrémont sortie'!$A$14:$A$379,"&gt;="&amp;B399,'Degrémont sortie'!$A$14:$A$379,"&lt;="&amp;EOMONTH(B399,0))</f>
        <v>0</v>
      </c>
      <c r="AD424" s="1087">
        <f t="shared" si="190"/>
        <v>0</v>
      </c>
      <c r="AE424" s="1285"/>
      <c r="AF424" s="1205" t="e">
        <f>COUNTIFS(#REF!,"&gt;0",#REF!,"&gt;="&amp;B399,#REF!,"&lt;="&amp;EOMONTH(B399,0))</f>
        <v>#REF!</v>
      </c>
      <c r="AG424" s="1208" t="e">
        <f>SUMIFS(#REF!,#REF!,"&lt;&gt;0",#REF!,"&gt;="&amp;B399,#REF!,"&lt;="&amp;EOMONTH(B399,0))</f>
        <v>#REF!</v>
      </c>
      <c r="AH424" s="1208" t="e">
        <f>IF(AF424=0,0,AG424/AF424)</f>
        <v>#REF!</v>
      </c>
      <c r="AI424" s="1208" t="e">
        <f ca="1">MINIFS(#REF!,#REF!,"&lt;&gt;0",#REF!,"&gt;="&amp;B399,#REF!,"&lt;="&amp;EOMONTH(B399,0))</f>
        <v>#NAME?</v>
      </c>
      <c r="AJ424" s="1208" t="e">
        <f ca="1">MAXIFS(#REF!,#REF!,"&lt;&gt;0",#REF!,"&gt;="&amp;B399,#REF!,"&lt;="&amp;EOMONTH(B399,0))</f>
        <v>#NAME?</v>
      </c>
      <c r="AK424" s="1285"/>
      <c r="AL424" s="1205" t="e">
        <f>COUNTIFS(#REF!,"&gt;0",#REF!,"&gt;="&amp;B399,#REF!,"&lt;="&amp;EOMONTH(B399,0))</f>
        <v>#REF!</v>
      </c>
      <c r="AM424" s="1208" t="e">
        <f>SUMIFS(#REF!,#REF!,"&lt;&gt;0",#REF!,"&gt;="&amp;B399,#REF!,"&lt;="&amp;EOMONTH(B399,0))</f>
        <v>#REF!</v>
      </c>
      <c r="AN424" s="1208" t="e">
        <f>IF(AL424=0,0,AM424/AL424)</f>
        <v>#REF!</v>
      </c>
      <c r="AO424" s="1141" t="e">
        <f ca="1">MINIFS(#REF!,#REF!,"&lt;&gt;0",#REF!,"&gt;="&amp;B399,#REF!,"&lt;="&amp;EOMONTH(B399,0))</f>
        <v>#NAME?</v>
      </c>
      <c r="AP424" s="1141" t="e">
        <f ca="1">MAXIFS(#REF!,#REF!,"&lt;&gt;0",#REF!,"&gt;="&amp;B399,#REF!,"&lt;="&amp;EOMONTH(B399,0))</f>
        <v>#NAME?</v>
      </c>
      <c r="AQ424" s="1285"/>
      <c r="AR424" s="1220">
        <f>Parametres!$AM$32</f>
        <v>2600</v>
      </c>
      <c r="AS424" s="1205" t="e">
        <f>COUNTIFS(#REF!,"&gt;0",#REF!,"&gt;="&amp;B399,#REF!,"&lt;="&amp;EOMONTH(B399,0))</f>
        <v>#REF!</v>
      </c>
      <c r="AT424" s="1208" t="e">
        <f>SUMIFS(#REF!,#REF!,"&lt;&gt;0",#REF!,"&gt;="&amp;B399,#REF!,"&lt;="&amp;EOMONTH(B399,0))</f>
        <v>#REF!</v>
      </c>
      <c r="AU424" s="1208" t="e">
        <f>IF(AS424=0,0,AT424/AS424)</f>
        <v>#REF!</v>
      </c>
      <c r="AV424" s="1287" t="e">
        <f ca="1">MINIFS(#REF!,#REF!,"&lt;&gt;0",#REF!,"&gt;="&amp;B399,#REF!,"&lt;="&amp;EOMONTH(B399,0))</f>
        <v>#NAME?</v>
      </c>
      <c r="AW424" s="1141" t="e">
        <f ca="1">MAXIFS(#REF!,#REF!,"&lt;&gt;0",#REF!,"&gt;="&amp;B399,#REF!,"&lt;="&amp;EOMONTH(B399,0))</f>
        <v>#NAME?</v>
      </c>
      <c r="AX424" s="1288" t="e">
        <f>COUNTIFS(#REF!,"&gt;="&amp;AR424,#REF!,"&gt;="&amp;B399,#REF!,"&lt;="&amp;EOMONTH(B399,0))</f>
        <v>#REF!</v>
      </c>
      <c r="AY424" s="1224" t="e">
        <f>AX424/AS424</f>
        <v>#REF!</v>
      </c>
      <c r="AZ424" s="1095" t="e">
        <f t="shared" si="181"/>
        <v>#REF!</v>
      </c>
      <c r="BA424" s="2"/>
    </row>
    <row r="425" spans="1:53" ht="15.75" hidden="1" customHeight="1" outlineLevel="1">
      <c r="A425" s="1027"/>
      <c r="B425" s="1096"/>
      <c r="C425" s="1139" t="s">
        <v>118</v>
      </c>
      <c r="D425" s="1122">
        <f>Parametres!$D$33</f>
        <v>75</v>
      </c>
      <c r="E425" s="1068" t="e">
        <f>COUNTIFS(#REF!,"&gt;0",#REF!,"&gt;="&amp;B399,#REF!,"&lt;="&amp;EOMONTH(B399,0))</f>
        <v>#REF!</v>
      </c>
      <c r="F425" s="1069" t="e">
        <f>SUMIFS(#REF!,#REF!,"&lt;&gt;0",#REF!,"&gt;="&amp;B399,#REF!,"&lt;="&amp;EOMONTH(B399,0))</f>
        <v>#REF!</v>
      </c>
      <c r="G425" s="1069" t="e">
        <f t="shared" si="179"/>
        <v>#REF!</v>
      </c>
      <c r="H425" s="1070" t="e">
        <f ca="1">MINIFS(#REF!,#REF!,"&lt;&gt;0",#REF!,"&gt;="&amp;B399,#REF!,"&lt;="&amp;EOMONTH(B399,0))</f>
        <v>#NAME?</v>
      </c>
      <c r="I425" s="1069" t="e">
        <f ca="1">MAXIFS(#REF!,#REF!,"&lt;&gt;0",#REF!,"&gt;="&amp;B399,#REF!,"&lt;="&amp;EOMONTH(B399,0))</f>
        <v>#NAME?</v>
      </c>
      <c r="J425" s="1114" t="e">
        <f>COUNTIFS(#REF!,"&gt;="&amp;D425,#REF!,"&gt;="&amp;B399,#REF!,"&lt;="&amp;EOMONTH(B399,0))</f>
        <v>#REF!</v>
      </c>
      <c r="K425" s="1341" t="e">
        <f t="shared" si="186"/>
        <v>#REF!</v>
      </c>
      <c r="L425" s="1281"/>
      <c r="M425" s="1289"/>
      <c r="N425" s="1290"/>
      <c r="O425" s="1290"/>
      <c r="P425" s="1286"/>
      <c r="Q425" s="1283"/>
      <c r="R425" s="1286"/>
      <c r="S425" s="1286"/>
      <c r="T425" s="1290"/>
      <c r="U425" s="1290"/>
      <c r="V425" s="1285"/>
      <c r="W425" s="1083">
        <f>Parametres!$T$33</f>
        <v>150</v>
      </c>
      <c r="X425" s="1142">
        <f>COUNTIFS('Degrémont sortie'!$X$14:$X$379,"&gt;0",'Degrémont sortie'!$A$14:$A$379,"&gt;="&amp;B399,'Degrémont sortie'!$A$14:$A$379,"&lt;="&amp;EOMONTH(B399,0))</f>
        <v>4</v>
      </c>
      <c r="Y425" s="1085">
        <f>SUMIFS('Degrémont sortie'!$X$14:$X$379,'Degrémont sortie'!$X$14:$X$379,"&lt;&gt;0",'Degrémont sortie'!$A$14:$A$379,"&gt;="&amp;B399,'Degrémont sortie'!$A$14:$A$379,"&lt;="&amp;EOMONTH(B399,0))</f>
        <v>27.599999999999998</v>
      </c>
      <c r="Z425" s="1069">
        <f t="shared" si="189"/>
        <v>6.8999999999999995</v>
      </c>
      <c r="AA425" s="1286" t="e">
        <f ca="1">MINIFS('Degrémont sortie'!$X$14:$X$379,'Degrémont sortie'!$X$14:$X$379,"&lt;&gt;0",'Degrémont sortie'!$A$14:$A$379,"&gt;="&amp;B399,'Degrémont sortie'!$A$14:$A$379,"&lt;="&amp;EOMONTH(B399,0))</f>
        <v>#NAME?</v>
      </c>
      <c r="AB425" s="1286" t="e">
        <f ca="1">MAXIFS('Degrémont sortie'!$X$14:$X$379,'Degrémont sortie'!$X$14:$X$379,"&lt;&gt;0",'Degrémont sortie'!$A$14:$A$379,"&gt;="&amp;B399,'Degrémont sortie'!$A$14:$A$379,"&lt;="&amp;EOMONTH(B399,0))</f>
        <v>#NAME?</v>
      </c>
      <c r="AC425" s="1291" t="s">
        <v>153</v>
      </c>
      <c r="AD425" s="1292" t="s">
        <v>153</v>
      </c>
      <c r="AE425" s="1285"/>
      <c r="AF425" s="1293"/>
      <c r="AG425" s="1293"/>
      <c r="AH425" s="1293"/>
      <c r="AI425" s="1293"/>
      <c r="AJ425" s="1293"/>
      <c r="AK425" s="1285"/>
      <c r="AL425" s="1293"/>
      <c r="AM425" s="1293"/>
      <c r="AN425" s="1293"/>
      <c r="AO425" s="1293"/>
      <c r="AP425" s="1293"/>
      <c r="AQ425" s="1285"/>
      <c r="AR425" s="1293"/>
      <c r="AS425" s="1293"/>
      <c r="AT425" s="1293"/>
      <c r="AU425" s="1293"/>
      <c r="AV425" s="1293"/>
      <c r="AW425" s="1293"/>
      <c r="AX425" s="1294"/>
      <c r="AY425" s="1295"/>
      <c r="AZ425" s="1095" t="e">
        <f t="shared" si="181"/>
        <v>#REF!</v>
      </c>
      <c r="BA425" s="2"/>
    </row>
    <row r="426" spans="1:53" ht="15.75" hidden="1" customHeight="1" outlineLevel="1">
      <c r="A426" s="1027"/>
      <c r="B426" s="1096"/>
      <c r="C426" s="1139" t="s">
        <v>285</v>
      </c>
      <c r="D426" s="1122">
        <f>Parametres!$D$34</f>
        <v>10000000</v>
      </c>
      <c r="E426" s="1068" t="e">
        <f>COUNTIFS(#REF!,"&gt;0",#REF!,"&gt;="&amp;B399,#REF!,"&lt;="&amp;EOMONTH(B399,0))</f>
        <v>#REF!</v>
      </c>
      <c r="F426" s="1069" t="e">
        <f>SUMIFS(#REF!,#REF!,"&lt;&gt;0",#REF!,"&gt;="&amp;B399,#REF!,"&lt;="&amp;EOMONTH(B399,0))</f>
        <v>#REF!</v>
      </c>
      <c r="G426" s="1069" t="e">
        <f t="shared" si="179"/>
        <v>#REF!</v>
      </c>
      <c r="H426" s="1070" t="e">
        <f ca="1">MINIFS(#REF!,#REF!,"&lt;&gt;0",#REF!,"&gt;="&amp;B399,#REF!,"&lt;="&amp;EOMONTH(B399,0))</f>
        <v>#NAME?</v>
      </c>
      <c r="I426" s="1069" t="e">
        <f ca="1">MAXIFS(#REF!,#REF!,"&lt;&gt;0",#REF!,"&gt;="&amp;B399,#REF!,"&lt;="&amp;EOMONTH(B399,0))</f>
        <v>#NAME?</v>
      </c>
      <c r="J426" s="1072" t="s">
        <v>153</v>
      </c>
      <c r="K426" s="1072" t="s">
        <v>153</v>
      </c>
      <c r="L426" s="1281"/>
      <c r="M426" s="1289"/>
      <c r="N426" s="1290"/>
      <c r="O426" s="1290"/>
      <c r="P426" s="1286"/>
      <c r="Q426" s="1283"/>
      <c r="R426" s="1286"/>
      <c r="S426" s="1286"/>
      <c r="T426" s="1290"/>
      <c r="U426" s="1290"/>
      <c r="V426" s="1285"/>
      <c r="W426" s="1293"/>
      <c r="X426" s="1293"/>
      <c r="Y426" s="1286"/>
      <c r="Z426" s="1286"/>
      <c r="AA426" s="1286"/>
      <c r="AB426" s="1286"/>
      <c r="AC426" s="1293"/>
      <c r="AD426" s="1249"/>
      <c r="AE426" s="1285"/>
      <c r="AF426" s="1293"/>
      <c r="AG426" s="1293"/>
      <c r="AH426" s="1293"/>
      <c r="AI426" s="1293"/>
      <c r="AJ426" s="1293"/>
      <c r="AK426" s="1285"/>
      <c r="AL426" s="1293"/>
      <c r="AM426" s="1293"/>
      <c r="AN426" s="1293"/>
      <c r="AO426" s="1293"/>
      <c r="AP426" s="1293"/>
      <c r="AQ426" s="1285"/>
      <c r="AR426" s="1293"/>
      <c r="AS426" s="1293"/>
      <c r="AT426" s="1293"/>
      <c r="AU426" s="1293"/>
      <c r="AV426" s="1293"/>
      <c r="AW426" s="1293"/>
      <c r="AX426" s="1294"/>
      <c r="AY426" s="1295"/>
      <c r="AZ426" s="1095" t="e">
        <f t="shared" si="181"/>
        <v>#REF!</v>
      </c>
      <c r="BA426" s="2"/>
    </row>
    <row r="427" spans="1:53" ht="15.75" hidden="1" customHeight="1" outlineLevel="1">
      <c r="A427" s="1027"/>
      <c r="B427" s="1096"/>
      <c r="C427" s="1139" t="s">
        <v>48</v>
      </c>
      <c r="D427" s="1122">
        <f>Parametres!$D$35</f>
        <v>0.5</v>
      </c>
      <c r="E427" s="1068" t="e">
        <f>COUNTIFS(#REF!,"&gt;0",#REF!,"&gt;="&amp;B399,#REF!,"&lt;="&amp;EOMONTH(B399,0))</f>
        <v>#REF!</v>
      </c>
      <c r="F427" s="1069" t="e">
        <f>SUMIFS(#REF!,#REF!,"&lt;&gt;0",#REF!,"&gt;="&amp;B399,#REF!,"&lt;="&amp;EOMONTH(B399,0))</f>
        <v>#REF!</v>
      </c>
      <c r="G427" s="1069" t="e">
        <f t="shared" si="179"/>
        <v>#REF!</v>
      </c>
      <c r="H427" s="1070" t="e">
        <f ca="1">MINIFS(#REF!,#REF!,"&lt;&gt;0",#REF!,"&gt;="&amp;B399,#REF!,"&lt;="&amp;EOMONTH(B399,0))</f>
        <v>#NAME?</v>
      </c>
      <c r="I427" s="1069" t="e">
        <f ca="1">MAXIFS(#REF!,#REF!,"&lt;&gt;0",#REF!,"&gt;="&amp;B399,#REF!,"&lt;="&amp;EOMONTH(B399,0))</f>
        <v>#NAME?</v>
      </c>
      <c r="J427" s="1114" t="e">
        <f>COUNTIFS(#REF!,"&gt;="&amp;D427,#REF!,"&gt;="&amp;B399,#REF!,"&lt;="&amp;EOMONTH(B399,0))</f>
        <v>#REF!</v>
      </c>
      <c r="K427" s="1341" t="e">
        <f>J427/E427</f>
        <v>#REF!</v>
      </c>
      <c r="L427" s="1281"/>
      <c r="M427" s="1289"/>
      <c r="N427" s="1144">
        <f>Parametres!$L$35</f>
        <v>30</v>
      </c>
      <c r="O427" s="1077">
        <f>COUNTIFS('Degrémont Entrée'!$BB$14:$BB$379,"&gt;0",'Degrémont Entrée'!$A$14:$A$379,"&gt;="&amp;B399,'Degrémont Entrée'!$A$14:$A$379,"&lt;="&amp;EOMONTH(B399,0))</f>
        <v>4</v>
      </c>
      <c r="P427" s="1078">
        <f>SUMIFS('Degrémont Entrée'!$BB$14:$BB$379,'Degrémont Entrée'!$BB$14:$BB$379,"&lt;&gt;0",'Degrémont Entrée'!$A$14:$A$379,"&gt;="&amp;B399,'Degrémont Entrée'!$A$14:$A$379,"&lt;="&amp;EOMONTH(B399,0))</f>
        <v>1.33</v>
      </c>
      <c r="Q427" s="1283">
        <f>IF(O427=0,0,P427/O427)</f>
        <v>0.33250000000000002</v>
      </c>
      <c r="R427" s="1286" t="e">
        <f ca="1">MINIFS('Degrémont Entrée'!$BB$14:$BB$379,'Degrémont Entrée'!$BB$14:$BB$379,"&lt;&gt;0",'Degrémont Entrée'!$A$14:$A$379,"&gt;="&amp;B399,'Degrémont Entrée'!$A$14:$A$379,"&lt;="&amp;EOMONTH(B399,0))</f>
        <v>#NAME?</v>
      </c>
      <c r="S427" s="1286" t="e">
        <f ca="1">MAXIFS('Degrémont Entrée'!$BB$14:$BB$379,'Degrémont Entrée'!$BB$14:$BB$379,"&lt;&gt;0",'Degrémont Entrée'!$A$14:$A$379,"&gt;="&amp;B399,'Degrémont Entrée'!$A$14:$A$379,"&lt;="&amp;EOMONTH(B399,0))</f>
        <v>#NAME?</v>
      </c>
      <c r="T427" s="1141">
        <f>COUNTIFS('Degrémont Entrée'!$BB$14:$BB$379,"&gt;="&amp;N427,'Degrémont Entrée'!$A$14:$A$379,"&gt;="&amp;B399,'Degrémont Entrée'!$A$14:$A$379,"&lt;="&amp;EOMONTH(B399,0))</f>
        <v>0</v>
      </c>
      <c r="U427" s="1081">
        <f>T427/O427</f>
        <v>0</v>
      </c>
      <c r="V427" s="1285"/>
      <c r="W427" s="1083">
        <f>Parametres!$T$35</f>
        <v>0.16</v>
      </c>
      <c r="X427" s="1142">
        <f>COUNTIFS('Degrémont sortie'!$AV$14:$AV$379,"&gt;0",'Degrémont sortie'!$A$14:$A$379,"&gt;="&amp;B399,'Degrémont sortie'!$A$14:$A$379,"&lt;="&amp;EOMONTH(B399,0))</f>
        <v>4</v>
      </c>
      <c r="Y427" s="1085">
        <f>SUMIFS('Degrémont sortie'!$AV$14:$AV$379,'Degrémont sortie'!$AV$14:$AV$379,"&lt;&gt;0",'Degrémont sortie'!$A$14:$A$379,"&gt;="&amp;B399,'Degrémont sortie'!$A$14:$A$379,"&lt;="&amp;EOMONTH(B399,0))</f>
        <v>0.6</v>
      </c>
      <c r="Z427" s="1069">
        <f t="shared" ref="Z427:Z429" si="191">IF(X427=0,0,Y427/X427)</f>
        <v>0.15</v>
      </c>
      <c r="AA427" s="1286" t="e">
        <f ca="1">MINIFS('Degrémont sortie'!$AV$14:$AV$379,'Degrémont sortie'!$AV$14:$AV$379,"&lt;&gt;0",'Degrémont sortie'!$A$14:$A$379,"&gt;="&amp;B399,'Degrémont sortie'!$A$14:$A$379,"&lt;="&amp;EOMONTH(B399,0))</f>
        <v>#NAME?</v>
      </c>
      <c r="AB427" s="1286" t="e">
        <f ca="1">MAXIFS('Degrémont sortie'!$AV$14:$AV$379,'Degrémont sortie'!$AV$14:$AV$379,"&lt;&gt;0",'Degrémont sortie'!$A$14:$A$379,"&gt;="&amp;B399,'Degrémont sortie'!$A$14:$A$379,"&lt;="&amp;EOMONTH(B399,0))</f>
        <v>#NAME?</v>
      </c>
      <c r="AC427" s="1141">
        <f>COUNTIFS('Degrémont sortie'!$AV$14:$AV$379,"&gt;="&amp;W427,'Degrémont sortie'!$A$14:$A$379,"&gt;="&amp;B399,'Degrémont sortie'!$A$14:$A$379,"&lt;="&amp;EOMONTH(B399,0))</f>
        <v>0</v>
      </c>
      <c r="AD427" s="1087">
        <f>AC427/X427</f>
        <v>0</v>
      </c>
      <c r="AE427" s="1285"/>
      <c r="AF427" s="1293"/>
      <c r="AG427" s="1293"/>
      <c r="AH427" s="1293"/>
      <c r="AI427" s="1293"/>
      <c r="AJ427" s="1293"/>
      <c r="AK427" s="1285"/>
      <c r="AL427" s="1293"/>
      <c r="AM427" s="1293"/>
      <c r="AN427" s="1293"/>
      <c r="AO427" s="1293"/>
      <c r="AP427" s="1293"/>
      <c r="AQ427" s="1285"/>
      <c r="AR427" s="1293"/>
      <c r="AS427" s="1293"/>
      <c r="AT427" s="1293"/>
      <c r="AU427" s="1293"/>
      <c r="AV427" s="1293"/>
      <c r="AW427" s="1293"/>
      <c r="AX427" s="1294"/>
      <c r="AY427" s="1295"/>
      <c r="AZ427" s="1095" t="e">
        <f t="shared" si="181"/>
        <v>#REF!</v>
      </c>
      <c r="BA427" s="2"/>
    </row>
    <row r="428" spans="1:53" ht="15.75" hidden="1" customHeight="1" outlineLevel="1">
      <c r="A428" s="1027"/>
      <c r="B428" s="1096"/>
      <c r="C428" s="1139" t="s">
        <v>39</v>
      </c>
      <c r="D428" s="1122">
        <f>Parametres!$D$36</f>
        <v>10000000</v>
      </c>
      <c r="E428" s="1068" t="e">
        <f>COUNTIFS(#REF!,"&gt;0",#REF!,"&gt;="&amp;B399,#REF!,"&lt;="&amp;EOMONTH(B399,0))</f>
        <v>#REF!</v>
      </c>
      <c r="F428" s="1069" t="e">
        <f>SUMIFS(#REF!,#REF!,"&lt;&gt;0",#REF!,"&gt;="&amp;B399,#REF!,"&lt;="&amp;EOMONTH(B399,0))</f>
        <v>#REF!</v>
      </c>
      <c r="G428" s="1069" t="e">
        <f t="shared" si="179"/>
        <v>#REF!</v>
      </c>
      <c r="H428" s="1070" t="e">
        <f ca="1">MINIFS(#REF!,#REF!,"&lt;&gt;0",#REF!,"&gt;="&amp;B399,#REF!,"&lt;="&amp;EOMONTH(B399,0))</f>
        <v>#NAME?</v>
      </c>
      <c r="I428" s="1277" t="e">
        <f ca="1">MAXIFS(#REF!,#REF!,"&lt;&gt;0",#REF!,"&gt;="&amp;B399,#REF!,"&lt;="&amp;EOMONTH(B399,0))</f>
        <v>#NAME?</v>
      </c>
      <c r="J428" s="1072" t="s">
        <v>153</v>
      </c>
      <c r="K428" s="1072" t="s">
        <v>153</v>
      </c>
      <c r="L428" s="1281"/>
      <c r="M428" s="1289"/>
      <c r="N428" s="1290"/>
      <c r="O428" s="1290"/>
      <c r="P428" s="1286"/>
      <c r="Q428" s="1286"/>
      <c r="R428" s="1286"/>
      <c r="S428" s="1286"/>
      <c r="T428" s="1290"/>
      <c r="U428" s="1290"/>
      <c r="V428" s="1285"/>
      <c r="W428" s="1083">
        <f>Parametres!$T$36</f>
        <v>100000000</v>
      </c>
      <c r="X428" s="1142">
        <f>COUNTIFS('Degrémont sortie'!$R$14:$R$379,"&gt;0",'Degrémont sortie'!$A$14:$A$379,"&gt;="&amp;B399,'Degrémont sortie'!$A$14:$A$379,"&lt;="&amp;EOMONTH(B399,0))</f>
        <v>0</v>
      </c>
      <c r="Y428" s="1085">
        <f>SUMIFS('Degrémont sortie'!$R$14:$R$379,'Degrémont sortie'!$R$14:$R$379,"&lt;&gt;0",'Degrémont sortie'!$A$14:$A$379,"&gt;="&amp;B399,'Degrémont sortie'!$A$14:$A$379,"&lt;="&amp;EOMONTH(B399,0))</f>
        <v>0</v>
      </c>
      <c r="Z428" s="1069">
        <f t="shared" si="191"/>
        <v>0</v>
      </c>
      <c r="AA428" s="1286" t="e">
        <f ca="1">MINIFS('Degrémont sortie'!$R$14:$R$379,'Degrémont sortie'!$R$14:$R$379,"&lt;&gt;0",'Degrémont sortie'!$A$14:$A$379,"&gt;="&amp;B399,'Degrémont sortie'!$A$14:$A$379,"&lt;="&amp;EOMONTH(B399,0))</f>
        <v>#NAME?</v>
      </c>
      <c r="AB428" s="1286" t="e">
        <f ca="1">MAXIFS('Degrémont sortie'!$R$14:$R$379,'Degrémont sortie'!$R$14:$R$379,"&lt;&gt;0",'Degrémont sortie'!$A$14:$A$379,"&gt;="&amp;B399,'Degrémont sortie'!$A$14:$A$379,"&lt;="&amp;EOMONTH(B399,0))</f>
        <v>#NAME?</v>
      </c>
      <c r="AC428" s="1291" t="s">
        <v>153</v>
      </c>
      <c r="AD428" s="1292" t="s">
        <v>153</v>
      </c>
      <c r="AE428" s="1285"/>
      <c r="AF428" s="1293"/>
      <c r="AG428" s="1293"/>
      <c r="AH428" s="1293"/>
      <c r="AI428" s="1293"/>
      <c r="AJ428" s="1293"/>
      <c r="AK428" s="1285"/>
      <c r="AL428" s="1293"/>
      <c r="AM428" s="1293"/>
      <c r="AN428" s="1293"/>
      <c r="AO428" s="1293"/>
      <c r="AP428" s="1293"/>
      <c r="AQ428" s="1285"/>
      <c r="AR428" s="1293"/>
      <c r="AS428" s="1293"/>
      <c r="AT428" s="1293"/>
      <c r="AU428" s="1293"/>
      <c r="AV428" s="1293"/>
      <c r="AW428" s="1293"/>
      <c r="AX428" s="1294"/>
      <c r="AY428" s="1295"/>
      <c r="AZ428" s="1095" t="e">
        <f t="shared" si="181"/>
        <v>#REF!</v>
      </c>
      <c r="BA428" s="2"/>
    </row>
    <row r="429" spans="1:53" ht="15.75" hidden="1" customHeight="1" outlineLevel="1">
      <c r="A429" s="1027"/>
      <c r="B429" s="1096"/>
      <c r="C429" s="1139" t="s">
        <v>40</v>
      </c>
      <c r="D429" s="1122">
        <f>Parametres!$D$37</f>
        <v>10000000</v>
      </c>
      <c r="E429" s="1068" t="e">
        <f>COUNTIFS(#REF!,"&gt;0",#REF!,"&gt;="&amp;B399,#REF!,"&lt;="&amp;EOMONTH(B399,0))</f>
        <v>#REF!</v>
      </c>
      <c r="F429" s="1069" t="e">
        <f>SUMIFS(#REF!,#REF!,"&lt;&gt;0",#REF!,"&gt;="&amp;B399,#REF!,"&lt;="&amp;EOMONTH(B399,0))</f>
        <v>#REF!</v>
      </c>
      <c r="G429" s="1069" t="e">
        <f t="shared" si="179"/>
        <v>#REF!</v>
      </c>
      <c r="H429" s="1070" t="e">
        <f ca="1">MINIFS(#REF!,#REF!,"&lt;&gt;0",#REF!,"&gt;="&amp;B399,#REF!,"&lt;="&amp;EOMONTH(B399,0))</f>
        <v>#NAME?</v>
      </c>
      <c r="I429" s="1069" t="e">
        <f ca="1">MAXIFS(#REF!,#REF!,"&lt;&gt;0",#REF!,"&gt;="&amp;B399,#REF!,"&lt;="&amp;EOMONTH(B399,0))</f>
        <v>#NAME?</v>
      </c>
      <c r="J429" s="1072" t="s">
        <v>153</v>
      </c>
      <c r="K429" s="1072" t="s">
        <v>153</v>
      </c>
      <c r="L429" s="1281"/>
      <c r="M429" s="1289"/>
      <c r="N429" s="1290"/>
      <c r="O429" s="1290"/>
      <c r="P429" s="1286"/>
      <c r="Q429" s="1286"/>
      <c r="R429" s="1286"/>
      <c r="S429" s="1286"/>
      <c r="T429" s="1290"/>
      <c r="U429" s="1290"/>
      <c r="V429" s="1285"/>
      <c r="W429" s="1083">
        <f>Parametres!$T$37</f>
        <v>100000000</v>
      </c>
      <c r="X429" s="1142">
        <f>COUNTIFS('Degrémont sortie'!$U$14:$U$379,"&gt;0",'Degrémont sortie'!$A$14:$A$379,"&gt;="&amp;B399,'Degrémont sortie'!$A$14:$A$379,"&lt;="&amp;EOMONTH(B399,0))</f>
        <v>0</v>
      </c>
      <c r="Y429" s="1085">
        <f>SUMIFS('Degrémont sortie'!$U$14:$U$379,'Degrémont sortie'!$U$14:$U$379,"&lt;&gt;0",'Degrémont sortie'!$A$14:$A$379,"&gt;="&amp;B399,'Degrémont sortie'!$A$14:$A$379,"&lt;="&amp;EOMONTH(B399,0))</f>
        <v>0</v>
      </c>
      <c r="Z429" s="1069">
        <f t="shared" si="191"/>
        <v>0</v>
      </c>
      <c r="AA429" s="1286" t="e">
        <f ca="1">MINIFS('Degrémont sortie'!$U$14:$U$379,'Degrémont sortie'!$U$14:$U$379,"&lt;&gt;0",'Degrémont sortie'!$A$14:$A$379,"&gt;="&amp;B399,'Degrémont sortie'!$A$14:$A$379,"&lt;="&amp;EOMONTH(B399,0))</f>
        <v>#NAME?</v>
      </c>
      <c r="AB429" s="1286" t="e">
        <f ca="1">MAXIFS('Degrémont sortie'!$U$14:$U$379,'Degrémont sortie'!$U$14:$U$379,"&lt;&gt;0",'Degrémont sortie'!$A$14:$A$379,"&gt;="&amp;B399,'Degrémont sortie'!$A$14:$A$379,"&lt;="&amp;EOMONTH(B399,0))</f>
        <v>#NAME?</v>
      </c>
      <c r="AC429" s="1291" t="s">
        <v>153</v>
      </c>
      <c r="AD429" s="1292" t="s">
        <v>153</v>
      </c>
      <c r="AE429" s="1285"/>
      <c r="AF429" s="1293"/>
      <c r="AG429" s="1293"/>
      <c r="AH429" s="1293"/>
      <c r="AI429" s="1293"/>
      <c r="AJ429" s="1293"/>
      <c r="AK429" s="1285"/>
      <c r="AL429" s="1293"/>
      <c r="AM429" s="1293"/>
      <c r="AN429" s="1293"/>
      <c r="AO429" s="1293"/>
      <c r="AP429" s="1293"/>
      <c r="AQ429" s="1285"/>
      <c r="AR429" s="1293"/>
      <c r="AS429" s="1293"/>
      <c r="AT429" s="1293"/>
      <c r="AU429" s="1293"/>
      <c r="AV429" s="1293"/>
      <c r="AW429" s="1293"/>
      <c r="AX429" s="1294"/>
      <c r="AY429" s="1295"/>
      <c r="AZ429" s="1095" t="e">
        <f t="shared" si="181"/>
        <v>#REF!</v>
      </c>
      <c r="BA429" s="2"/>
    </row>
    <row r="430" spans="1:53" ht="15.75" hidden="1" customHeight="1" outlineLevel="1">
      <c r="A430" s="1027"/>
      <c r="B430" s="1096"/>
      <c r="C430" s="1121" t="s">
        <v>15</v>
      </c>
      <c r="D430" s="1122">
        <f>Parametres!$D$38</f>
        <v>1000000</v>
      </c>
      <c r="E430" s="1068" t="e">
        <f>COUNTIFS(#REF!,"&gt;0",#REF!,"&gt;="&amp;B399,#REF!,"&lt;="&amp;EOMONTH(B399,0))</f>
        <v>#REF!</v>
      </c>
      <c r="F430" s="1069" t="e">
        <f>SUMIFS(#REF!,#REF!,"&lt;&gt;0",#REF!,"&gt;="&amp;B399,#REF!,"&lt;="&amp;EOMONTH(B399,0))</f>
        <v>#REF!</v>
      </c>
      <c r="G430" s="1069" t="e">
        <f t="shared" si="179"/>
        <v>#REF!</v>
      </c>
      <c r="H430" s="1070" t="e">
        <f ca="1">MINIFS(#REF!,#REF!,"&lt;&gt;0",#REF!,"&gt;="&amp;B399,#REF!,"&lt;="&amp;EOMONTH(B399,0))</f>
        <v>#NAME?</v>
      </c>
      <c r="I430" s="1069" t="e">
        <f ca="1">MAXIFS(#REF!,#REF!,"&lt;&gt;0",#REF!,"&gt;="&amp;B399,#REF!,"&lt;="&amp;EOMONTH(B399,0))</f>
        <v>#NAME?</v>
      </c>
      <c r="J430" s="1072" t="e">
        <f>COUNTIFS(#REF!,"&gt;="&amp;D430,#REF!,"&gt;="&amp;B399,#REF!,"&lt;="&amp;EOMONTH(B399,0))</f>
        <v>#REF!</v>
      </c>
      <c r="K430" s="1341" t="e">
        <f t="shared" ref="K430:K431" si="192">J430/E430</f>
        <v>#REF!</v>
      </c>
      <c r="L430" s="1281"/>
      <c r="M430" s="1289"/>
      <c r="N430" s="1290"/>
      <c r="O430" s="1290"/>
      <c r="P430" s="1286"/>
      <c r="Q430" s="1286"/>
      <c r="R430" s="1286"/>
      <c r="S430" s="1286"/>
      <c r="T430" s="1290"/>
      <c r="U430" s="1290"/>
      <c r="V430" s="1285"/>
      <c r="W430" s="1293"/>
      <c r="X430" s="1293"/>
      <c r="Y430" s="1286"/>
      <c r="Z430" s="1286"/>
      <c r="AA430" s="1286"/>
      <c r="AB430" s="1286"/>
      <c r="AC430" s="1293"/>
      <c r="AD430" s="1249"/>
      <c r="AE430" s="1285"/>
      <c r="AF430" s="1293"/>
      <c r="AG430" s="1293"/>
      <c r="AH430" s="1293"/>
      <c r="AI430" s="1293"/>
      <c r="AJ430" s="1293"/>
      <c r="AK430" s="1285"/>
      <c r="AL430" s="1293"/>
      <c r="AM430" s="1293"/>
      <c r="AN430" s="1293"/>
      <c r="AO430" s="1293"/>
      <c r="AP430" s="1293"/>
      <c r="AQ430" s="1285"/>
      <c r="AR430" s="1293"/>
      <c r="AS430" s="1293"/>
      <c r="AT430" s="1293"/>
      <c r="AU430" s="1293"/>
      <c r="AV430" s="1293"/>
      <c r="AW430" s="1293"/>
      <c r="AX430" s="1294"/>
      <c r="AY430" s="1295"/>
      <c r="AZ430" s="1095" t="e">
        <f t="shared" si="181"/>
        <v>#REF!</v>
      </c>
      <c r="BA430" s="2"/>
    </row>
    <row r="431" spans="1:53" ht="15.75" hidden="1" customHeight="1" outlineLevel="1">
      <c r="A431" s="1027"/>
      <c r="B431" s="1096"/>
      <c r="C431" s="1121" t="s">
        <v>170</v>
      </c>
      <c r="D431" s="1122">
        <f>Parametres!$D$40</f>
        <v>10000000</v>
      </c>
      <c r="E431" s="1068" t="e">
        <f>COUNTIFS(#REF!,"&gt;0",#REF!,"&gt;="&amp;B399,#REF!,"&lt;="&amp;EOMONTH(B399,0))</f>
        <v>#REF!</v>
      </c>
      <c r="F431" s="1069" t="e">
        <f>SUMIFS(#REF!,#REF!,"&lt;&gt;0",#REF!,"&gt;="&amp;B399,#REF!,"&lt;="&amp;EOMONTH(B399,0))</f>
        <v>#REF!</v>
      </c>
      <c r="G431" s="1069" t="e">
        <f t="shared" si="179"/>
        <v>#REF!</v>
      </c>
      <c r="H431" s="1070" t="e">
        <f ca="1">MINIFS(#REF!,#REF!,"&lt;&gt;0",#REF!,"&gt;="&amp;B399,#REF!,"&lt;="&amp;EOMONTH(B399,0))</f>
        <v>#NAME?</v>
      </c>
      <c r="I431" s="1069" t="e">
        <f ca="1">MAXIFS(#REF!,#REF!,"&lt;&gt;0",#REF!,"&gt;="&amp;B399,#REF!,"&lt;="&amp;EOMONTH(B399,0))</f>
        <v>#NAME?</v>
      </c>
      <c r="J431" s="1114" t="e">
        <f>COUNTIFS(#REF!,"&gt;="&amp;D431,#REF!,"&gt;="&amp;B400,#REF!,"&lt;="&amp;EOMONTH(B400,0))</f>
        <v>#REF!</v>
      </c>
      <c r="K431" s="1341" t="e">
        <f t="shared" si="192"/>
        <v>#REF!</v>
      </c>
      <c r="L431" s="1281"/>
      <c r="M431" s="1289"/>
      <c r="N431" s="1313"/>
      <c r="O431" s="1313"/>
      <c r="P431" s="1315"/>
      <c r="Q431" s="1317"/>
      <c r="R431" s="1286"/>
      <c r="S431" s="1286"/>
      <c r="T431" s="1290"/>
      <c r="U431" s="1290"/>
      <c r="V431" s="1285"/>
      <c r="W431" s="1293"/>
      <c r="X431" s="1293"/>
      <c r="Y431" s="1315"/>
      <c r="Z431" s="1286"/>
      <c r="AA431" s="1286"/>
      <c r="AB431" s="1286"/>
      <c r="AC431" s="1293"/>
      <c r="AD431" s="1249"/>
      <c r="AE431" s="1285"/>
      <c r="AF431" s="1293"/>
      <c r="AG431" s="1293"/>
      <c r="AH431" s="1293"/>
      <c r="AI431" s="1293"/>
      <c r="AJ431" s="1293"/>
      <c r="AK431" s="1285"/>
      <c r="AL431" s="1321"/>
      <c r="AM431" s="1293"/>
      <c r="AN431" s="1293"/>
      <c r="AO431" s="1293"/>
      <c r="AP431" s="1293"/>
      <c r="AQ431" s="1285"/>
      <c r="AR431" s="1293"/>
      <c r="AS431" s="1293"/>
      <c r="AT431" s="1293"/>
      <c r="AU431" s="1293"/>
      <c r="AV431" s="1293"/>
      <c r="AW431" s="1293"/>
      <c r="AX431" s="1294"/>
      <c r="AY431" s="1295"/>
      <c r="AZ431" s="1095"/>
      <c r="BA431" s="2"/>
    </row>
    <row r="432" spans="1:53" ht="15.75" hidden="1" customHeight="1" outlineLevel="1">
      <c r="A432" s="1027"/>
      <c r="B432" s="1096"/>
      <c r="C432" s="1139" t="s">
        <v>38</v>
      </c>
      <c r="D432" s="1122">
        <f>Parametres!$D$39</f>
        <v>1000000</v>
      </c>
      <c r="E432" s="1068" t="e">
        <f>COUNTIFS(#REF!,"&gt;0",#REF!,"&gt;="&amp;B399,#REF!,"&lt;="&amp;EOMONTH(B399,0))</f>
        <v>#REF!</v>
      </c>
      <c r="F432" s="1069" t="e">
        <f>SUMIFS(#REF!,#REF!,"&lt;&gt;0",#REF!,"&gt;="&amp;B399,#REF!,"&lt;="&amp;EOMONTH(B399,0))</f>
        <v>#REF!</v>
      </c>
      <c r="G432" s="1069" t="e">
        <f t="shared" si="179"/>
        <v>#REF!</v>
      </c>
      <c r="H432" s="1070" t="e">
        <f ca="1">MINIFS(#REF!,#REF!,"&lt;&gt;0",#REF!,"&gt;="&amp;B399,#REF!,"&lt;="&amp;EOMONTH(B399,0))</f>
        <v>#NAME?</v>
      </c>
      <c r="I432" s="1069" t="e">
        <f ca="1">MAXIFS(#REF!,#REF!,"&lt;&gt;0",#REF!,"&gt;="&amp;B399,#REF!,"&lt;="&amp;EOMONTH(B399,0))</f>
        <v>#NAME?</v>
      </c>
      <c r="J432" s="1072" t="s">
        <v>153</v>
      </c>
      <c r="K432" s="1072" t="s">
        <v>153</v>
      </c>
      <c r="L432" s="1281"/>
      <c r="M432" s="1289"/>
      <c r="N432" s="1328">
        <f>Parametres!$L$39</f>
        <v>100000</v>
      </c>
      <c r="O432" s="1077">
        <f>COUNTIF('Degrémont Entrée'!$U$14:$U$44,"&gt;0")</f>
        <v>4</v>
      </c>
      <c r="P432" s="1078">
        <f>SUMIFS('Degrémont Entrée'!$U$14:$U$379,'Degrémont Entrée'!$U$14:$U$379,"&lt;&gt;0",'Degrémont Entrée'!$A$14:$A$379,"&gt;="&amp;B399,'Degrémont Entrée'!$A$14:$A$379,"&lt;="&amp;EOMONTH(B399,0))</f>
        <v>260</v>
      </c>
      <c r="Q432" s="1283">
        <f t="shared" ref="Q432:Q435" si="193">IF(O432=0,0,P432/O432)</f>
        <v>65</v>
      </c>
      <c r="R432" s="1286" t="e">
        <f ca="1">MINIFS('Degrémont Entrée'!$U$14:$U$379,'Degrémont Entrée'!$U$14:$U$379,"&lt;&gt;0",'Degrémont Entrée'!$A$14:$A$379,"&gt;="&amp;B399,'Degrémont Entrée'!$A$14:$A$379,"&lt;="&amp;EOMONTH(B399,0))</f>
        <v>#NAME?</v>
      </c>
      <c r="S432" s="1286" t="e">
        <f ca="1">MAXIFS('Degrémont Entrée'!$U$14:$U$379,'Degrémont Entrée'!$U$14:$U$379,"&lt;&gt;0",'Degrémont Entrée'!$A$14:$A$379,"&gt;="&amp;B399,'Degrémont Entrée'!$A$14:$A$379,"&lt;="&amp;EOMONTH(B399,0))</f>
        <v>#NAME?</v>
      </c>
      <c r="T432" s="1291" t="s">
        <v>153</v>
      </c>
      <c r="U432" s="1291" t="s">
        <v>153</v>
      </c>
      <c r="V432" s="1285"/>
      <c r="W432" s="1083">
        <f>Parametres!T430</f>
        <v>0</v>
      </c>
      <c r="X432" s="1142">
        <f>COUNTIFS('Degrémont sortie'!$O$14:$O$379,"&gt;0",'Degrémont sortie'!$A$14:$A$379,"&gt;="&amp;B399,'Degrémont sortie'!$A$14:$A$379,"&lt;="&amp;EOMONTH(B399,0))</f>
        <v>4</v>
      </c>
      <c r="Y432" s="1085">
        <f>SUMIFS('Degrémont sortie'!$O$14:$O$379,'Degrémont sortie'!$O$14:$O$379,"&lt;&gt;0",'Degrémont sortie'!$A$14:$A$379,"&gt;="&amp;B399,'Degrémont sortie'!$A$14:$A$379,"&lt;="&amp;EOMONTH(B399,0))</f>
        <v>27.599999999999998</v>
      </c>
      <c r="Z432" s="1069">
        <f t="shared" ref="Z432:Z438" si="194">IF(X432=0,0,Y432/X432)</f>
        <v>6.8999999999999995</v>
      </c>
      <c r="AA432" s="1286" t="e">
        <f ca="1">MINIFS('Degrémont sortie'!$O$14:$O$379,'Degrémont sortie'!$O$14:$O$379,"&lt;&gt;0",'Degrémont sortie'!$A$14:$A$379,"&gt;="&amp;B399,'Degrémont sortie'!$A$14:$A$379,"&lt;="&amp;EOMONTH(B399,0))</f>
        <v>#NAME?</v>
      </c>
      <c r="AB432" s="1286" t="e">
        <f ca="1">MAXIFS('Degrémont sortie'!$O$14:$O$379,'Degrémont sortie'!$O$14:$O$379,"&lt;&gt;0",'Degrémont sortie'!$A$14:$A$379,"&gt;="&amp;B399,'Degrémont sortie'!$A$14:$A$379,"&lt;="&amp;EOMONTH(B399,0))</f>
        <v>#NAME?</v>
      </c>
      <c r="AC432" s="1291" t="s">
        <v>153</v>
      </c>
      <c r="AD432" s="1292" t="s">
        <v>153</v>
      </c>
      <c r="AE432" s="1285"/>
      <c r="AF432" s="1293"/>
      <c r="AG432" s="1293"/>
      <c r="AH432" s="1293"/>
      <c r="AI432" s="1293"/>
      <c r="AJ432" s="1293"/>
      <c r="AK432" s="1285"/>
      <c r="AL432" s="1205" t="e">
        <f>COUNTIFS(#REF!,"&gt;0",#REF!,"&gt;="&amp;B399,#REF!,"&lt;="&amp;EOMONTH(B399,0))</f>
        <v>#REF!</v>
      </c>
      <c r="AM432" s="1208" t="e">
        <f>SUMIFS(#REF!,#REF!,"&lt;&gt;0",#REF!,"&gt;="&amp;B399,#REF!,"&lt;="&amp;EOMONTH(B399,0))</f>
        <v>#REF!</v>
      </c>
      <c r="AN432" s="1208" t="e">
        <f>IF(AL432=0,0,AM432/AL432)</f>
        <v>#REF!</v>
      </c>
      <c r="AO432" s="1141" t="e">
        <f ca="1">MINIFS(#REF!,#REF!,"&lt;&gt;0",#REF!,"&gt;="&amp;B399,#REF!,"&lt;="&amp;EOMONTH(B399,0))</f>
        <v>#NAME?</v>
      </c>
      <c r="AP432" s="1141" t="e">
        <f ca="1">MAXIFS(#REF!,#REF!,"&lt;&gt;0",#REF!,"&gt;="&amp;B399,#REF!,"&lt;="&amp;EOMONTH(B399,0))</f>
        <v>#NAME?</v>
      </c>
      <c r="AQ432" s="1285"/>
      <c r="AR432" s="1293"/>
      <c r="AS432" s="1293"/>
      <c r="AT432" s="1293"/>
      <c r="AU432" s="1293"/>
      <c r="AV432" s="1293"/>
      <c r="AW432" s="1293"/>
      <c r="AX432" s="1294"/>
      <c r="AY432" s="1295"/>
      <c r="AZ432" s="1095" t="e">
        <f t="shared" ref="AZ432:AZ444" si="195">SUM(E432+O432+X432+AF432+AL432+AS432)</f>
        <v>#REF!</v>
      </c>
      <c r="BA432" s="2"/>
    </row>
    <row r="433" spans="1:53" ht="15.75" hidden="1" customHeight="1" outlineLevel="1">
      <c r="A433" s="1027"/>
      <c r="B433" s="1096"/>
      <c r="C433" s="1139" t="s">
        <v>33</v>
      </c>
      <c r="D433" s="1122" t="str">
        <f>Parametres!$D$41</f>
        <v>5,5-8,5</v>
      </c>
      <c r="E433" s="1068" t="e">
        <f>COUNTIFS(#REF!,"&gt;0",#REF!,"&gt;="&amp;B399,#REF!,"&lt;="&amp;EOMONTH(B399,0))</f>
        <v>#REF!</v>
      </c>
      <c r="F433" s="1069" t="e">
        <f>SUMIFS(#REF!,#REF!,"&lt;&gt;0",#REF!,"&gt;="&amp;B399,#REF!,"&lt;="&amp;EOMONTH(B399,0))</f>
        <v>#REF!</v>
      </c>
      <c r="G433" s="1069" t="e">
        <f t="shared" si="179"/>
        <v>#REF!</v>
      </c>
      <c r="H433" s="1070" t="e">
        <f ca="1">MINIFS(#REF!,#REF!,"&lt;&gt;0",#REF!,"&gt;="&amp;B399,#REF!,"&lt;="&amp;EOMONTH(B399,0))</f>
        <v>#NAME?</v>
      </c>
      <c r="I433" s="1069" t="e">
        <f ca="1">MAXIFS(#REF!,#REF!,"&lt;&gt;0",#REF!,"&gt;="&amp;B399,#REF!,"&lt;="&amp;EOMONTH(B399,0))</f>
        <v>#NAME?</v>
      </c>
      <c r="J433" s="1114" t="e">
        <f>COUNTIFS(#REF!,"&lt;="&amp;D433,#REF!,"&gt;="&amp;B399,#REF!,"&lt;="&amp;EOMONTH(B399,0))</f>
        <v>#REF!</v>
      </c>
      <c r="K433" s="1341" t="e">
        <f t="shared" ref="K433:K435" si="196">J433/E433</f>
        <v>#REF!</v>
      </c>
      <c r="L433" s="1281"/>
      <c r="M433" s="1289"/>
      <c r="N433" s="1144">
        <f>Parametres!$L$41</f>
        <v>100000000</v>
      </c>
      <c r="O433" s="1077">
        <f>COUNTIFS('Degrémont Entrée'!$C$14:$C$379,"&gt;0",'Degrémont Entrée'!$A$14:$A$379,"&gt;="&amp;B399,'Degrémont Entrée'!$A$14:$A$379,"&lt;="&amp;EOMONTH(B399,0))</f>
        <v>24</v>
      </c>
      <c r="P433" s="1078">
        <f>SUMIFS('Degrémont Entrée'!$C$14:$C$379,'Degrémont Entrée'!$C$14:$C$379,"&lt;&gt;0",'Degrémont Entrée'!$A$14:$A$379,"&gt;="&amp;B399,'Degrémont Entrée'!$A$14:$A$379,"&lt;="&amp;EOMONTH(B399,0))</f>
        <v>187.82000000000002</v>
      </c>
      <c r="Q433" s="1283">
        <f t="shared" si="193"/>
        <v>7.8258333333333345</v>
      </c>
      <c r="R433" s="1286" t="e">
        <f ca="1">MINIFS('Degrémont Entrée'!$C$14:$C$379,'Degrémont Entrée'!$C$14:$C$379,"&lt;&gt;0",'Degrémont Entrée'!$A$14:$A$379,"&gt;="&amp;B399,'Degrémont Entrée'!$A$14:$A$379,"&lt;="&amp;EOMONTH(B399,0))</f>
        <v>#NAME?</v>
      </c>
      <c r="S433" s="1286" t="e">
        <f ca="1">MAXIFS('Degrémont Entrée'!$C$14:$C$379,'Degrémont Entrée'!$C$14:$C$379,"&lt;&gt;0",'Degrémont Entrée'!$A$14:$A$379,"&gt;="&amp;B399,'Degrémont Entrée'!$A$14:$A$379,"&lt;="&amp;EOMONTH(B399,0))</f>
        <v>#NAME?</v>
      </c>
      <c r="T433" s="1291" t="s">
        <v>153</v>
      </c>
      <c r="U433" s="1291" t="s">
        <v>153</v>
      </c>
      <c r="V433" s="1285"/>
      <c r="W433" s="1083">
        <f>Parametres!$T$41</f>
        <v>100000000</v>
      </c>
      <c r="X433" s="1142">
        <f>COUNTIFS('Degrémont sortie'!$C$14:$C$379,"&gt;0",'Degrémont sortie'!$A$14:$A$379,"&gt;="&amp;B399,'Degrémont sortie'!$A$14:$A$379,"&lt;="&amp;EOMONTH(B399,0))</f>
        <v>24</v>
      </c>
      <c r="Y433" s="1085">
        <f>SUMIFS('Degrémont sortie'!$C$14:$C$379,'Degrémont sortie'!$C$14:$C$379,"&lt;&gt;0",'Degrémont sortie'!$A$14:$A$379,"&gt;="&amp;B399,'Degrémont sortie'!$A$14:$A$379,"&lt;="&amp;EOMONTH(B399,0))</f>
        <v>210.3</v>
      </c>
      <c r="Z433" s="1069">
        <f t="shared" si="194"/>
        <v>8.7625000000000011</v>
      </c>
      <c r="AA433" s="1286" t="e">
        <f ca="1">MINIFS('Degrémont sortie'!$C$14:$C$379,'Degrémont sortie'!$C$14:$C$379,"&lt;&gt;0",'Degrémont sortie'!$A$14:$A$379,"&gt;="&amp;B399,'Degrémont sortie'!$A$14:$A$379,"&lt;="&amp;EOMONTH(B399,0))</f>
        <v>#NAME?</v>
      </c>
      <c r="AB433" s="1286" t="e">
        <f ca="1">MAXIFS('Degrémont sortie'!$C$14:$C$379,'Degrémont sortie'!$C$14:$C$379,"&lt;&gt;0",'Degrémont sortie'!$A$14:$A$379,"&gt;="&amp;B399,'Degrémont sortie'!$A$14:$A$379,"&lt;="&amp;EOMONTH(B399,0))</f>
        <v>#NAME?</v>
      </c>
      <c r="AC433" s="1291" t="s">
        <v>153</v>
      </c>
      <c r="AD433" s="1292" t="s">
        <v>153</v>
      </c>
      <c r="AE433" s="1285"/>
      <c r="AF433" s="1293"/>
      <c r="AG433" s="1293"/>
      <c r="AH433" s="1293"/>
      <c r="AI433" s="1293"/>
      <c r="AJ433" s="1293"/>
      <c r="AK433" s="1285"/>
      <c r="AL433" s="1293"/>
      <c r="AM433" s="1293"/>
      <c r="AN433" s="1293"/>
      <c r="AO433" s="1293"/>
      <c r="AP433" s="1293"/>
      <c r="AQ433" s="1285"/>
      <c r="AR433" s="1293"/>
      <c r="AS433" s="1293"/>
      <c r="AT433" s="1293"/>
      <c r="AU433" s="1293"/>
      <c r="AV433" s="1293"/>
      <c r="AW433" s="1293"/>
      <c r="AX433" s="1294"/>
      <c r="AY433" s="1295"/>
      <c r="AZ433" s="1095" t="e">
        <f t="shared" si="195"/>
        <v>#REF!</v>
      </c>
      <c r="BA433" s="2"/>
    </row>
    <row r="434" spans="1:53" ht="15.75" hidden="1" customHeight="1" outlineLevel="1">
      <c r="A434" s="1027"/>
      <c r="B434" s="1096"/>
      <c r="C434" s="1139" t="s">
        <v>49</v>
      </c>
      <c r="D434" s="1122">
        <f>Parametres!$D$42</f>
        <v>0.5</v>
      </c>
      <c r="E434" s="1068" t="e">
        <f>COUNTIFS(#REF!,"&gt;0",#REF!,"&gt;="&amp;B399,#REF!,"&lt;="&amp;EOMONTH(B399,0))</f>
        <v>#REF!</v>
      </c>
      <c r="F434" s="1069" t="e">
        <f>SUMIFS(#REF!,#REF!,"&lt;&gt;0",#REF!,"&gt;="&amp;B399,#REF!,"&lt;="&amp;EOMONTH(B399,0))</f>
        <v>#REF!</v>
      </c>
      <c r="G434" s="1069" t="e">
        <f t="shared" si="179"/>
        <v>#REF!</v>
      </c>
      <c r="H434" s="1070" t="e">
        <f ca="1">MINIFS(#REF!,#REF!,"&lt;&gt;0",#REF!,"&gt;="&amp;B399,#REF!,"&lt;="&amp;EOMONTH(B399,0))</f>
        <v>#NAME?</v>
      </c>
      <c r="I434" s="1069" t="e">
        <f ca="1">MAXIFS(#REF!,#REF!,"&lt;&gt;0",#REF!,"&gt;="&amp;B399,#REF!,"&lt;="&amp;EOMONTH(B399,0))</f>
        <v>#NAME?</v>
      </c>
      <c r="J434" s="1114" t="e">
        <f>COUNTIFS(#REF!,"&gt;="&amp;D434,#REF!,"&gt;="&amp;B399,#REF!,"&lt;="&amp;EOMONTH(B399,0))</f>
        <v>#REF!</v>
      </c>
      <c r="K434" s="1341" t="e">
        <f t="shared" si="196"/>
        <v>#REF!</v>
      </c>
      <c r="L434" s="1281"/>
      <c r="M434" s="1289"/>
      <c r="N434" s="1144">
        <f>Parametres!$L$42</f>
        <v>0.3</v>
      </c>
      <c r="O434" s="1077">
        <f>COUNTIFS('Degrémont Entrée'!$BE$14:$BE$379,"&gt;0",'Degrémont Entrée'!$A$14:$A$379,"&gt;="&amp;B399,'Degrémont Entrée'!$A$14:$A$379,"&lt;="&amp;EOMONTH(B399,0))</f>
        <v>4</v>
      </c>
      <c r="P434" s="1078">
        <f>SUMIFS('Degrémont Entrée'!$BE$14:$BE$379,'Degrémont Entrée'!$BE$14:$BE$379,"&lt;&gt;0",'Degrémont Entrée'!$A$14:$A$379,"&gt;="&amp;B399,'Degrémont Entrée'!$A$14:$A$379,"&lt;="&amp;EOMONTH(B399,0))</f>
        <v>0.79</v>
      </c>
      <c r="Q434" s="1283">
        <f t="shared" si="193"/>
        <v>0.19750000000000001</v>
      </c>
      <c r="R434" s="1286" t="e">
        <f ca="1">MINIFS('Degrémont Entrée'!$BE$14:$BE$379,'Degrémont Entrée'!$BE$14:$BE$379,"&lt;&gt;0",'Degrémont Entrée'!$A$14:$A$379,"&gt;="&amp;B399,'Degrémont Entrée'!$A$14:$A$379,"&lt;="&amp;EOMONTH(B399,0))</f>
        <v>#NAME?</v>
      </c>
      <c r="S434" s="1286" t="e">
        <f ca="1">MAXIFS('Degrémont Entrée'!$BE$14:$BE$379,'Degrémont Entrée'!$BE$14:$BE$379,"&lt;&gt;0",'Degrémont Entrée'!$A$14:$A$379,"&gt;="&amp;B399,'Degrémont Entrée'!$A$14:$A$379,"&lt;="&amp;EOMONTH(B399,0))</f>
        <v>#NAME?</v>
      </c>
      <c r="T434" s="1141">
        <f>COUNTIFS('Degrémont Entrée'!$BE$14:$BE$379,"&gt;="&amp;N434,'Degrémont Entrée'!$A$14:$A$379,"&gt;="&amp;B399,'Degrémont Entrée'!$A$14:$A$379,"&lt;="&amp;EOMONTH(B399,0))</f>
        <v>1</v>
      </c>
      <c r="U434" s="1081">
        <f t="shared" ref="U434:U435" si="197">T434/O434</f>
        <v>0.25</v>
      </c>
      <c r="V434" s="1285"/>
      <c r="W434" s="1083">
        <f>Parametres!$T$42</f>
        <v>0.08</v>
      </c>
      <c r="X434" s="1142">
        <f>COUNTIFS('Degrémont sortie'!$AY$14:$AY$379,"&gt;0",'Degrémont sortie'!$A$14:$A$379,"&gt;="&amp;B399,'Degrémont sortie'!$A$14:$A$379,"&lt;="&amp;EOMONTH(B399,0))</f>
        <v>4</v>
      </c>
      <c r="Y434" s="1085">
        <f>SUMIFS('Degrémont sortie'!$AY$14:$AY$379,'Degrémont sortie'!$AY$14:$AY$379,"&lt;&gt;0",'Degrémont sortie'!$A$14:$A$379,"&gt;="&amp;B399,'Degrémont sortie'!$A$14:$A$379,"&lt;="&amp;EOMONTH(B399,0))</f>
        <v>0.52</v>
      </c>
      <c r="Z434" s="1069">
        <f t="shared" si="194"/>
        <v>0.13</v>
      </c>
      <c r="AA434" s="1286" t="e">
        <f ca="1">MINIFS('Degrémont sortie'!$AY$14:$AY$379,'Degrémont sortie'!$AY$14:$AY$379,"&lt;&gt;0",'Degrémont sortie'!$A$14:$A$379,"&gt;="&amp;B399,'Degrémont sortie'!$A$14:$A$379,"&lt;="&amp;EOMONTH(B399,0))</f>
        <v>#NAME?</v>
      </c>
      <c r="AB434" s="1286" t="e">
        <f ca="1">MAXIFS('Degrémont sortie'!$AY$14:$AY$379,'Degrémont sortie'!$AY$14:$AY$379,"&lt;&gt;0",'Degrémont sortie'!$A$14:$A$379,"&gt;="&amp;B399,'Degrémont sortie'!$A$14:$A$379,"&lt;="&amp;EOMONTH(B399,0))</f>
        <v>#NAME?</v>
      </c>
      <c r="AC434" s="1141">
        <f>COUNTIFS('Degrémont sortie'!$AY$14:$AY$379,"&gt;="&amp;W434,'Degrémont sortie'!$A$14:$A$379,"&gt;="&amp;B399,'Degrémont sortie'!$A$14:$A$379,"&lt;="&amp;EOMONTH(B399,0))</f>
        <v>4</v>
      </c>
      <c r="AD434" s="1087">
        <f t="shared" ref="AD434:AD435" si="198">AC434/X434</f>
        <v>1</v>
      </c>
      <c r="AE434" s="1285"/>
      <c r="AF434" s="1293"/>
      <c r="AG434" s="1293"/>
      <c r="AH434" s="1293"/>
      <c r="AI434" s="1293"/>
      <c r="AJ434" s="1293"/>
      <c r="AK434" s="1285"/>
      <c r="AL434" s="1293"/>
      <c r="AM434" s="1293"/>
      <c r="AN434" s="1293"/>
      <c r="AO434" s="1293"/>
      <c r="AP434" s="1293"/>
      <c r="AQ434" s="1285"/>
      <c r="AR434" s="1293"/>
      <c r="AS434" s="1293"/>
      <c r="AT434" s="1293"/>
      <c r="AU434" s="1293"/>
      <c r="AV434" s="1293"/>
      <c r="AW434" s="1293"/>
      <c r="AX434" s="1294"/>
      <c r="AY434" s="1295"/>
      <c r="AZ434" s="1095" t="e">
        <f t="shared" si="195"/>
        <v>#REF!</v>
      </c>
      <c r="BA434" s="2"/>
    </row>
    <row r="435" spans="1:53" ht="15.75" hidden="1" customHeight="1" outlineLevel="1">
      <c r="A435" s="1027"/>
      <c r="B435" s="1096"/>
      <c r="C435" s="1139" t="s">
        <v>37</v>
      </c>
      <c r="D435" s="1122">
        <f>Parametres!$D$43</f>
        <v>15</v>
      </c>
      <c r="E435" s="1069"/>
      <c r="F435" s="1069"/>
      <c r="G435" s="1069">
        <f t="shared" si="179"/>
        <v>0</v>
      </c>
      <c r="H435" s="1070" t="e">
        <f ca="1">MINIFS(#REF!,#REF!,"&lt;&gt;0",#REF!,"&gt;="&amp;B399,#REF!,"&lt;="&amp;EOMONTH(B399,0))</f>
        <v>#NAME?</v>
      </c>
      <c r="I435" s="1069" t="e">
        <f ca="1">MAXIFS(#REF!,#REF!,"&lt;&gt;0",#REF!,"&gt;="&amp;B399,#REF!,"&lt;="&amp;EOMONTH(B399,0))</f>
        <v>#NAME?</v>
      </c>
      <c r="J435" s="1114" t="e">
        <f>COUNTIFS(#REF!,"&gt;="&amp;D435,#REF!,"&gt;="&amp;B400,#REF!,"&lt;="&amp;EOMONTH(B400,0))</f>
        <v>#REF!</v>
      </c>
      <c r="K435" s="1341" t="e">
        <f t="shared" si="196"/>
        <v>#REF!</v>
      </c>
      <c r="L435" s="1281"/>
      <c r="M435" s="1289"/>
      <c r="N435" s="1144">
        <f>Parametres!$L$43</f>
        <v>500</v>
      </c>
      <c r="O435" s="1077">
        <f>COUNTIFS('Degrémont Entrée'!$S$14:$S$379,"&gt;0",'Degrémont Entrée'!$A$14:$A$379,"&gt;="&amp;B399,'Degrémont Entrée'!$A$14:$A$379,"&lt;="&amp;EOMONTH(B399,0))</f>
        <v>24</v>
      </c>
      <c r="P435" s="1078">
        <f>SUMIFS('Degrémont Entrée'!$S$14:$S$379,'Degrémont Entrée'!$S$14:$S$379,"&lt;&gt;0",'Degrémont Entrée'!$A$14:$A$379,"&gt;="&amp;B399,'Degrémont Entrée'!$A$14:$A$379,"&lt;="&amp;EOMONTH(B399,0))</f>
        <v>8551.1999999999989</v>
      </c>
      <c r="Q435" s="1283">
        <f t="shared" si="193"/>
        <v>356.29999999999995</v>
      </c>
      <c r="R435" s="1286" t="e">
        <f ca="1">MINIFS('Degrémont Entrée'!$S$14:$S$379,'Degrémont Entrée'!$S$14:$S$379,"&lt;&gt;0",'Degrémont Entrée'!$A$14:$A$379,"&gt;="&amp;B399,'Degrémont Entrée'!$A$14:$A$379,"&lt;="&amp;EOMONTH(B399,0))</f>
        <v>#NAME?</v>
      </c>
      <c r="S435" s="1286" t="e">
        <f ca="1">MAXIFS('Degrémont Entrée'!$S$14:$S$379,'Degrémont Entrée'!$S$14:$S$379,"&lt;&gt;0",'Degrémont Entrée'!$A$14:$A$379,"&gt;="&amp;B399,'Degrémont Entrée'!$A$14:$A$379,"&lt;="&amp;EOMONTH(B399,0))</f>
        <v>#NAME?</v>
      </c>
      <c r="T435" s="1141">
        <f>COUNTIFS('Degrémont Entrée'!$S$14:$S$379,"&gt;="&amp;N435,'Degrémont Entrée'!$A$14:$A$379,"&gt;="&amp;B399,'Degrémont Entrée'!$A$14:$A$379,"&lt;="&amp;EOMONTH(B399,0))</f>
        <v>3</v>
      </c>
      <c r="U435" s="1081">
        <f t="shared" si="197"/>
        <v>0.125</v>
      </c>
      <c r="V435" s="1285"/>
      <c r="W435" s="1083">
        <f>Parametres!$T$43</f>
        <v>20</v>
      </c>
      <c r="X435" s="1142">
        <f>COUNTIFS('Degrémont sortie'!$M$14:$M$379,"&gt;0",'Degrémont sortie'!$A$14:$A$379,"&gt;="&amp;B399,'Degrémont sortie'!$A$14:$A$379,"&lt;="&amp;EOMONTH(B399,0))</f>
        <v>23</v>
      </c>
      <c r="Y435" s="1085">
        <f>SUMIFS('Degrémont sortie'!$M$14:$M$379,'Degrémont sortie'!$M$14:$M$379,"&lt;&gt;0",'Degrémont sortie'!$A$14:$A$379,"&gt;="&amp;B399,'Degrémont sortie'!$A$14:$A$379,"&lt;="&amp;EOMONTH(B399,0))</f>
        <v>14.990000000000002</v>
      </c>
      <c r="Z435" s="1069">
        <f t="shared" si="194"/>
        <v>0.65173913043478271</v>
      </c>
      <c r="AA435" s="1286" t="e">
        <f ca="1">MINIFS('Degrémont sortie'!$M$14:$M$379,'Degrémont sortie'!$M$14:$M$379,"&lt;&gt;0",'Degrémont sortie'!$A$14:$A$379,"&gt;="&amp;B399,'Degrémont sortie'!$A$14:$A$379,"&lt;="&amp;EOMONTH(B399,0))</f>
        <v>#NAME?</v>
      </c>
      <c r="AB435" s="1286" t="e">
        <f ca="1">MAXIFS('Degrémont sortie'!$M$14:$M$379,'Degrémont sortie'!$M$14:$M$379,"&lt;&gt;0",'Degrémont sortie'!$A$14:$A$379,"&gt;="&amp;B399,'Degrémont sortie'!$A$14:$A$379,"&lt;="&amp;EOMONTH(B399,0))</f>
        <v>#NAME?</v>
      </c>
      <c r="AC435" s="1141">
        <f>COUNTIFS('Degrémont sortie'!$M$14:$M$379,"&gt;="&amp;W435,'Degrémont sortie'!$A$14:$A$379,"&gt;="&amp;B399,'Degrémont sortie'!$A$14:$A$379,"&lt;="&amp;EOMONTH(B399,0))</f>
        <v>0</v>
      </c>
      <c r="AD435" s="1087">
        <f t="shared" si="198"/>
        <v>0</v>
      </c>
      <c r="AE435" s="1285"/>
      <c r="AF435" s="1293"/>
      <c r="AG435" s="1293"/>
      <c r="AH435" s="1293"/>
      <c r="AI435" s="1293"/>
      <c r="AJ435" s="1293"/>
      <c r="AK435" s="1285"/>
      <c r="AL435" s="1205" t="e">
        <f>COUNTIFS(#REF!,"&gt;0",#REF!,"&gt;="&amp;B399,#REF!,"&lt;="&amp;EOMONTH(B399,0))</f>
        <v>#REF!</v>
      </c>
      <c r="AM435" s="1208" t="e">
        <f>SUMIFS(#REF!,#REF!,"&lt;&gt;0",#REF!,"&gt;="&amp;B399,#REF!,"&lt;="&amp;EOMONTH(B399,0))</f>
        <v>#REF!</v>
      </c>
      <c r="AN435" s="1208" t="e">
        <f t="shared" ref="AN435:AN437" si="199">IF(AL435=0,0,AM435/AL435)</f>
        <v>#REF!</v>
      </c>
      <c r="AO435" s="1141" t="e">
        <f ca="1">MINIFS(#REF!,#REF!,"&lt;&gt;0",#REF!,"&gt;="&amp;B399,#REF!,"&lt;="&amp;EOMONTH(B399,0))</f>
        <v>#NAME?</v>
      </c>
      <c r="AP435" s="1141" t="e">
        <f ca="1">MAXIFS(#REF!,#REF!,"&lt;&gt;0",#REF!,"&gt;="&amp;B399,#REF!,"&lt;="&amp;EOMONTH(B399,0))</f>
        <v>#NAME?</v>
      </c>
      <c r="AQ435" s="1285"/>
      <c r="AR435" s="1293"/>
      <c r="AS435" s="1293"/>
      <c r="AT435" s="1293"/>
      <c r="AU435" s="1293"/>
      <c r="AV435" s="1293"/>
      <c r="AW435" s="1293"/>
      <c r="AX435" s="1294"/>
      <c r="AY435" s="1295"/>
      <c r="AZ435" s="1095" t="e">
        <f t="shared" si="195"/>
        <v>#REF!</v>
      </c>
      <c r="BA435" s="2"/>
    </row>
    <row r="436" spans="1:53" ht="15.75" hidden="1" customHeight="1" outlineLevel="1">
      <c r="A436" s="1027"/>
      <c r="B436" s="1096"/>
      <c r="C436" s="1139" t="s">
        <v>301</v>
      </c>
      <c r="D436" s="1102"/>
      <c r="E436" s="1069"/>
      <c r="F436" s="1069"/>
      <c r="G436" s="1069"/>
      <c r="H436" s="1069"/>
      <c r="I436" s="1069"/>
      <c r="J436" s="1102"/>
      <c r="K436" s="1102"/>
      <c r="L436" s="1281"/>
      <c r="M436" s="1289"/>
      <c r="N436" s="1290"/>
      <c r="O436" s="1290"/>
      <c r="P436" s="1286"/>
      <c r="Q436" s="1283"/>
      <c r="R436" s="1286"/>
      <c r="S436" s="1286"/>
      <c r="T436" s="1290"/>
      <c r="U436" s="1290"/>
      <c r="V436" s="1285"/>
      <c r="W436" s="1083">
        <f>Parametres!$T$44</f>
        <v>100000</v>
      </c>
      <c r="X436" s="1329">
        <f>COUNTIFS('Degrémont sortie'!$BA$14:$BA$379,"&gt;0",'Degrémont sortie'!$A$14:$A$379,"&gt;="&amp;B399,'Degrémont sortie'!$A$14:$A$379,"&lt;="&amp;EOMONTH(B399,0))</f>
        <v>24</v>
      </c>
      <c r="Y436" s="1286" t="e">
        <f>SUMIFS('Degrémont sortie'!$BA$14:$BA$379,'Degrémont sortie'!$BA$14:$BA$379,"&lt;&gt;0",'Degrémont sortie'!$A$14:$A$379,"&gt;="&amp;B399,'Degrémont sortie'!$A$14:$A$379,"&lt;="&amp;EOMONTH(B399,0))</f>
        <v>#DIV/0!</v>
      </c>
      <c r="Z436" s="1069" t="e">
        <f t="shared" si="194"/>
        <v>#DIV/0!</v>
      </c>
      <c r="AA436" s="1286" t="e">
        <f ca="1">MINIFS('Degrémont sortie'!$BA$14:$BA$379,'Degrémont sortie'!$BA$14:$BA$379,"&lt;&gt;0",'Degrémont sortie'!$A$14:$A$379,"&gt;="&amp;B399,'Degrémont sortie'!$A$14:$A$379,"&lt;="&amp;EOMONTH(B399,0))</f>
        <v>#NAME?</v>
      </c>
      <c r="AB436" s="1286" t="e">
        <f ca="1">MAXIFS('Degrémont sortie'!$BA$14:$BA$379,'Degrémont sortie'!$BA$14:$BA$379,"&lt;&gt;0",'Degrémont sortie'!$A$14:$A$379,"&gt;="&amp;B399,'Degrémont sortie'!$A$14:$A$379,"&lt;="&amp;EOMONTH(B399,0))</f>
        <v>#NAME?</v>
      </c>
      <c r="AC436" s="1213" t="s">
        <v>153</v>
      </c>
      <c r="AD436" s="1330" t="s">
        <v>153</v>
      </c>
      <c r="AE436" s="1285"/>
      <c r="AF436" s="1293"/>
      <c r="AG436" s="1293"/>
      <c r="AH436" s="1293"/>
      <c r="AI436" s="1293"/>
      <c r="AJ436" s="1293"/>
      <c r="AK436" s="1285"/>
      <c r="AL436" s="1205" t="e">
        <f>COUNTIFS(#REF!,"&gt;0",#REF!,"&gt;="&amp;B399,#REF!,"&lt;="&amp;EOMONTH(B399,0))</f>
        <v>#REF!</v>
      </c>
      <c r="AM436" s="1208" t="e">
        <f>SUMIFS(#REF!,#REF!,"&lt;&gt;0",#REF!,"&gt;="&amp;B399,#REF!,"&lt;="&amp;EOMONTH(B399,0))</f>
        <v>#REF!</v>
      </c>
      <c r="AN436" s="1208" t="e">
        <f t="shared" si="199"/>
        <v>#REF!</v>
      </c>
      <c r="AO436" s="1208" t="e">
        <f ca="1">MINIFS(#REF!,#REF!,"&lt;&gt;0",#REF!,"&gt;="&amp;B399,#REF!,"&lt;="&amp;EOMONTH(B399,0))</f>
        <v>#NAME?</v>
      </c>
      <c r="AP436" s="1208" t="e">
        <f ca="1">MAXIFS(#REF!,#REF!,"&lt;&gt;0",#REF!,"&gt;="&amp;B399,#REF!,"&lt;="&amp;EOMONTH(B399,0))</f>
        <v>#NAME?</v>
      </c>
      <c r="AQ436" s="1285"/>
      <c r="AR436" s="1293"/>
      <c r="AS436" s="1293"/>
      <c r="AT436" s="1293"/>
      <c r="AU436" s="1293"/>
      <c r="AV436" s="1293"/>
      <c r="AW436" s="1293"/>
      <c r="AX436" s="1294"/>
      <c r="AY436" s="1295"/>
      <c r="AZ436" s="1095" t="e">
        <f t="shared" si="195"/>
        <v>#REF!</v>
      </c>
      <c r="BA436" s="2"/>
    </row>
    <row r="437" spans="1:53" ht="15.75" hidden="1" customHeight="1" outlineLevel="1">
      <c r="A437" s="1027"/>
      <c r="B437" s="1096"/>
      <c r="C437" s="1139" t="s">
        <v>302</v>
      </c>
      <c r="D437" s="1102"/>
      <c r="E437" s="1069"/>
      <c r="F437" s="1069"/>
      <c r="G437" s="1069"/>
      <c r="H437" s="1069"/>
      <c r="I437" s="1069"/>
      <c r="J437" s="1102"/>
      <c r="K437" s="1102"/>
      <c r="L437" s="1281"/>
      <c r="M437" s="1289"/>
      <c r="N437" s="1290"/>
      <c r="O437" s="1290"/>
      <c r="P437" s="1286"/>
      <c r="Q437" s="1283"/>
      <c r="R437" s="1286"/>
      <c r="S437" s="1286"/>
      <c r="T437" s="1290"/>
      <c r="U437" s="1290"/>
      <c r="V437" s="1285"/>
      <c r="W437" s="1083">
        <f>Parametres!$T$45</f>
        <v>10000</v>
      </c>
      <c r="X437" s="1331">
        <f>COUNTIFS('Degrémont sortie'!BB$14:BB$379,"&gt;0",'Degrémont sortie'!$A$14:$A$379,"&gt;="&amp;B399,'Degrémont sortie'!$A$14:$A$379,"&lt;="&amp;EOMONTH(B399,0))</f>
        <v>24</v>
      </c>
      <c r="Y437" s="1286" t="e">
        <f>SUMIFS('Degrémont sortie'!$BB$14:$BB$379,'Degrémont sortie'!$BB$14:$BB$379,"&lt;&gt;0",'Degrémont sortie'!$A$14:$A$379,"&gt;="&amp;B399,'Degrémont sortie'!$A$14:$A$379,"&lt;="&amp;EOMONTH(B399,0))</f>
        <v>#DIV/0!</v>
      </c>
      <c r="Z437" s="1069" t="e">
        <f t="shared" si="194"/>
        <v>#DIV/0!</v>
      </c>
      <c r="AA437" s="1286" t="e">
        <f ca="1">MINIFS('Degrémont sortie'!$BB$14:$BB$379,'Degrémont sortie'!$BB$14:$BB$379,"&lt;&gt;0",'Degrémont sortie'!$A$14:$A$379,"&gt;="&amp;B399,'Degrémont sortie'!$A$14:$A$379,"&lt;="&amp;EOMONTH(B399,0))</f>
        <v>#NAME?</v>
      </c>
      <c r="AB437" s="1286" t="e">
        <f ca="1">MAXIFS('Degrémont sortie'!$BB$14:$BB$379,'Degrémont sortie'!$BB$14:$BB$379,"&lt;&gt;0",'Degrémont sortie'!$A$14:$A$379,"&gt;="&amp;B399,'Degrémont sortie'!$A$14:$A$379,"&lt;="&amp;EOMONTH(B399,0))</f>
        <v>#NAME?</v>
      </c>
      <c r="AC437" s="1213" t="s">
        <v>153</v>
      </c>
      <c r="AD437" s="1330" t="s">
        <v>153</v>
      </c>
      <c r="AE437" s="1285"/>
      <c r="AF437" s="1293"/>
      <c r="AG437" s="1293"/>
      <c r="AH437" s="1293"/>
      <c r="AI437" s="1293"/>
      <c r="AJ437" s="1293"/>
      <c r="AK437" s="1285"/>
      <c r="AL437" s="1205" t="e">
        <f>COUNTIFS(#REF!,"&gt;0",#REF!,"&gt;="&amp;B399,#REF!,"&lt;="&amp;EOMONTH(B399,0))</f>
        <v>#REF!</v>
      </c>
      <c r="AM437" s="1208" t="e">
        <f>SUMIFS(#REF!,#REF!,"&lt;&gt;0",#REF!,"&gt;="&amp;B399,#REF!,"&lt;="&amp;EOMONTH(B399,0))</f>
        <v>#REF!</v>
      </c>
      <c r="AN437" s="1208" t="e">
        <f t="shared" si="199"/>
        <v>#REF!</v>
      </c>
      <c r="AO437" s="1208" t="e">
        <f ca="1">MINIFS(#REF!,#REF!,"&lt;&gt;0",#REF!,"&gt;="&amp;B399,#REF!,"&lt;="&amp;EOMONTH(B399,0))</f>
        <v>#NAME?</v>
      </c>
      <c r="AP437" s="1208" t="e">
        <f ca="1">MAXIFS(#REF!,#REF!,"&lt;&gt;0",#REF!,"&gt;="&amp;B399,#REF!,"&lt;="&amp;EOMONTH(B399,0))</f>
        <v>#NAME?</v>
      </c>
      <c r="AQ437" s="1285"/>
      <c r="AR437" s="1293"/>
      <c r="AS437" s="1293"/>
      <c r="AT437" s="1293"/>
      <c r="AU437" s="1293"/>
      <c r="AV437" s="1293"/>
      <c r="AW437" s="1293"/>
      <c r="AX437" s="1294"/>
      <c r="AY437" s="1295"/>
      <c r="AZ437" s="1095" t="e">
        <f t="shared" si="195"/>
        <v>#REF!</v>
      </c>
      <c r="BA437" s="2"/>
    </row>
    <row r="438" spans="1:53" ht="15.75" hidden="1" customHeight="1" outlineLevel="1">
      <c r="A438" s="1027"/>
      <c r="B438" s="1096"/>
      <c r="C438" s="1139" t="s">
        <v>303</v>
      </c>
      <c r="D438" s="1102"/>
      <c r="E438" s="1069"/>
      <c r="F438" s="1069"/>
      <c r="G438" s="1069"/>
      <c r="H438" s="1069"/>
      <c r="I438" s="1069"/>
      <c r="J438" s="1102"/>
      <c r="K438" s="1102"/>
      <c r="L438" s="1281"/>
      <c r="M438" s="1289"/>
      <c r="N438" s="1290"/>
      <c r="O438" s="1290"/>
      <c r="P438" s="1286"/>
      <c r="Q438" s="1283"/>
      <c r="R438" s="1286"/>
      <c r="S438" s="1286"/>
      <c r="T438" s="1290"/>
      <c r="U438" s="1290"/>
      <c r="V438" s="1285"/>
      <c r="W438" s="1083">
        <f>Parametres!$T$46</f>
        <v>10000</v>
      </c>
      <c r="X438" s="1142">
        <f>COUNTIFS('Degrémont sortie'!$BC$14:$BC$379,"&gt;0",'Degrémont sortie'!$A$14:$A$379,"&gt;="&amp;B399,'Degrémont sortie'!$A$14:$A$379,"&lt;="&amp;EOMONTH(B399,0))</f>
        <v>23</v>
      </c>
      <c r="Y438" s="1085" t="e">
        <f>SUMIFS('Degrémont sortie'!$BC$14:$BC$379,'Degrémont sortie'!$BC$14:$BC$379,"&lt;&gt;0",'Degrémont sortie'!$A$14:$A$379,"&gt;="&amp;B399,'Degrémont sortie'!$A$14:$A$379,"&lt;="&amp;EOMONTH(B399,0))</f>
        <v>#VALUE!</v>
      </c>
      <c r="Z438" s="1069" t="e">
        <f t="shared" si="194"/>
        <v>#VALUE!</v>
      </c>
      <c r="AA438" s="1286" t="e">
        <f ca="1">MINIFS('Degrémont sortie'!$BC$14:$BC$379,'Degrémont sortie'!$BC$14:$BC$379,"&lt;&gt;0",'Degrémont sortie'!$A$14:$A$379,"&gt;="&amp;B399,'Degrémont sortie'!$A$14:$A$379,"&lt;="&amp;EOMONTH(B399,0))</f>
        <v>#NAME?</v>
      </c>
      <c r="AB438" s="1286" t="e">
        <f ca="1">MAXIFS('Degrémont sortie'!$BC$14:$BC$379,'Degrémont sortie'!$BC$14:$BC$379,"&lt;&gt;0",'Degrémont sortie'!$A$14:$A$379,"&gt;="&amp;B399,'Degrémont sortie'!$A$14:$A$379,"&lt;="&amp;EOMONTH(B399,0))</f>
        <v>#NAME?</v>
      </c>
      <c r="AC438" s="1291" t="s">
        <v>153</v>
      </c>
      <c r="AD438" s="1292" t="s">
        <v>153</v>
      </c>
      <c r="AE438" s="1285"/>
      <c r="AF438" s="1293"/>
      <c r="AG438" s="1293"/>
      <c r="AH438" s="1293"/>
      <c r="AI438" s="1293"/>
      <c r="AJ438" s="1293"/>
      <c r="AK438" s="1285"/>
      <c r="AL438" s="1293"/>
      <c r="AM438" s="1293"/>
      <c r="AN438" s="1293"/>
      <c r="AO438" s="1293"/>
      <c r="AP438" s="1293"/>
      <c r="AQ438" s="1285"/>
      <c r="AR438" s="1293"/>
      <c r="AS438" s="1293"/>
      <c r="AT438" s="1293"/>
      <c r="AU438" s="1293"/>
      <c r="AV438" s="1293"/>
      <c r="AW438" s="1293"/>
      <c r="AX438" s="1294"/>
      <c r="AY438" s="1295"/>
      <c r="AZ438" s="1095">
        <f t="shared" si="195"/>
        <v>23</v>
      </c>
      <c r="BA438" s="2"/>
    </row>
    <row r="439" spans="1:53" ht="15.75" hidden="1" customHeight="1" outlineLevel="1">
      <c r="A439" s="1027"/>
      <c r="B439" s="1096"/>
      <c r="C439" s="1139" t="s">
        <v>338</v>
      </c>
      <c r="D439" s="1102"/>
      <c r="E439" s="1069"/>
      <c r="F439" s="1069"/>
      <c r="G439" s="1069"/>
      <c r="H439" s="1069"/>
      <c r="I439" s="1069"/>
      <c r="J439" s="1102"/>
      <c r="K439" s="1102"/>
      <c r="L439" s="1281"/>
      <c r="M439" s="1289"/>
      <c r="N439" s="1290"/>
      <c r="O439" s="1290"/>
      <c r="P439" s="1286"/>
      <c r="Q439" s="1283"/>
      <c r="R439" s="1286"/>
      <c r="S439" s="1286"/>
      <c r="T439" s="1290"/>
      <c r="U439" s="1290"/>
      <c r="V439" s="1285"/>
      <c r="W439" s="1293"/>
      <c r="X439" s="1293"/>
      <c r="Y439" s="1286"/>
      <c r="Z439" s="1286"/>
      <c r="AA439" s="1286"/>
      <c r="AB439" s="1286"/>
      <c r="AC439" s="1293"/>
      <c r="AD439" s="1249"/>
      <c r="AE439" s="1285"/>
      <c r="AF439" s="1293"/>
      <c r="AG439" s="1293"/>
      <c r="AH439" s="1293"/>
      <c r="AI439" s="1293"/>
      <c r="AJ439" s="1293"/>
      <c r="AK439" s="1285"/>
      <c r="AL439" s="1293"/>
      <c r="AM439" s="1293"/>
      <c r="AN439" s="1293"/>
      <c r="AO439" s="1293"/>
      <c r="AP439" s="1293"/>
      <c r="AQ439" s="1285"/>
      <c r="AR439" s="1293"/>
      <c r="AS439" s="1293"/>
      <c r="AT439" s="1293"/>
      <c r="AU439" s="1293"/>
      <c r="AV439" s="1293"/>
      <c r="AW439" s="1293"/>
      <c r="AX439" s="1294"/>
      <c r="AY439" s="1295"/>
      <c r="AZ439" s="1095">
        <f t="shared" si="195"/>
        <v>0</v>
      </c>
      <c r="BA439" s="2"/>
    </row>
    <row r="440" spans="1:53" ht="15.75" hidden="1" customHeight="1" outlineLevel="1">
      <c r="A440" s="1027"/>
      <c r="B440" s="1096"/>
      <c r="C440" s="1139" t="s">
        <v>339</v>
      </c>
      <c r="D440" s="1122">
        <f>Parametres!$D$48</f>
        <v>30</v>
      </c>
      <c r="E440" s="1068" t="e">
        <f>COUNTIFS(#REF!,"&gt;0",#REF!,"&gt;="&amp;B399,#REF!,"&lt;="&amp;EOMONTH(B399,0))</f>
        <v>#REF!</v>
      </c>
      <c r="F440" s="1069" t="e">
        <f>SUMIFS(#REF!,#REF!,"&lt;&gt;0",#REF!,"&gt;="&amp;B399,#REF!,"&lt;="&amp;EOMONTH(B399,0))</f>
        <v>#REF!</v>
      </c>
      <c r="G440" s="1069" t="e">
        <f t="shared" ref="G440:G444" si="200">IF(E440=0,0,F440/E440)</f>
        <v>#REF!</v>
      </c>
      <c r="H440" s="1069" t="e">
        <f ca="1">MINIFS(#REF!,#REF!,"&lt;&gt;0",#REF!,"&gt;="&amp;B399,#REF!,"&lt;="&amp;EOMONTH(B399,0))</f>
        <v>#NAME?</v>
      </c>
      <c r="I440" s="1069" t="e">
        <f ca="1">MAXIFS(#REF!,#REF!,"&lt;&gt;0",#REF!,"&gt;="&amp;B399,#REF!,"&lt;="&amp;EOMONTH(B399,0))</f>
        <v>#NAME?</v>
      </c>
      <c r="J440" s="1114" t="e">
        <f>COUNTIFS(#REF!,"&gt;="&amp;D440,#REF!,"&gt;="&amp;B399,#REF!,"&lt;="&amp;EOMONTH(B399,0))</f>
        <v>#REF!</v>
      </c>
      <c r="K440" s="1341" t="e">
        <f t="shared" ref="K440:K444" si="201">J440/E440</f>
        <v>#REF!</v>
      </c>
      <c r="L440" s="1281"/>
      <c r="M440" s="1289"/>
      <c r="N440" s="1290"/>
      <c r="O440" s="1290"/>
      <c r="P440" s="1286"/>
      <c r="Q440" s="1283"/>
      <c r="R440" s="1286"/>
      <c r="S440" s="1286"/>
      <c r="T440" s="1290"/>
      <c r="U440" s="1290"/>
      <c r="V440" s="1285"/>
      <c r="W440" s="1293"/>
      <c r="X440" s="1293"/>
      <c r="Y440" s="1286"/>
      <c r="Z440" s="1286"/>
      <c r="AA440" s="1286"/>
      <c r="AB440" s="1286"/>
      <c r="AC440" s="1293"/>
      <c r="AD440" s="1249"/>
      <c r="AE440" s="1285"/>
      <c r="AF440" s="1293"/>
      <c r="AG440" s="1293"/>
      <c r="AH440" s="1293"/>
      <c r="AI440" s="1293"/>
      <c r="AJ440" s="1293"/>
      <c r="AK440" s="1285"/>
      <c r="AL440" s="1293"/>
      <c r="AM440" s="1293"/>
      <c r="AN440" s="1293"/>
      <c r="AO440" s="1293"/>
      <c r="AP440" s="1293"/>
      <c r="AQ440" s="1285"/>
      <c r="AR440" s="1293"/>
      <c r="AS440" s="1293"/>
      <c r="AT440" s="1293"/>
      <c r="AU440" s="1293"/>
      <c r="AV440" s="1293"/>
      <c r="AW440" s="1293"/>
      <c r="AX440" s="1294"/>
      <c r="AY440" s="1295"/>
      <c r="AZ440" s="1095" t="e">
        <f t="shared" si="195"/>
        <v>#REF!</v>
      </c>
      <c r="BA440" s="2"/>
    </row>
    <row r="441" spans="1:53" ht="15.75" hidden="1" customHeight="1" outlineLevel="1">
      <c r="A441" s="1027"/>
      <c r="B441" s="1096"/>
      <c r="C441" s="1302" t="s">
        <v>24</v>
      </c>
      <c r="D441" s="1122">
        <f>Parametres!$D$50</f>
        <v>4</v>
      </c>
      <c r="E441" s="1068" t="e">
        <f>COUNTIFS(#REF!,"&gt;0",#REF!,"&gt;="&amp;B399,#REF!,"&lt;="&amp;EOMONTH(B399,0))</f>
        <v>#REF!</v>
      </c>
      <c r="F441" s="1069" t="e">
        <f>SUMIFS(#REF!,#REF!,"&lt;&gt;0",#REF!,"&gt;="&amp;B399,#REF!,"&lt;="&amp;EOMONTH(B399,0))</f>
        <v>#REF!</v>
      </c>
      <c r="G441" s="1069" t="e">
        <f t="shared" si="200"/>
        <v>#REF!</v>
      </c>
      <c r="H441" s="1069" t="e">
        <f ca="1">MINIFS(#REF!,#REF!,"&lt;&gt;0",#REF!,"&gt;="&amp;B399,#REF!,"&lt;="&amp;EOMONTH(B399,0))</f>
        <v>#NAME?</v>
      </c>
      <c r="I441" s="1069" t="e">
        <f ca="1">MAXIFS(#REF!,#REF!,"&lt;&gt;0",#REF!,"&gt;="&amp;B399,#REF!,"&lt;="&amp;EOMONTH(B399,0))</f>
        <v>#NAME?</v>
      </c>
      <c r="J441" s="1114" t="e">
        <f>COUNTIFS(#REF!,"&gt;="&amp;D441,#REF!,"&gt;="&amp;B399,#REF!,"&lt;="&amp;EOMONTH(B399,0))</f>
        <v>#REF!</v>
      </c>
      <c r="K441" s="1341" t="e">
        <f t="shared" si="201"/>
        <v>#REF!</v>
      </c>
      <c r="L441" s="1281"/>
      <c r="M441" s="1289"/>
      <c r="N441" s="1290"/>
      <c r="O441" s="1290"/>
      <c r="P441" s="1286"/>
      <c r="Q441" s="1283"/>
      <c r="R441" s="1286"/>
      <c r="S441" s="1286"/>
      <c r="T441" s="1290"/>
      <c r="U441" s="1290"/>
      <c r="V441" s="1285"/>
      <c r="W441" s="1293"/>
      <c r="X441" s="1293"/>
      <c r="Y441" s="1286"/>
      <c r="Z441" s="1286"/>
      <c r="AA441" s="1286"/>
      <c r="AB441" s="1286"/>
      <c r="AC441" s="1293"/>
      <c r="AD441" s="1249"/>
      <c r="AE441" s="1285"/>
      <c r="AF441" s="1293"/>
      <c r="AG441" s="1293"/>
      <c r="AH441" s="1293"/>
      <c r="AI441" s="1293"/>
      <c r="AJ441" s="1293"/>
      <c r="AK441" s="1285"/>
      <c r="AL441" s="1293"/>
      <c r="AM441" s="1293"/>
      <c r="AN441" s="1293"/>
      <c r="AO441" s="1293"/>
      <c r="AP441" s="1293"/>
      <c r="AQ441" s="1285"/>
      <c r="AR441" s="1293"/>
      <c r="AS441" s="1293"/>
      <c r="AT441" s="1293"/>
      <c r="AU441" s="1293"/>
      <c r="AV441" s="1293"/>
      <c r="AW441" s="1293"/>
      <c r="AX441" s="1294"/>
      <c r="AY441" s="1295"/>
      <c r="AZ441" s="1095" t="e">
        <f t="shared" si="195"/>
        <v>#REF!</v>
      </c>
      <c r="BA441" s="2"/>
    </row>
    <row r="442" spans="1:53" ht="15.75" hidden="1" customHeight="1" outlineLevel="1">
      <c r="A442" s="1027"/>
      <c r="B442" s="1096"/>
      <c r="C442" s="1302" t="s">
        <v>168</v>
      </c>
      <c r="D442" s="1122" t="e">
        <f>#REF!</f>
        <v>#REF!</v>
      </c>
      <c r="E442" s="1068" t="e">
        <f>COUNTIFS(#REF!,"&gt;0",#REF!,"&gt;="&amp;B399,#REF!,"&lt;="&amp;EOMONTH(B399,0))</f>
        <v>#REF!</v>
      </c>
      <c r="F442" s="1069" t="e">
        <f>SUMIFS(#REF!,#REF!,"&lt;&gt;0",#REF!,"&gt;="&amp;B399,#REF!,"&lt;="&amp;EOMONTH(B399,0))</f>
        <v>#REF!</v>
      </c>
      <c r="G442" s="1069" t="e">
        <f t="shared" si="200"/>
        <v>#REF!</v>
      </c>
      <c r="H442" s="1069" t="e">
        <f ca="1">MINIFS(#REF!,#REF!,"&lt;&gt;0",#REF!,"&gt;="&amp;B399,#REF!,"&lt;="&amp;EOMONTH(B399,0))</f>
        <v>#NAME?</v>
      </c>
      <c r="I442" s="1069" t="e">
        <f ca="1">MAXIFS(#REF!,#REF!,"&lt;&gt;0",#REF!,"&gt;="&amp;B399,#REF!,"&lt;="&amp;EOMONTH(B399,0))</f>
        <v>#NAME?</v>
      </c>
      <c r="J442" s="1072" t="e">
        <f>COUNTIFS(#REF!,"&gt;="&amp;D442,#REF!,"&gt;="&amp;B399,#REF!,"&lt;="&amp;EOMONTH(B399,0))</f>
        <v>#REF!</v>
      </c>
      <c r="K442" s="1341" t="e">
        <f t="shared" si="201"/>
        <v>#REF!</v>
      </c>
      <c r="L442" s="1281"/>
      <c r="M442" s="1289"/>
      <c r="N442" s="1290"/>
      <c r="O442" s="1290"/>
      <c r="P442" s="1286"/>
      <c r="Q442" s="1283"/>
      <c r="R442" s="1286"/>
      <c r="S442" s="1286"/>
      <c r="T442" s="1290"/>
      <c r="U442" s="1290"/>
      <c r="V442" s="1285"/>
      <c r="W442" s="1293"/>
      <c r="X442" s="1293"/>
      <c r="Y442" s="1286"/>
      <c r="Z442" s="1286"/>
      <c r="AA442" s="1286"/>
      <c r="AB442" s="1286"/>
      <c r="AC442" s="1293"/>
      <c r="AD442" s="1249"/>
      <c r="AE442" s="1285"/>
      <c r="AF442" s="1293"/>
      <c r="AG442" s="1293"/>
      <c r="AH442" s="1293"/>
      <c r="AI442" s="1293"/>
      <c r="AJ442" s="1293"/>
      <c r="AK442" s="1285"/>
      <c r="AL442" s="1293"/>
      <c r="AM442" s="1293"/>
      <c r="AN442" s="1293"/>
      <c r="AO442" s="1293"/>
      <c r="AP442" s="1293"/>
      <c r="AQ442" s="1285"/>
      <c r="AR442" s="1293"/>
      <c r="AS442" s="1293"/>
      <c r="AT442" s="1293"/>
      <c r="AU442" s="1293"/>
      <c r="AV442" s="1293"/>
      <c r="AW442" s="1293"/>
      <c r="AX442" s="1294"/>
      <c r="AY442" s="1295"/>
      <c r="AZ442" s="1095" t="e">
        <f t="shared" si="195"/>
        <v>#REF!</v>
      </c>
      <c r="BA442" s="2"/>
    </row>
    <row r="443" spans="1:53" ht="15.75" hidden="1" customHeight="1" outlineLevel="1">
      <c r="A443" s="1027"/>
      <c r="B443" s="1096"/>
      <c r="C443" s="1302" t="s">
        <v>25</v>
      </c>
      <c r="D443" s="1122">
        <f>Parametres!$D$51</f>
        <v>1.5</v>
      </c>
      <c r="E443" s="1068" t="e">
        <f>COUNTIFS(#REF!,"&gt;0",#REF!,"&gt;="&amp;B399,#REF!,"&lt;="&amp;EOMONTH(B399,0))</f>
        <v>#REF!</v>
      </c>
      <c r="F443" s="1069" t="e">
        <f>SUMIFS(#REF!,#REF!,"&lt;&gt;0",#REF!,"&gt;="&amp;B399,#REF!,"&lt;="&amp;EOMONTH(B399,0))</f>
        <v>#REF!</v>
      </c>
      <c r="G443" s="1069" t="e">
        <f t="shared" si="200"/>
        <v>#REF!</v>
      </c>
      <c r="H443" s="1069" t="e">
        <f ca="1">MINIFS(#REF!,#REF!,"&lt;&gt;0",#REF!,"&gt;="&amp;B399,#REF!,"&lt;="&amp;EOMONTH(B399,0))</f>
        <v>#NAME?</v>
      </c>
      <c r="I443" s="1069" t="e">
        <f ca="1">MAXIFS(#REF!,#REF!,"&lt;&gt;0",#REF!,"&gt;="&amp;B399,#REF!,"&lt;="&amp;EOMONTH(B399,0))</f>
        <v>#NAME?</v>
      </c>
      <c r="J443" s="1114" t="e">
        <f>COUNTIFS(#REF!,"&gt;="&amp;D443,#REF!,"&gt;="&amp;B399,#REF!,"&lt;="&amp;EOMONTH(B399,0))</f>
        <v>#REF!</v>
      </c>
      <c r="K443" s="1341" t="e">
        <f t="shared" si="201"/>
        <v>#REF!</v>
      </c>
      <c r="L443" s="1281"/>
      <c r="M443" s="1289"/>
      <c r="N443" s="1290"/>
      <c r="O443" s="1290"/>
      <c r="P443" s="1286"/>
      <c r="Q443" s="1283"/>
      <c r="R443" s="1286"/>
      <c r="S443" s="1286"/>
      <c r="T443" s="1290"/>
      <c r="U443" s="1290"/>
      <c r="V443" s="1285"/>
      <c r="W443" s="1293"/>
      <c r="X443" s="1293"/>
      <c r="Y443" s="1286"/>
      <c r="Z443" s="1286"/>
      <c r="AA443" s="1286"/>
      <c r="AB443" s="1286"/>
      <c r="AC443" s="1293"/>
      <c r="AD443" s="1249"/>
      <c r="AE443" s="1285"/>
      <c r="AF443" s="1293"/>
      <c r="AG443" s="1293"/>
      <c r="AH443" s="1293"/>
      <c r="AI443" s="1293"/>
      <c r="AJ443" s="1293"/>
      <c r="AK443" s="1285"/>
      <c r="AL443" s="1293"/>
      <c r="AM443" s="1293"/>
      <c r="AN443" s="1293"/>
      <c r="AO443" s="1293"/>
      <c r="AP443" s="1293"/>
      <c r="AQ443" s="1285"/>
      <c r="AR443" s="1293"/>
      <c r="AS443" s="1293"/>
      <c r="AT443" s="1293"/>
      <c r="AU443" s="1293"/>
      <c r="AV443" s="1293"/>
      <c r="AW443" s="1293"/>
      <c r="AX443" s="1294"/>
      <c r="AY443" s="1295"/>
      <c r="AZ443" s="1095" t="e">
        <f t="shared" si="195"/>
        <v>#REF!</v>
      </c>
      <c r="BA443" s="2"/>
    </row>
    <row r="444" spans="1:53" ht="15.75" hidden="1" customHeight="1" outlineLevel="1">
      <c r="A444" s="1027"/>
      <c r="B444" s="1332"/>
      <c r="C444" s="1139" t="s">
        <v>47</v>
      </c>
      <c r="D444" s="1122">
        <f>Parametres!$D$52</f>
        <v>2</v>
      </c>
      <c r="E444" s="1068" t="e">
        <f>COUNTIFS(#REF!,"&gt;0",#REF!,"&gt;="&amp;B399,#REF!,"&lt;="&amp;EOMONTH(B399,0))</f>
        <v>#REF!</v>
      </c>
      <c r="F444" s="1069" t="e">
        <f>SUMIFS(#REF!,#REF!,"&lt;&gt;0",#REF!,"&gt;="&amp;B399,#REF!,"&lt;="&amp;EOMONTH(B399,0))</f>
        <v>#REF!</v>
      </c>
      <c r="G444" s="1069" t="e">
        <f t="shared" si="200"/>
        <v>#REF!</v>
      </c>
      <c r="H444" s="1069" t="e">
        <f ca="1">MINIFS(#REF!,#REF!,"&lt;&gt;0",#REF!,"&gt;="&amp;B399,#REF!,"&lt;="&amp;EOMONTH(B399,0))</f>
        <v>#NAME?</v>
      </c>
      <c r="I444" s="1069" t="e">
        <f ca="1">MAXIFS(#REF!,#REF!,"&lt;&gt;0",#REF!,"&gt;="&amp;B399,#REF!,"&lt;="&amp;EOMONTH(B399,0))</f>
        <v>#NAME?</v>
      </c>
      <c r="J444" s="1072" t="e">
        <f>COUNTIFS(#REF!,"&gt;="&amp;D444,#REF!,"&gt;="&amp;B399,#REF!,"&lt;="&amp;EOMONTH(B399,0))</f>
        <v>#REF!</v>
      </c>
      <c r="K444" s="1341" t="e">
        <f t="shared" si="201"/>
        <v>#REF!</v>
      </c>
      <c r="L444" s="1281"/>
      <c r="M444" s="1289"/>
      <c r="N444" s="1144">
        <f>Parametres!$L$52</f>
        <v>90</v>
      </c>
      <c r="O444" s="1077">
        <f>COUNTIFS('Degrémont Entrée'!$AY$14:$AY$379,"&gt;0",'Degrémont Entrée'!$A$14:$A$379,"&gt;="&amp;B399,'Degrémont Entrée'!$A$14:$A$379,"&lt;="&amp;EOMONTH(B399,0))</f>
        <v>4</v>
      </c>
      <c r="P444" s="1078">
        <f>SUMIFS('Degrémont Entrée'!$AY$14:$AY$379,'Degrémont Entrée'!$AY$14:$AY$379,"&lt;&gt;0",'Degrémont Entrée'!$A$14:$A$379,"&gt;="&amp;B399,'Degrémont Entrée'!$A$14:$A$379,"&lt;="&amp;EOMONTH(B399,0))</f>
        <v>799.23</v>
      </c>
      <c r="Q444" s="1283">
        <f>IF(O444=0,0,P444/O444)</f>
        <v>199.8075</v>
      </c>
      <c r="R444" s="1286" t="e">
        <f ca="1">MINIFS('Degrémont Entrée'!$AY$14:$AY$379,'Degrémont Entrée'!$AY$14:$AY$379,"&lt;&gt;0",'Degrémont Entrée'!$A$14:$A$379,"&gt;="&amp;B399,'Degrémont Entrée'!$A$14:$A$379,"&lt;="&amp;EOMONTH(B399,0))</f>
        <v>#NAME?</v>
      </c>
      <c r="S444" s="1286" t="e">
        <f ca="1">MAXIFS('Degrémont Entrée'!$AY$14:$AY$379,'Degrémont Entrée'!$AY$14:$AY$379,"&lt;&gt;0",'Degrémont Entrée'!$A$14:$A$379,"&gt;="&amp;B399,'Degrémont Entrée'!$A$14:$A$379,"&lt;="&amp;EOMONTH(B399,0))</f>
        <v>#NAME?</v>
      </c>
      <c r="T444" s="1141">
        <f>COUNTIFS('Degrémont Entrée'!$AY$14:$AY$379,"&gt;="&amp;N444,'Degrémont Entrée'!$A$14:$A$379,"&gt;="&amp;B399,'Degrémont Entrée'!$A$14:$A$379,"&lt;="&amp;EOMONTH(B399,0))</f>
        <v>4</v>
      </c>
      <c r="U444" s="1081">
        <f>T444/O444</f>
        <v>1</v>
      </c>
      <c r="V444" s="1285"/>
      <c r="W444" s="1083">
        <f>Parametres!$T$52</f>
        <v>0.64</v>
      </c>
      <c r="X444" s="1142">
        <f>COUNTIFS('Degrémont sortie'!$AS$14:$AS$379,"&gt;0",'Degrémont sortie'!$A$14:$A$379,"&gt;="&amp;B399,'Degrémont sortie'!$A$14:$A$379,"&lt;="&amp;EOMONTH(B399,0))</f>
        <v>4</v>
      </c>
      <c r="Y444" s="1085">
        <f>SUMIFS('Degrémont sortie'!$AS$14:$AS$379,'Degrémont sortie'!$AS$14:$AS$379,"&lt;&gt;0",'Degrémont sortie'!$A$14:$A$379,"&gt;="&amp;B399,'Degrémont sortie'!$A$14:$A$379,"&lt;="&amp;EOMONTH(B399,0))</f>
        <v>2.67</v>
      </c>
      <c r="Z444" s="1069">
        <f>IF(X444=0,0,Y444/X444)</f>
        <v>0.66749999999999998</v>
      </c>
      <c r="AA444" s="1286" t="e">
        <f ca="1">MINIFS('Degrémont sortie'!$AS$14:$AS$379,'Degrémont sortie'!$AS$14:$AS$379,"&lt;&gt;0",'Degrémont sortie'!$A$14:$A$379,"&gt;="&amp;B399,'Degrémont sortie'!$A$14:$A$379,"&lt;="&amp;EOMONTH(B399,0))</f>
        <v>#NAME?</v>
      </c>
      <c r="AB444" s="1286" t="e">
        <f ca="1">MAXIFS('Degrémont sortie'!$AS$14:$AS$379,'Degrémont sortie'!$AS$14:$AS$379,"&lt;&gt;0",'Degrémont sortie'!$A$14:$A$379,"&gt;="&amp;B399,'Degrémont sortie'!$A$14:$A$379,"&lt;="&amp;EOMONTH(B399,0))</f>
        <v>#NAME?</v>
      </c>
      <c r="AC444" s="1141">
        <f>COUNTIFS('Degrémont sortie'!$AS$14:$AS$379,"&gt;="&amp;W444,'Degrémont sortie'!$A$14:$A$379,"&gt;="&amp;B399,'Degrémont sortie'!$A$14:$A$379,"&lt;="&amp;EOMONTH(B399,0))</f>
        <v>2</v>
      </c>
      <c r="AD444" s="1087">
        <f>AC444/X444</f>
        <v>0.5</v>
      </c>
      <c r="AE444" s="1285"/>
      <c r="AF444" s="1293"/>
      <c r="AG444" s="1293"/>
      <c r="AH444" s="1293"/>
      <c r="AI444" s="1293"/>
      <c r="AJ444" s="1293"/>
      <c r="AK444" s="1285"/>
      <c r="AL444" s="1293"/>
      <c r="AM444" s="1293"/>
      <c r="AN444" s="1293"/>
      <c r="AO444" s="1293"/>
      <c r="AP444" s="1293"/>
      <c r="AQ444" s="1285"/>
      <c r="AR444" s="1293"/>
      <c r="AS444" s="1293"/>
      <c r="AT444" s="1293"/>
      <c r="AU444" s="1293"/>
      <c r="AV444" s="1293"/>
      <c r="AW444" s="1293"/>
      <c r="AX444" s="1294"/>
      <c r="AY444" s="1295"/>
      <c r="AZ444" s="1095" t="e">
        <f t="shared" si="195"/>
        <v>#REF!</v>
      </c>
      <c r="BA444" s="2"/>
    </row>
    <row r="445" spans="1:53" ht="15.75" customHeight="1" collapsed="1">
      <c r="A445" s="1027"/>
      <c r="B445" s="1370"/>
      <c r="C445" s="13"/>
      <c r="D445" s="1371"/>
      <c r="E445" s="1357"/>
      <c r="F445" s="1358"/>
      <c r="G445" s="1358"/>
      <c r="H445" s="1358"/>
      <c r="I445" s="1358"/>
      <c r="J445" s="1076"/>
      <c r="K445" s="1076"/>
      <c r="L445" s="1076"/>
      <c r="M445" s="1289"/>
      <c r="N445" s="1076"/>
      <c r="O445" s="1076"/>
      <c r="P445" s="1358"/>
      <c r="Q445" s="1358"/>
      <c r="R445" s="1364"/>
      <c r="S445" s="1364"/>
      <c r="T445" s="13"/>
      <c r="U445" s="13"/>
      <c r="V445" s="1289"/>
      <c r="W445" s="1076"/>
      <c r="X445" s="1076"/>
      <c r="Y445" s="1358"/>
      <c r="Z445" s="1358"/>
      <c r="AA445" s="1364"/>
      <c r="AB445" s="1364"/>
      <c r="AC445" s="13"/>
      <c r="AD445" s="13"/>
      <c r="AE445" s="1289"/>
      <c r="AF445" s="1372"/>
      <c r="AG445" s="1372"/>
      <c r="AH445" s="1372"/>
      <c r="AI445" s="1372"/>
      <c r="AJ445" s="1372"/>
      <c r="AK445" s="1289"/>
      <c r="AL445" s="1372"/>
      <c r="AM445" s="1372"/>
      <c r="AN445" s="1372"/>
      <c r="AO445" s="1372"/>
      <c r="AP445" s="1372"/>
      <c r="AQ445" s="1289"/>
      <c r="AR445" s="1372"/>
      <c r="AS445" s="1372"/>
      <c r="AT445" s="1372"/>
      <c r="AU445" s="1372"/>
      <c r="AV445" s="1372"/>
      <c r="AW445" s="1372"/>
      <c r="AX445" s="1372"/>
      <c r="AY445" s="1372"/>
      <c r="AZ445" s="1095"/>
      <c r="BA445" s="2"/>
    </row>
    <row r="446" spans="1:53" ht="15.75" hidden="1" customHeight="1" outlineLevel="1">
      <c r="A446" s="1027"/>
      <c r="B446" s="1373"/>
      <c r="C446" s="1374"/>
      <c r="D446" s="1375"/>
      <c r="E446" s="1553" t="s">
        <v>283</v>
      </c>
      <c r="F446" s="1420"/>
      <c r="G446" s="1420"/>
      <c r="H446" s="1420"/>
      <c r="I446" s="1420"/>
      <c r="J446" s="1420"/>
      <c r="K446" s="1420"/>
      <c r="L446" s="1421"/>
      <c r="M446" s="1376"/>
      <c r="N446" s="1377"/>
      <c r="O446" s="1551" t="s">
        <v>288</v>
      </c>
      <c r="P446" s="1420"/>
      <c r="Q446" s="1420"/>
      <c r="R446" s="1420"/>
      <c r="S446" s="1420"/>
      <c r="T446" s="1421"/>
      <c r="U446" s="1377"/>
      <c r="V446" s="1376"/>
      <c r="W446" s="1378"/>
      <c r="X446" s="1552" t="s">
        <v>289</v>
      </c>
      <c r="Y446" s="1420"/>
      <c r="Z446" s="1420"/>
      <c r="AA446" s="1420"/>
      <c r="AB446" s="1420"/>
      <c r="AC446" s="1421"/>
      <c r="AD446" s="1378"/>
      <c r="AE446" s="1376"/>
      <c r="AF446" s="1552" t="s">
        <v>199</v>
      </c>
      <c r="AG446" s="1420"/>
      <c r="AH446" s="1420"/>
      <c r="AI446" s="1420"/>
      <c r="AJ446" s="1421"/>
      <c r="AK446" s="1376"/>
      <c r="AL446" s="1552" t="s">
        <v>200</v>
      </c>
      <c r="AM446" s="1420"/>
      <c r="AN446" s="1420"/>
      <c r="AO446" s="1420"/>
      <c r="AP446" s="1421"/>
      <c r="AQ446" s="1376"/>
      <c r="AR446" s="1378"/>
      <c r="AS446" s="1552" t="s">
        <v>290</v>
      </c>
      <c r="AT446" s="1420"/>
      <c r="AU446" s="1420"/>
      <c r="AV446" s="1420"/>
      <c r="AW446" s="1420"/>
      <c r="AX446" s="1421"/>
      <c r="AY446" s="1379"/>
      <c r="AZ446" s="1380"/>
      <c r="BA446" s="2"/>
    </row>
    <row r="447" spans="1:53" ht="15.75" hidden="1" customHeight="1" outlineLevel="1">
      <c r="A447" s="1027"/>
      <c r="B447" s="1381"/>
      <c r="C447" s="1032"/>
      <c r="D447" s="1382" t="s">
        <v>291</v>
      </c>
      <c r="E447" s="1383" t="s">
        <v>292</v>
      </c>
      <c r="F447" s="1384" t="s">
        <v>293</v>
      </c>
      <c r="G447" s="1384" t="s">
        <v>294</v>
      </c>
      <c r="H447" s="1384" t="s">
        <v>295</v>
      </c>
      <c r="I447" s="1385" t="s">
        <v>296</v>
      </c>
      <c r="J447" s="1386" t="s">
        <v>297</v>
      </c>
      <c r="K447" s="1387" t="s">
        <v>216</v>
      </c>
      <c r="L447" s="1388" t="s">
        <v>298</v>
      </c>
      <c r="M447" s="1389"/>
      <c r="N447" s="1390" t="s">
        <v>291</v>
      </c>
      <c r="O447" s="1391" t="s">
        <v>292</v>
      </c>
      <c r="P447" s="1385" t="s">
        <v>293</v>
      </c>
      <c r="Q447" s="1385" t="s">
        <v>294</v>
      </c>
      <c r="R447" s="1392" t="s">
        <v>295</v>
      </c>
      <c r="S447" s="1392" t="s">
        <v>296</v>
      </c>
      <c r="T447" s="1393" t="s">
        <v>299</v>
      </c>
      <c r="U447" s="1394" t="s">
        <v>216</v>
      </c>
      <c r="V447" s="1389"/>
      <c r="W447" s="1390" t="s">
        <v>291</v>
      </c>
      <c r="X447" s="1391" t="s">
        <v>292</v>
      </c>
      <c r="Y447" s="1385" t="s">
        <v>293</v>
      </c>
      <c r="Z447" s="1385" t="s">
        <v>294</v>
      </c>
      <c r="AA447" s="1392" t="s">
        <v>295</v>
      </c>
      <c r="AB447" s="1392" t="s">
        <v>296</v>
      </c>
      <c r="AC447" s="1393" t="s">
        <v>299</v>
      </c>
      <c r="AD447" s="1394" t="s">
        <v>216</v>
      </c>
      <c r="AE447" s="1389"/>
      <c r="AF447" s="1395" t="s">
        <v>292</v>
      </c>
      <c r="AG447" s="1396" t="s">
        <v>293</v>
      </c>
      <c r="AH447" s="1397" t="s">
        <v>294</v>
      </c>
      <c r="AI447" s="1396" t="s">
        <v>295</v>
      </c>
      <c r="AJ447" s="1396" t="s">
        <v>296</v>
      </c>
      <c r="AK447" s="1389"/>
      <c r="AL447" s="1395" t="s">
        <v>292</v>
      </c>
      <c r="AM447" s="1396" t="s">
        <v>293</v>
      </c>
      <c r="AN447" s="1397" t="s">
        <v>294</v>
      </c>
      <c r="AO447" s="1396" t="s">
        <v>295</v>
      </c>
      <c r="AP447" s="1396" t="s">
        <v>296</v>
      </c>
      <c r="AQ447" s="1389"/>
      <c r="AR447" s="1398" t="s">
        <v>291</v>
      </c>
      <c r="AS447" s="1395" t="s">
        <v>292</v>
      </c>
      <c r="AT447" s="1396" t="s">
        <v>293</v>
      </c>
      <c r="AU447" s="1397" t="s">
        <v>294</v>
      </c>
      <c r="AV447" s="1396" t="s">
        <v>295</v>
      </c>
      <c r="AW447" s="1396" t="s">
        <v>296</v>
      </c>
      <c r="AX447" s="1393" t="s">
        <v>299</v>
      </c>
      <c r="AY447" s="1399" t="s">
        <v>216</v>
      </c>
      <c r="AZ447" s="1400" t="s">
        <v>300</v>
      </c>
      <c r="BA447" s="2"/>
    </row>
    <row r="448" spans="1:53" ht="15.75" hidden="1" customHeight="1" outlineLevel="1">
      <c r="A448" s="1027"/>
      <c r="B448" s="1401">
        <v>43739</v>
      </c>
      <c r="C448" s="1402" t="s">
        <v>43</v>
      </c>
      <c r="D448" s="1067">
        <f>Parametres!$D$5</f>
        <v>5</v>
      </c>
      <c r="E448" s="1068" t="e">
        <f>COUNTIFS(#REF!,"&gt;0",#REF!,"&gt;="&amp;B448,#REF!,"&lt;="&amp;EOMONTH(B448,0))</f>
        <v>#REF!</v>
      </c>
      <c r="F448" s="1069" t="e">
        <f>SUMIFS(#REF!,#REF!,"&lt;&gt;0",#REF!,"&gt;="&amp;B448,#REF!,"&lt;="&amp;EOMONTH(B448,0))</f>
        <v>#REF!</v>
      </c>
      <c r="G448" s="1069" t="e">
        <f t="shared" ref="G448:G484" si="202">IF(E448=0,0,F448/E448)</f>
        <v>#REF!</v>
      </c>
      <c r="H448" s="1070" t="e">
        <f ca="1">MINIFS(#REF!,#REF!,"&lt;&gt;0",#REF!,"&gt;="&amp;B448,#REF!,"&lt;="&amp;EOMONTH(B448,0))</f>
        <v>#NAME?</v>
      </c>
      <c r="I448" s="1071" t="e">
        <f ca="1">MAXIFS(#REF!,#REF!,"&lt;&gt;0",#REF!,"&gt;="&amp;B448,#REF!,"&lt;="&amp;EOMONTH(B448,0))</f>
        <v>#NAME?</v>
      </c>
      <c r="J448" s="1072" t="e">
        <f>COUNTIFS(#REF!,"&gt;="&amp;D448,#REF!,"&gt;="&amp;B448,#REF!,"&lt;="&amp;EOMONTH(B448,0))</f>
        <v>#REF!</v>
      </c>
      <c r="K448" s="1341" t="e">
        <f t="shared" ref="K448:K461" si="203">J448/E448</f>
        <v>#REF!</v>
      </c>
      <c r="L448" s="1074"/>
      <c r="M448" s="1075"/>
      <c r="N448" s="1076">
        <f>Parametres!$L$5</f>
        <v>50</v>
      </c>
      <c r="O448" s="1077">
        <f>COUNTIFS('Degrémont Entrée'!$AM$14:$AM$379,"&gt;0",'Degrémont Entrée'!$A$14:$A$379,"&gt;="&amp;B448,'Degrémont Entrée'!$A$14:$A$379,"&lt;="&amp;EOMONTH(B448,0))</f>
        <v>5</v>
      </c>
      <c r="P448" s="1078">
        <f>SUMIFS('Degrémont Entrée'!$AM$14:$AM$379,'Degrémont Entrée'!$AM$14:$AM$379,"&lt;&gt;0",'Degrémont Entrée'!$A$14:$A$379,"&gt;="&amp;B448,'Degrémont Entrée'!$A$14:$A$379,"&lt;="&amp;EOMONTH(B448,0))</f>
        <v>119.32</v>
      </c>
      <c r="Q448" s="1078">
        <f>IF(O448=0,0,P448/O448)</f>
        <v>23.863999999999997</v>
      </c>
      <c r="R448" s="1079" t="e">
        <f ca="1">MINIFS('Degrémont Entrée'!$AM$14:$AM$379,'Degrémont Entrée'!$AM$14:$AM$379,"&lt;&gt;0",'Degrémont Entrée'!$A$14:$A$379,"&gt;="&amp;B448,'Degrémont Entrée'!$A$14:$A$379,"&lt;="&amp;EOMONTH(B448,0))</f>
        <v>#NAME?</v>
      </c>
      <c r="S448" s="1078" t="e">
        <f ca="1">MAXIFS('Degrémont Entrée'!$AM$14:$AM$379,'Degrémont Entrée'!$AM$14:$AM$379,"&lt;&gt;0",'Degrémont Entrée'!$A$14:$A$379,"&gt;="&amp;B448,'Degrémont Entrée'!$A$14:$A$379,"&lt;="&amp;EOMONTH(B448,0))</f>
        <v>#NAME?</v>
      </c>
      <c r="T448" s="1080">
        <f>COUNTIFS('Degrémont Entrée'!$AM$14:$AM$379,"&gt;="&amp;N448,'Degrémont Entrée'!$A$14:$A$379,"&gt;="&amp;B448,'Degrémont Entrée'!$A$14:$A$379,"&lt;="&amp;EOMONTH(B448,0))</f>
        <v>0</v>
      </c>
      <c r="U448" s="1081">
        <f>T448/O448</f>
        <v>0</v>
      </c>
      <c r="V448" s="1082"/>
      <c r="W448" s="1083">
        <f>Parametres!$T$5</f>
        <v>3</v>
      </c>
      <c r="X448" s="1084">
        <f>COUNTIFS('Degrémont sortie'!$AG$14:$AG$379,"&gt;0",'Degrémont sortie'!$A$14:$A$379,"&gt;="&amp;B448,'Degrémont sortie'!$A$14:$A$379,"&lt;="&amp;EOMONTH(B448,0))</f>
        <v>5</v>
      </c>
      <c r="Y448" s="1085">
        <f>SUMIFS('Degrémont sortie'!$AG$14:$AG$379,'Degrémont sortie'!$AG$14:$AG$379,"&lt;&gt;0",'Degrémont sortie'!$A$14:$A$379,"&gt;="&amp;B448,'Degrémont sortie'!$A$14:$A$379,"&lt;="&amp;EOMONTH(B448,0))</f>
        <v>2.14</v>
      </c>
      <c r="Z448" s="1085">
        <f>IF(X448=0,0,Y448/X448)</f>
        <v>0.42800000000000005</v>
      </c>
      <c r="AA448" s="1085" t="e">
        <f ca="1">MINIFS('Degrémont sortie'!$AG$14:$AG$379,'Degrémont sortie'!$AG$14:$AG$379,"&lt;&gt;0",'Degrémont sortie'!$A$14:$A$379,"&gt;="&amp;B448,'Degrémont sortie'!$A$14:$A$379,"&lt;="&amp;EOMONTH(B448,0))</f>
        <v>#NAME?</v>
      </c>
      <c r="AB448" s="1085" t="e">
        <f ca="1">MAXIFS('Degrémont sortie'!$AG$14:$AG$379,'Degrémont sortie'!$AG$14:$AG$379,"&lt;&gt;0",'Degrémont sortie'!$A$14:$A$379,"&gt;="&amp;B448,'Degrémont sortie'!$A$14:$A$379,"&lt;="&amp;EOMONTH(B448,0))</f>
        <v>#NAME?</v>
      </c>
      <c r="AC448" s="1086">
        <f>COUNTIFS('Degrémont sortie'!$AG$14:$AG$379,"&gt;="&amp;W448,'Degrémont sortie'!$A$14:$A$379,"&gt;="&amp;B448,'Degrémont sortie'!$A$14:$A$379,"&lt;="&amp;EOMONTH(B448,0))</f>
        <v>0</v>
      </c>
      <c r="AD448" s="1087">
        <f>AC448/X448</f>
        <v>0</v>
      </c>
      <c r="AE448" s="1088"/>
      <c r="AF448" s="1089"/>
      <c r="AG448" s="1090"/>
      <c r="AH448" s="1090"/>
      <c r="AI448" s="1090"/>
      <c r="AJ448" s="1090"/>
      <c r="AK448" s="1088"/>
      <c r="AL448" s="1089"/>
      <c r="AM448" s="1090"/>
      <c r="AN448" s="1090"/>
      <c r="AO448" s="1090"/>
      <c r="AP448" s="1090"/>
      <c r="AQ448" s="1088"/>
      <c r="AR448" s="1091"/>
      <c r="AS448" s="1089"/>
      <c r="AT448" s="1090"/>
      <c r="AU448" s="1090"/>
      <c r="AV448" s="1090"/>
      <c r="AW448" s="1092"/>
      <c r="AX448" s="1093"/>
      <c r="AY448" s="1094"/>
      <c r="AZ448" s="1403" t="e">
        <f t="shared" ref="AZ448:AZ479" si="204">SUM(E448+O448+X448+AF448+AL448+AS448)</f>
        <v>#REF!</v>
      </c>
      <c r="BA448" s="2"/>
    </row>
    <row r="449" spans="1:53" ht="15.75" hidden="1" customHeight="1" outlineLevel="1">
      <c r="A449" s="1027"/>
      <c r="B449" s="1404"/>
      <c r="C449" s="1402" t="s">
        <v>16</v>
      </c>
      <c r="D449" s="1067">
        <f>Parametres!$D$6</f>
        <v>10000000</v>
      </c>
      <c r="E449" s="1068" t="e">
        <f>COUNTIFS(#REF!,"&gt;0",#REF!,"&gt;="&amp;B448,#REF!,"&lt;="&amp;EOMONTH(B448,0))</f>
        <v>#REF!</v>
      </c>
      <c r="F449" s="1069" t="e">
        <f>SUMIFS(#REF!,#REF!,"&lt;&gt;0",#REF!,"&gt;="&amp;B448,#REF!,"&lt;="&amp;EOMONTH(B448,0))</f>
        <v>#REF!</v>
      </c>
      <c r="G449" s="1098" t="e">
        <f t="shared" si="202"/>
        <v>#REF!</v>
      </c>
      <c r="H449" s="1070" t="e">
        <f ca="1">MINIFS(#REF!,#REF!,"&lt;&gt;0",#REF!,"&gt;="&amp;B448,#REF!,"&lt;="&amp;EOMONTH(B448,0))</f>
        <v>#NAME?</v>
      </c>
      <c r="I449" s="1069" t="e">
        <f ca="1">MAXIFS(#REF!,#REF!,"&lt;&gt;0",#REF!,"&gt;="&amp;B448,#REF!,"&lt;="&amp;EOMONTH(B448,0))</f>
        <v>#NAME?</v>
      </c>
      <c r="J449" s="1072" t="e">
        <f>COUNTIFS(#REF!,"&gt;="&amp;D449,#REF!,"&gt;="&amp;B448,#REF!,"&lt;="&amp;EOMONTH(B448,0))</f>
        <v>#REF!</v>
      </c>
      <c r="K449" s="1341" t="e">
        <f t="shared" si="203"/>
        <v>#REF!</v>
      </c>
      <c r="L449" s="1099"/>
      <c r="M449" s="1082"/>
      <c r="N449" s="1100"/>
      <c r="O449" s="1100"/>
      <c r="P449" s="1078"/>
      <c r="Q449" s="1078"/>
      <c r="R449" s="1078"/>
      <c r="S449" s="1078"/>
      <c r="T449" s="1101"/>
      <c r="U449" s="1101"/>
      <c r="V449" s="1082"/>
      <c r="W449" s="1102"/>
      <c r="X449" s="1102"/>
      <c r="Y449" s="1069"/>
      <c r="Z449" s="1069"/>
      <c r="AA449" s="1069"/>
      <c r="AB449" s="1069"/>
      <c r="AC449" s="1103"/>
      <c r="AD449" s="1104"/>
      <c r="AE449" s="1082"/>
      <c r="AF449" s="1105"/>
      <c r="AG449" s="1106"/>
      <c r="AH449" s="1106"/>
      <c r="AI449" s="1106"/>
      <c r="AJ449" s="1106"/>
      <c r="AK449" s="1107"/>
      <c r="AL449" s="1108"/>
      <c r="AM449" s="1109"/>
      <c r="AN449" s="1109"/>
      <c r="AO449" s="1109"/>
      <c r="AP449" s="1109"/>
      <c r="AQ449" s="1107"/>
      <c r="AR449" s="1110"/>
      <c r="AS449" s="1105"/>
      <c r="AT449" s="1109"/>
      <c r="AU449" s="1109"/>
      <c r="AV449" s="1109"/>
      <c r="AW449" s="1111"/>
      <c r="AX449" s="1112"/>
      <c r="AY449" s="1094"/>
      <c r="AZ449" s="1403" t="e">
        <f t="shared" si="204"/>
        <v>#REF!</v>
      </c>
      <c r="BA449" s="2"/>
    </row>
    <row r="450" spans="1:53" ht="15.75" hidden="1" customHeight="1" outlineLevel="1">
      <c r="A450" s="1027"/>
      <c r="B450" s="1404"/>
      <c r="C450" s="1402" t="s">
        <v>17</v>
      </c>
      <c r="D450" s="1067">
        <f>Parametres!$D$7</f>
        <v>0.8</v>
      </c>
      <c r="E450" s="1068" t="e">
        <f>COUNTIFS(#REF!,"&gt;0",#REF!,"&gt;="&amp;B448,#REF!,"&lt;="&amp;EOMONTH(B448,0))</f>
        <v>#REF!</v>
      </c>
      <c r="F450" s="1069" t="e">
        <f>SUMIFS(#REF!,#REF!,"&lt;&gt;0",#REF!,"&gt;="&amp;B448,#REF!,"&lt;="&amp;EOMONTH(B448,0))</f>
        <v>#REF!</v>
      </c>
      <c r="G450" s="1098" t="e">
        <f t="shared" si="202"/>
        <v>#REF!</v>
      </c>
      <c r="H450" s="1113" t="e">
        <f ca="1">MINIFS(#REF!,#REF!,"&lt;&gt;0",#REF!,"&gt;="&amp;B448,#REF!,"&lt;="&amp;EOMONTH(B448,0))</f>
        <v>#NAME?</v>
      </c>
      <c r="I450" s="1078" t="e">
        <f ca="1">MAXIFS(#REF!,#REF!,"&lt;&gt;0",#REF!,"&gt;="&amp;B448,#REF!,"&lt;="&amp;EOMONTH(B448,0))</f>
        <v>#NAME?</v>
      </c>
      <c r="J450" s="1114" t="e">
        <f>COUNTIFS(#REF!,"&gt;="&amp;D450,#REF!,"&gt;="&amp;B448,#REF!,"&lt;="&amp;EOMONTH(B448,0))</f>
        <v>#REF!</v>
      </c>
      <c r="K450" s="1341" t="e">
        <f t="shared" si="203"/>
        <v>#REF!</v>
      </c>
      <c r="L450" s="1115"/>
      <c r="M450" s="1082"/>
      <c r="N450" s="1100"/>
      <c r="O450" s="1100"/>
      <c r="P450" s="1078"/>
      <c r="Q450" s="1078"/>
      <c r="R450" s="1078"/>
      <c r="S450" s="1078"/>
      <c r="T450" s="1101"/>
      <c r="U450" s="1101"/>
      <c r="V450" s="1082"/>
      <c r="W450" s="1102"/>
      <c r="X450" s="1102"/>
      <c r="Y450" s="1069"/>
      <c r="Z450" s="1069"/>
      <c r="AA450" s="1069"/>
      <c r="AB450" s="1069"/>
      <c r="AC450" s="1103"/>
      <c r="AD450" s="1104"/>
      <c r="AE450" s="1082"/>
      <c r="AF450" s="1116"/>
      <c r="AG450" s="1117"/>
      <c r="AH450" s="1117"/>
      <c r="AI450" s="1117"/>
      <c r="AJ450" s="1117"/>
      <c r="AK450" s="1082"/>
      <c r="AL450" s="1105"/>
      <c r="AM450" s="1106"/>
      <c r="AN450" s="1106"/>
      <c r="AO450" s="1106"/>
      <c r="AP450" s="1106"/>
      <c r="AQ450" s="1082"/>
      <c r="AR450" s="1118"/>
      <c r="AS450" s="1116"/>
      <c r="AT450" s="1106"/>
      <c r="AU450" s="1106"/>
      <c r="AV450" s="1106"/>
      <c r="AW450" s="1119"/>
      <c r="AX450" s="1120"/>
      <c r="AY450" s="1094"/>
      <c r="AZ450" s="1403" t="e">
        <f t="shared" si="204"/>
        <v>#REF!</v>
      </c>
      <c r="BA450" s="2"/>
    </row>
    <row r="451" spans="1:53" ht="15.75" hidden="1" customHeight="1" outlineLevel="1">
      <c r="A451" s="1027"/>
      <c r="B451" s="1404"/>
      <c r="C451" s="1402" t="s">
        <v>18</v>
      </c>
      <c r="D451" s="1122">
        <f>Parametres!$D$8</f>
        <v>0.05</v>
      </c>
      <c r="E451" s="1068" t="e">
        <f>COUNTIFS(#REF!,"&gt;0",#REF!,"&gt;="&amp;B448,#REF!,"&lt;="&amp;EOMONTH(B448,0))</f>
        <v>#REF!</v>
      </c>
      <c r="F451" s="1069" t="e">
        <f>SUMIFS(#REF!,#REF!,"&lt;&gt;0",#REF!,"&gt;="&amp;B448,#REF!,"&lt;="&amp;EOMONTH(B448,0))</f>
        <v>#REF!</v>
      </c>
      <c r="G451" s="1098" t="e">
        <f t="shared" si="202"/>
        <v>#REF!</v>
      </c>
      <c r="H451" s="1113" t="e">
        <f ca="1">MINIFS(#REF!,#REF!,"&lt;&gt;0",#REF!,"&gt;="&amp;B448,#REF!,"&lt;="&amp;EOMONTH(B448,0))</f>
        <v>#NAME?</v>
      </c>
      <c r="I451" s="1078" t="e">
        <f ca="1">MAXIFS(#REF!,#REF!,"&lt;&gt;0",#REF!,"&gt;="&amp;B448,#REF!,"&lt;="&amp;EOMONTH(B448,0))</f>
        <v>#NAME?</v>
      </c>
      <c r="J451" s="1072" t="e">
        <f>COUNTIFS(#REF!,"&gt;="&amp;D451,#REF!,"&gt;="&amp;B448,#REF!,"&lt;="&amp;EOMONTH(B448,0))</f>
        <v>#REF!</v>
      </c>
      <c r="K451" s="1341" t="e">
        <f t="shared" si="203"/>
        <v>#REF!</v>
      </c>
      <c r="L451" s="1115"/>
      <c r="M451" s="1082"/>
      <c r="N451" s="1100"/>
      <c r="O451" s="1100"/>
      <c r="P451" s="1078"/>
      <c r="Q451" s="1078"/>
      <c r="R451" s="1078"/>
      <c r="S451" s="1078"/>
      <c r="T451" s="1101"/>
      <c r="U451" s="1101"/>
      <c r="V451" s="1082"/>
      <c r="W451" s="1102"/>
      <c r="X451" s="1102"/>
      <c r="Y451" s="1069"/>
      <c r="Z451" s="1069"/>
      <c r="AA451" s="1069"/>
      <c r="AB451" s="1069"/>
      <c r="AC451" s="1103"/>
      <c r="AD451" s="1104"/>
      <c r="AE451" s="1107"/>
      <c r="AF451" s="1108"/>
      <c r="AG451" s="1109"/>
      <c r="AH451" s="1109"/>
      <c r="AI451" s="1109"/>
      <c r="AJ451" s="1109"/>
      <c r="AK451" s="1123"/>
      <c r="AL451" s="1108"/>
      <c r="AM451" s="1109"/>
      <c r="AN451" s="1109"/>
      <c r="AO451" s="1109"/>
      <c r="AP451" s="1109"/>
      <c r="AQ451" s="1123"/>
      <c r="AR451" s="1124"/>
      <c r="AS451" s="1108"/>
      <c r="AT451" s="1109"/>
      <c r="AU451" s="1109"/>
      <c r="AV451" s="1109"/>
      <c r="AW451" s="1111"/>
      <c r="AX451" s="1112"/>
      <c r="AY451" s="1094"/>
      <c r="AZ451" s="1403" t="e">
        <f t="shared" si="204"/>
        <v>#REF!</v>
      </c>
      <c r="BA451" s="2"/>
    </row>
    <row r="452" spans="1:53" ht="15.75" hidden="1" customHeight="1" outlineLevel="1">
      <c r="A452" s="1027"/>
      <c r="B452" s="1404"/>
      <c r="C452" s="1402" t="s">
        <v>11</v>
      </c>
      <c r="D452" s="1067">
        <f>Parametres!$D$9</f>
        <v>0.2</v>
      </c>
      <c r="E452" s="1068" t="e">
        <f>COUNTIFS(#REF!,"&gt;0",#REF!,"&gt;="&amp;B448,#REF!,"&lt;="&amp;EOMONTH(B448,0))</f>
        <v>#REF!</v>
      </c>
      <c r="F452" s="1069" t="e">
        <f>SUMIFS(#REF!,#REF!,"&lt;&gt;0",#REF!,"&gt;="&amp;B448,#REF!,"&lt;="&amp;EOMONTH(B448,0))</f>
        <v>#REF!</v>
      </c>
      <c r="G452" s="1098" t="e">
        <f t="shared" si="202"/>
        <v>#REF!</v>
      </c>
      <c r="H452" s="1113" t="e">
        <f ca="1">MINIFS(#REF!,#REF!,"&lt;&gt;0",#REF!,"&gt;="&amp;B448,#REF!,"&lt;="&amp;EOMONTH(B448,0))</f>
        <v>#NAME?</v>
      </c>
      <c r="I452" s="1078" t="e">
        <f ca="1">MAXIFS(#REF!,#REF!,"&lt;&gt;0",#REF!,"&gt;="&amp;B448,#REF!,"&lt;="&amp;EOMONTH(B448,0))</f>
        <v>#NAME?</v>
      </c>
      <c r="J452" s="1072" t="e">
        <f>COUNTIFS(#REF!,"&gt;="&amp;D452,#REF!,"&gt;="&amp;B448,#REF!,"&lt;="&amp;EOMONTH(B448,0))</f>
        <v>#REF!</v>
      </c>
      <c r="K452" s="1341" t="e">
        <f t="shared" si="203"/>
        <v>#REF!</v>
      </c>
      <c r="L452" s="1115"/>
      <c r="M452" s="1082"/>
      <c r="N452" s="1100"/>
      <c r="O452" s="1100"/>
      <c r="P452" s="1078"/>
      <c r="Q452" s="1078"/>
      <c r="R452" s="1078"/>
      <c r="S452" s="1078"/>
      <c r="T452" s="1101"/>
      <c r="U452" s="1101"/>
      <c r="V452" s="1082"/>
      <c r="W452" s="1102"/>
      <c r="X452" s="1102"/>
      <c r="Y452" s="1069"/>
      <c r="Z452" s="1069"/>
      <c r="AA452" s="1069"/>
      <c r="AB452" s="1069"/>
      <c r="AC452" s="1103"/>
      <c r="AD452" s="1104"/>
      <c r="AE452" s="1075"/>
      <c r="AF452" s="1125"/>
      <c r="AG452" s="1126"/>
      <c r="AH452" s="1126"/>
      <c r="AI452" s="1126"/>
      <c r="AJ452" s="1126"/>
      <c r="AK452" s="1107"/>
      <c r="AL452" s="1125"/>
      <c r="AM452" s="1126"/>
      <c r="AN452" s="1126"/>
      <c r="AO452" s="1126"/>
      <c r="AP452" s="1126"/>
      <c r="AQ452" s="1107"/>
      <c r="AR452" s="1110"/>
      <c r="AS452" s="1125"/>
      <c r="AT452" s="1126"/>
      <c r="AU452" s="1126"/>
      <c r="AV452" s="1126"/>
      <c r="AW452" s="1127"/>
      <c r="AX452" s="1128"/>
      <c r="AY452" s="1094"/>
      <c r="AZ452" s="1403" t="e">
        <f t="shared" si="204"/>
        <v>#REF!</v>
      </c>
      <c r="BA452" s="2"/>
    </row>
    <row r="453" spans="1:53" ht="15.75" hidden="1" customHeight="1" outlineLevel="1">
      <c r="A453" s="1027"/>
      <c r="B453" s="1404"/>
      <c r="C453" s="1402" t="s">
        <v>12</v>
      </c>
      <c r="D453" s="1067">
        <f>Parametres!$D$10</f>
        <v>10000000</v>
      </c>
      <c r="E453" s="1068" t="e">
        <f>COUNTIFS(#REF!,"&gt;0",#REF!,"&gt;="&amp;B448,#REF!,"&lt;="&amp;EOMONTH(B448,0))</f>
        <v>#REF!</v>
      </c>
      <c r="F453" s="1069" t="e">
        <f>SUMIFS(#REF!,#REF!,"&lt;&gt;0",#REF!,"&gt;="&amp;B448,#REF!,"&lt;="&amp;EOMONTH(B448,0))</f>
        <v>#REF!</v>
      </c>
      <c r="G453" s="1098" t="e">
        <f t="shared" si="202"/>
        <v>#REF!</v>
      </c>
      <c r="H453" s="1113" t="e">
        <f ca="1">MINIFS(#REF!,#REF!,"&lt;&gt;0",#REF!,"&gt;="&amp;B448,#REF!,"&lt;="&amp;EOMONTH(B448,0))</f>
        <v>#NAME?</v>
      </c>
      <c r="I453" s="1078" t="e">
        <f ca="1">MAXIFS(#REF!,#REF!,"&lt;&gt;0",#REF!,"&gt;="&amp;B448,#REF!,"&lt;="&amp;EOMONTH(B448,0))</f>
        <v>#NAME?</v>
      </c>
      <c r="J453" s="1072" t="e">
        <f>COUNTIFS(#REF!,"&gt;="&amp;D453,#REF!,"&gt;="&amp;B448,#REF!,"&lt;="&amp;EOMONTH(B448,0))</f>
        <v>#REF!</v>
      </c>
      <c r="K453" s="1341" t="e">
        <f t="shared" si="203"/>
        <v>#REF!</v>
      </c>
      <c r="L453" s="1115"/>
      <c r="M453" s="1082"/>
      <c r="N453" s="1100"/>
      <c r="O453" s="1100"/>
      <c r="P453" s="1078"/>
      <c r="Q453" s="1078"/>
      <c r="R453" s="1078"/>
      <c r="S453" s="1078"/>
      <c r="T453" s="1101"/>
      <c r="U453" s="1101"/>
      <c r="V453" s="1082"/>
      <c r="W453" s="1129"/>
      <c r="X453" s="1129"/>
      <c r="Y453" s="1069"/>
      <c r="Z453" s="1069"/>
      <c r="AA453" s="1069"/>
      <c r="AB453" s="1069"/>
      <c r="AC453" s="1130"/>
      <c r="AD453" s="1131"/>
      <c r="AE453" s="1082"/>
      <c r="AF453" s="1105"/>
      <c r="AG453" s="1106"/>
      <c r="AH453" s="1106"/>
      <c r="AI453" s="1106"/>
      <c r="AJ453" s="1106"/>
      <c r="AK453" s="1132"/>
      <c r="AL453" s="1105"/>
      <c r="AM453" s="1106"/>
      <c r="AN453" s="1106"/>
      <c r="AO453" s="1106"/>
      <c r="AP453" s="1106"/>
      <c r="AQ453" s="1133"/>
      <c r="AR453" s="1134"/>
      <c r="AS453" s="1135"/>
      <c r="AT453" s="1106"/>
      <c r="AU453" s="1106"/>
      <c r="AV453" s="1106"/>
      <c r="AW453" s="1119"/>
      <c r="AX453" s="1120"/>
      <c r="AY453" s="1094"/>
      <c r="AZ453" s="1403" t="e">
        <f t="shared" si="204"/>
        <v>#REF!</v>
      </c>
      <c r="BA453" s="2"/>
    </row>
    <row r="454" spans="1:53" ht="15.75" hidden="1" customHeight="1" outlineLevel="1">
      <c r="A454" s="1027"/>
      <c r="B454" s="1404"/>
      <c r="C454" s="1402" t="s">
        <v>19</v>
      </c>
      <c r="D454" s="1067">
        <f>Parametres!$D$11</f>
        <v>1.5</v>
      </c>
      <c r="E454" s="1068" t="e">
        <f>COUNTIFS(#REF!,"&gt;0",#REF!,"&gt;="&amp;B448,#REF!,"&lt;="&amp;EOMONTH(B448,0))</f>
        <v>#REF!</v>
      </c>
      <c r="F454" s="1069" t="e">
        <f>SUMIFS(#REF!,#REF!,"&lt;&gt;0",#REF!,"&gt;="&amp;B448,#REF!,"&lt;="&amp;EOMONTH(B448,0))</f>
        <v>#REF!</v>
      </c>
      <c r="G454" s="1098" t="e">
        <f t="shared" si="202"/>
        <v>#REF!</v>
      </c>
      <c r="H454" s="1113" t="e">
        <f ca="1">MINIFS(#REF!,#REF!,"&lt;&gt;0",#REF!,"&gt;="&amp;B448,#REF!,"&lt;="&amp;EOMONTH(B448,0))</f>
        <v>#NAME?</v>
      </c>
      <c r="I454" s="1078" t="e">
        <f ca="1">MAXIFS(#REF!,#REF!,"&lt;&gt;0",#REF!,"&gt;="&amp;B448,#REF!,"&lt;="&amp;EOMONTH(B448,0))</f>
        <v>#NAME?</v>
      </c>
      <c r="J454" s="1072" t="e">
        <f>COUNTIFS(#REF!,"&gt;="&amp;D454,#REF!,"&gt;="&amp;B448,#REF!,"&lt;="&amp;EOMONTH(B448,0))</f>
        <v>#REF!</v>
      </c>
      <c r="K454" s="1341" t="e">
        <f t="shared" si="203"/>
        <v>#REF!</v>
      </c>
      <c r="L454" s="1115"/>
      <c r="M454" s="1082"/>
      <c r="N454" s="1100"/>
      <c r="O454" s="1100"/>
      <c r="P454" s="1078"/>
      <c r="Q454" s="1078"/>
      <c r="R454" s="1078"/>
      <c r="S454" s="1078"/>
      <c r="T454" s="1101"/>
      <c r="U454" s="1101"/>
      <c r="V454" s="1082"/>
      <c r="W454" s="1129"/>
      <c r="X454" s="1129"/>
      <c r="Y454" s="1069"/>
      <c r="Z454" s="1069"/>
      <c r="AA454" s="1069"/>
      <c r="AB454" s="1069"/>
      <c r="AC454" s="1130"/>
      <c r="AD454" s="1131"/>
      <c r="AE454" s="1082"/>
      <c r="AF454" s="1105"/>
      <c r="AG454" s="1106"/>
      <c r="AH454" s="1106"/>
      <c r="AI454" s="1106"/>
      <c r="AJ454" s="1106"/>
      <c r="AK454" s="1082"/>
      <c r="AL454" s="1136"/>
      <c r="AM454" s="1137"/>
      <c r="AN454" s="1137"/>
      <c r="AO454" s="1137"/>
      <c r="AP454" s="1137"/>
      <c r="AQ454" s="1082"/>
      <c r="AR454" s="1118"/>
      <c r="AS454" s="1105"/>
      <c r="AT454" s="1106"/>
      <c r="AU454" s="1106"/>
      <c r="AV454" s="1106"/>
      <c r="AW454" s="1138"/>
      <c r="AX454" s="1120"/>
      <c r="AY454" s="1094"/>
      <c r="AZ454" s="1403" t="e">
        <f t="shared" si="204"/>
        <v>#REF!</v>
      </c>
      <c r="BA454" s="2"/>
    </row>
    <row r="455" spans="1:53" ht="15.75" hidden="1" customHeight="1" outlineLevel="1">
      <c r="A455" s="1027"/>
      <c r="B455" s="1404"/>
      <c r="C455" s="1031" t="s">
        <v>42</v>
      </c>
      <c r="D455" s="1122">
        <f>Parametres!$D$12</f>
        <v>0.1</v>
      </c>
      <c r="E455" s="1068" t="e">
        <f>COUNTIFS(#REF!,"&gt;0",#REF!,"&gt;="&amp;B448,#REF!,"&lt;="&amp;EOMONTH(B448,0))</f>
        <v>#REF!</v>
      </c>
      <c r="F455" s="1069" t="e">
        <f>SUMIFS(#REF!,#REF!,"&lt;&gt;0",#REF!,"&gt;="&amp;B448,#REF!,"&lt;="&amp;EOMONTH(B448,0))</f>
        <v>#REF!</v>
      </c>
      <c r="G455" s="1098" t="e">
        <f t="shared" si="202"/>
        <v>#REF!</v>
      </c>
      <c r="H455" s="1113" t="e">
        <f ca="1">MINIFS(#REF!,#REF!,"&lt;&gt;0",#REF!,"&gt;="&amp;B448,#REF!,"&lt;="&amp;EOMONTH(B448,0))</f>
        <v>#NAME?</v>
      </c>
      <c r="I455" s="1078" t="e">
        <f ca="1">MAXIFS(#REF!,#REF!,"&lt;&gt;0",#REF!,"&gt;="&amp;B448,#REF!,"&lt;="&amp;EOMONTH(B448,0))</f>
        <v>#NAME?</v>
      </c>
      <c r="J455" s="1114" t="e">
        <f>COUNTIFS(#REF!,"&gt;="&amp;D455,#REF!,"&gt;="&amp;B448,#REF!,"&lt;="&amp;EOMONTH(B448,0))</f>
        <v>#REF!</v>
      </c>
      <c r="K455" s="1341" t="e">
        <f t="shared" si="203"/>
        <v>#REF!</v>
      </c>
      <c r="L455" s="1115"/>
      <c r="M455" s="1082"/>
      <c r="N455" s="1076">
        <f>Parametres!$L$12</f>
        <v>100000</v>
      </c>
      <c r="O455" s="1077">
        <f>COUNTIFS('Degrémont Entrée'!$AG$14:$AG$379,"&gt;0",'Degrémont Entrée'!$A$14:$A$379,"&gt;="&amp;B448,'Degrémont Entrée'!$A$14:$A$379,"&lt;="&amp;EOMONTH(B448,0))</f>
        <v>28</v>
      </c>
      <c r="P455" s="1078">
        <f>SUMIFS('Degrémont Entrée'!$AG$14:$AG$379,'Degrémont Entrée'!$AG$14:$AG$379,"&lt;&gt;0",'Degrémont Entrée'!$A$14:$A$379,"&gt;="&amp;B448,'Degrémont Entrée'!$A$14:$A$379,"&lt;="&amp;EOMONTH(B448,0))</f>
        <v>0.32000000000000012</v>
      </c>
      <c r="Q455" s="1078">
        <f>IF(O455=0,0,P455/O455)</f>
        <v>1.1428571428571432E-2</v>
      </c>
      <c r="R455" s="1078" t="e">
        <f ca="1">MINIFS('Degrémont Entrée'!$AG$14:$AG$379,'Degrémont Entrée'!$AG$14:$AG$379,"&lt;&gt;0",'Degrémont Entrée'!$A$14:$A$379,"&gt;="&amp;B448,'Degrémont Entrée'!$A$14:$A$379,"&lt;="&amp;EOMONTH(B448,0))</f>
        <v>#NAME?</v>
      </c>
      <c r="S455" s="1078" t="e">
        <f ca="1">MAXIFS('Degrémont Entrée'!$AG$14:$AG$379,'Degrémont Entrée'!$AG$14:$AG$379,"&lt;&gt;0",'Degrémont Entrée'!$A$14:$A$379,"&gt;="&amp;B448,'Degrémont Entrée'!$A$14:$A$379,"&lt;="&amp;EOMONTH(B448,0))</f>
        <v>#NAME?</v>
      </c>
      <c r="T455" s="1140" t="s">
        <v>153</v>
      </c>
      <c r="U455" s="1140" t="s">
        <v>153</v>
      </c>
      <c r="V455" s="1082"/>
      <c r="W455" s="1083">
        <f>Parametres!$T$12</f>
        <v>0.1</v>
      </c>
      <c r="X455" s="1142">
        <f>COUNTIFS('Degrémont sortie'!$AA$14:$AA$379,"&gt;0",'Degrémont sortie'!$A$14:$A$379,"&gt;="&amp;B448,'Degrémont sortie'!$A$14:$A$379,"&lt;="&amp;EOMONTH(B448,0))</f>
        <v>27</v>
      </c>
      <c r="Y455" s="1085">
        <f>SUMIFS('Degrémont sortie'!$AA$14:$AA$379,'Degrémont sortie'!$AA$14:$AA$379,"&lt;&gt;0",'Degrémont sortie'!$A$14:$A$379,"&gt;="&amp;B448,'Degrémont sortie'!$A$14:$A$379,"&lt;="&amp;EOMONTH(B448,0))</f>
        <v>0.27000000000000007</v>
      </c>
      <c r="Z455" s="1069">
        <f t="shared" ref="Z455:Z457" si="205">IF(X455=0,0,Y455/X455)</f>
        <v>1.0000000000000002E-2</v>
      </c>
      <c r="AA455" s="1069" t="e">
        <f ca="1">MINIFS('Degrémont sortie'!$AA$14:$AA$379,'Degrémont sortie'!$AA$14:$AA$379,"&lt;&gt;0",'Degrémont sortie'!$A$14:$A$379,"&gt;="&amp;B448,'Degrémont sortie'!$A$14:$A$379,"&lt;="&amp;EOMONTH(B448,0))</f>
        <v>#NAME?</v>
      </c>
      <c r="AB455" s="1069" t="e">
        <f ca="1">MAXIFS('Degrémont sortie'!$AA$14:$AA$379,'Degrémont sortie'!$AA$14:$AA$379,"&lt;&gt;0",'Degrémont sortie'!$A$14:$A$379,"&gt;="&amp;B448,'Degrémont sortie'!$A$14:$A$379,"&lt;="&amp;EOMONTH(B448,0))</f>
        <v>#NAME?</v>
      </c>
      <c r="AC455" s="1142">
        <f>COUNTIFS('Degrémont sortie'!$AA$14:$AA$379,"&gt;="&amp;W455,'Degrémont sortie'!$A$14:$A$379,"&gt;="&amp;B448,'Degrémont sortie'!$A$14:$A$379,"&lt;="&amp;EOMONTH(B448,0))</f>
        <v>0</v>
      </c>
      <c r="AD455" s="1087">
        <f t="shared" ref="AD455:AD457" si="206">AC455/X455</f>
        <v>0</v>
      </c>
      <c r="AE455" s="1082"/>
      <c r="AF455" s="1105"/>
      <c r="AG455" s="1106"/>
      <c r="AH455" s="1106"/>
      <c r="AI455" s="1106"/>
      <c r="AJ455" s="1106"/>
      <c r="AK455" s="1082"/>
      <c r="AL455" s="1116"/>
      <c r="AM455" s="1117"/>
      <c r="AN455" s="1117"/>
      <c r="AO455" s="1117"/>
      <c r="AP455" s="1117"/>
      <c r="AQ455" s="1082"/>
      <c r="AR455" s="1118"/>
      <c r="AS455" s="1105"/>
      <c r="AT455" s="1106"/>
      <c r="AU455" s="1106"/>
      <c r="AV455" s="1106"/>
      <c r="AW455" s="1119"/>
      <c r="AX455" s="1120"/>
      <c r="AY455" s="1094"/>
      <c r="AZ455" s="1403" t="e">
        <f t="shared" si="204"/>
        <v>#REF!</v>
      </c>
      <c r="BA455" s="2"/>
    </row>
    <row r="456" spans="1:53" ht="15.75" hidden="1" customHeight="1" outlineLevel="1">
      <c r="A456" s="1027"/>
      <c r="B456" s="1404"/>
      <c r="C456" s="1031" t="s">
        <v>286</v>
      </c>
      <c r="D456" s="1122">
        <f>Parametres!$D$13</f>
        <v>0.5</v>
      </c>
      <c r="E456" s="1068" t="e">
        <f>COUNTIFS(#REF!,"&gt;0",#REF!,"&gt;="&amp;B448,#REF!,"&lt;="&amp;EOMONTH(B448,0))</f>
        <v>#REF!</v>
      </c>
      <c r="F456" s="1069" t="e">
        <f>SUMIFS(#REF!,#REF!,"&lt;&gt;0",#REF!,"&gt;="&amp;B448,#REF!,"&lt;="&amp;EOMONTH(B448,0))</f>
        <v>#REF!</v>
      </c>
      <c r="G456" s="1098" t="e">
        <f t="shared" si="202"/>
        <v>#REF!</v>
      </c>
      <c r="H456" s="1113" t="e">
        <f ca="1">MINIFS(#REF!,#REF!,"&lt;&gt;0",#REF!,"&gt;="&amp;B448,#REF!,"&lt;="&amp;EOMONTH(B448,0))</f>
        <v>#NAME?</v>
      </c>
      <c r="I456" s="1078" t="e">
        <f ca="1">MAXIFS(#REF!,#REF!,"&lt;&gt;0",#REF!,"&gt;="&amp;B448,#REF!,"&lt;="&amp;EOMONTH(B448,0))</f>
        <v>#NAME?</v>
      </c>
      <c r="J456" s="1114" t="e">
        <f>COUNTIFS(#REF!,"&gt;="&amp;D456,#REF!,"&gt;="&amp;B448,#REF!,"&lt;="&amp;EOMONTH(B448,0))</f>
        <v>#REF!</v>
      </c>
      <c r="K456" s="1341" t="e">
        <f t="shared" si="203"/>
        <v>#REF!</v>
      </c>
      <c r="L456" s="1115"/>
      <c r="M456" s="1082"/>
      <c r="N456" s="1129"/>
      <c r="O456" s="1129"/>
      <c r="P456" s="1069"/>
      <c r="Q456" s="1069"/>
      <c r="R456" s="1069"/>
      <c r="S456" s="1069"/>
      <c r="T456" s="1143"/>
      <c r="U456" s="1143"/>
      <c r="V456" s="1132"/>
      <c r="W456" s="1083">
        <f>Parametres!$T$13</f>
        <v>0.08</v>
      </c>
      <c r="X456" s="1142">
        <f>COUNTIFS('Degrémont sortie'!$AD$14:$AD$379,"&gt;0",'Degrémont sortie'!$A$14:$A$379,"&gt;="&amp;B448,'Degrémont sortie'!$A$14:$A$379,"&lt;="&amp;EOMONTH(B448,0))</f>
        <v>3</v>
      </c>
      <c r="Y456" s="1085">
        <f>SUMIFS('Degrémont sortie'!$AD$14:$AD$379,'Degrémont sortie'!$AD$14:$AD$379,"&lt;&gt;0",'Degrémont sortie'!$A$14:$A$379,"&gt;="&amp;B448,'Degrémont sortie'!$A$14:$A$379,"&lt;="&amp;EOMONTH(B448,0))</f>
        <v>1.4999999999999999E-2</v>
      </c>
      <c r="Z456" s="1069">
        <f t="shared" si="205"/>
        <v>5.0000000000000001E-3</v>
      </c>
      <c r="AA456" s="1069" t="e">
        <f ca="1">MINIFS('Degrémont sortie'!$AD$14:$AD$379,'Degrémont sortie'!$AD$14:$AD$379,"&lt;&gt;0",'Degrémont sortie'!$A$14:$A$379,"&gt;="&amp;B448,'Degrémont sortie'!$A$14:$A$379,"&lt;="&amp;EOMONTH(B448,0))</f>
        <v>#NAME?</v>
      </c>
      <c r="AB456" s="1069" t="e">
        <f ca="1">MAXIFS('Degrémont sortie'!$AD$14:$AD$379,'Degrémont sortie'!$AD$14:$AD$379,"&lt;&gt;0",'Degrémont sortie'!$A$14:$A$379,"&gt;="&amp;B448,'Degrémont sortie'!$A$14:$A$379,"&lt;="&amp;EOMONTH(B448,0))</f>
        <v>#NAME?</v>
      </c>
      <c r="AC456" s="1142">
        <f>COUNTIFS('Degrémont sortie'!$AD$14:$AD$379,"&gt;="&amp;W456,'Degrémont sortie'!$A$14:$A$379,"&gt;="&amp;B448,'Degrémont sortie'!$A$14:$A$379,"&lt;="&amp;EOMONTH(B448,0))</f>
        <v>0</v>
      </c>
      <c r="AD456" s="1087">
        <f t="shared" si="206"/>
        <v>0</v>
      </c>
      <c r="AE456" s="1132"/>
      <c r="AF456" s="1105"/>
      <c r="AG456" s="1106"/>
      <c r="AH456" s="1106"/>
      <c r="AI456" s="1106"/>
      <c r="AJ456" s="1106"/>
      <c r="AK456" s="1132"/>
      <c r="AL456" s="1105"/>
      <c r="AM456" s="1106"/>
      <c r="AN456" s="1106"/>
      <c r="AO456" s="1106"/>
      <c r="AP456" s="1106"/>
      <c r="AQ456" s="1133"/>
      <c r="AR456" s="1134"/>
      <c r="AS456" s="1135"/>
      <c r="AT456" s="1106"/>
      <c r="AU456" s="1106"/>
      <c r="AV456" s="1106"/>
      <c r="AW456" s="1119"/>
      <c r="AX456" s="1120"/>
      <c r="AY456" s="1094"/>
      <c r="AZ456" s="1403" t="e">
        <f t="shared" si="204"/>
        <v>#REF!</v>
      </c>
      <c r="BA456" s="2"/>
    </row>
    <row r="457" spans="1:53" ht="15.75" hidden="1" customHeight="1" outlineLevel="1">
      <c r="A457" s="1027"/>
      <c r="B457" s="1404"/>
      <c r="C457" s="1031" t="s">
        <v>45</v>
      </c>
      <c r="D457" s="1122">
        <f>Parametres!$D$14</f>
        <v>0.5</v>
      </c>
      <c r="E457" s="1068" t="e">
        <f>COUNTIFS(#REF!,"&gt;0",#REF!,"&gt;="&amp;B448,#REF!,"&lt;="&amp;EOMONTH(B448,0))</f>
        <v>#REF!</v>
      </c>
      <c r="F457" s="1069" t="e">
        <f>SUMIFS(#REF!,#REF!,"&lt;&gt;0",#REF!,"&gt;="&amp;B448,#REF!,"&lt;="&amp;EOMONTH(B448,0))</f>
        <v>#REF!</v>
      </c>
      <c r="G457" s="1098" t="e">
        <f t="shared" si="202"/>
        <v>#REF!</v>
      </c>
      <c r="H457" s="1070" t="e">
        <f ca="1">MINIFS(#REF!,#REF!,"&lt;&gt;0",#REF!,"&gt;="&amp;B448,#REF!,"&lt;="&amp;EOMONTH(B448,0))</f>
        <v>#NAME?</v>
      </c>
      <c r="I457" s="1078" t="e">
        <f ca="1">MAXIFS(#REF!,#REF!,"&lt;&gt;0",#REF!,"&gt;="&amp;B448,#REF!,"&lt;="&amp;EOMONTH(B448,0))</f>
        <v>#NAME?</v>
      </c>
      <c r="J457" s="1114" t="e">
        <f>COUNTIFS(#REF!,"&gt;="&amp;D457,#REF!,"&gt;="&amp;B448,#REF!,"&lt;="&amp;EOMONTH(B448,0))</f>
        <v>#REF!</v>
      </c>
      <c r="K457" s="1341" t="e">
        <f t="shared" si="203"/>
        <v>#REF!</v>
      </c>
      <c r="L457" s="1115"/>
      <c r="M457" s="1082"/>
      <c r="N457" s="1144">
        <f>Parametres!$L$14</f>
        <v>3</v>
      </c>
      <c r="O457" s="1077">
        <f>COUNTIFS('Degrémont Entrée'!$AS$14:$AS$379,"&gt;0",'Degrémont Entrée'!$A$14:$A$379,"&gt;="&amp;B448,'Degrémont Entrée'!$A$14:$A$379,"&lt;="&amp;EOMONTH(B448,0))</f>
        <v>5</v>
      </c>
      <c r="P457" s="1078">
        <f>SUMIFS('Degrémont Entrée'!$AS$14:$AS$379,'Degrémont Entrée'!$AS$14:$AS$379,"&lt;&gt;0",'Degrémont Entrée'!$A$14:$A$379,"&gt;="&amp;B448,'Degrémont Entrée'!$A$14:$A$379,"&lt;="&amp;EOMONTH(B448,0))</f>
        <v>0.88000000000000012</v>
      </c>
      <c r="Q457" s="1078">
        <f>IF(O457=0,0,P457/O457)</f>
        <v>0.17600000000000002</v>
      </c>
      <c r="R457" s="1069" t="e">
        <f ca="1">MINIFS('Degrémont Entrée'!$AS$14:$AS$379,'Degrémont Entrée'!$AS$14:$AS$379,"&lt;&gt;0",'Degrémont Entrée'!$A$14:$A$379,"&gt;="&amp;B448,'Degrémont Entrée'!$A$14:$A$379,"&lt;="&amp;EOMONTH(B448,0))</f>
        <v>#NAME?</v>
      </c>
      <c r="S457" s="1069" t="e">
        <f ca="1">MAXIFS('Degrémont Entrée'!$AS$14:$AS$379,'Degrémont Entrée'!$AS$14:$AS$379,"&lt;&gt;0",'Degrémont Entrée'!$A$14:$A$379,"&gt;="&amp;B448,'Degrémont Entrée'!$A$14:$A$379,"&lt;="&amp;EOMONTH(B448,0))</f>
        <v>#NAME?</v>
      </c>
      <c r="T457" s="1145">
        <f>COUNTIFS('Degrémont Entrée'!$AS$14:$AS$379,"&gt;="&amp;N457,'Degrémont Entrée'!$A$14:$A$379,"&gt;="&amp;B448,'Degrémont Entrée'!$A$14:$A$379,"&lt;="&amp;EOMONTH(B448,0))</f>
        <v>0</v>
      </c>
      <c r="U457" s="1081">
        <f>T457/O457</f>
        <v>0</v>
      </c>
      <c r="V457" s="1132"/>
      <c r="W457" s="1083">
        <f>Parametres!$T$14</f>
        <v>0.12</v>
      </c>
      <c r="X457" s="1142">
        <f>COUNTIFS('Degrémont sortie'!$AM$14:$AM$379,"&gt;0",'Degrémont sortie'!$A$14:$A$379,"&gt;="&amp;B448,'Degrémont sortie'!$A$14:$A$379,"&lt;="&amp;EOMONTH(B448,0))</f>
        <v>5</v>
      </c>
      <c r="Y457" s="1085">
        <f>SUMIFS('Degrémont sortie'!$AM$14:$AM$379,'Degrémont sortie'!$AM$14:$AM$379,"&lt;&gt;0",'Degrémont sortie'!$A$14:$A$379,"&gt;="&amp;B448,'Degrémont sortie'!$A$14:$A$379,"&lt;="&amp;EOMONTH(B448,0))</f>
        <v>0.17</v>
      </c>
      <c r="Z457" s="1069">
        <f t="shared" si="205"/>
        <v>3.4000000000000002E-2</v>
      </c>
      <c r="AA457" s="1069" t="e">
        <f ca="1">MINIFS('Degrémont sortie'!$AM$14:$AM$379,'Degrémont sortie'!$AM$14:$AM$379,"&lt;&gt;0",'Degrémont sortie'!$A$14:$A$379,"&gt;="&amp;B448,'Degrémont sortie'!$A$14:$A$379,"&lt;="&amp;EOMONTH(B448,0))</f>
        <v>#NAME?</v>
      </c>
      <c r="AB457" s="1069" t="e">
        <f ca="1">MAXIFS('Degrémont sortie'!$AM$14:$AM$379,'Degrémont sortie'!$AM$14:$AM$379,"&lt;&gt;0",'Degrémont sortie'!$A$14:$A$379,"&gt;="&amp;B448,'Degrémont sortie'!$A$14:$A$379,"&lt;="&amp;EOMONTH(B448,0))</f>
        <v>#NAME?</v>
      </c>
      <c r="AC457" s="1142">
        <f>COUNTIFS('Degrémont sortie'!$AM$14:$AM$379,"&gt;="&amp;W457,'Degrémont sortie'!$A$14:$A$379,"&gt;="&amp;B448,'Degrémont sortie'!$A$14:$A$379,"&lt;="&amp;EOMONTH(B448,0))</f>
        <v>0</v>
      </c>
      <c r="AD457" s="1087">
        <f t="shared" si="206"/>
        <v>0</v>
      </c>
      <c r="AE457" s="1132"/>
      <c r="AF457" s="1105"/>
      <c r="AG457" s="1106"/>
      <c r="AH457" s="1106"/>
      <c r="AI457" s="1106"/>
      <c r="AJ457" s="1106"/>
      <c r="AK457" s="1132"/>
      <c r="AL457" s="1105"/>
      <c r="AM457" s="1106"/>
      <c r="AN457" s="1106"/>
      <c r="AO457" s="1106"/>
      <c r="AP457" s="1106"/>
      <c r="AQ457" s="1132"/>
      <c r="AR457" s="1148"/>
      <c r="AS457" s="1105"/>
      <c r="AT457" s="1106"/>
      <c r="AU457" s="1106"/>
      <c r="AV457" s="1106"/>
      <c r="AW457" s="1138"/>
      <c r="AX457" s="1120"/>
      <c r="AY457" s="1094"/>
      <c r="AZ457" s="1403" t="e">
        <f t="shared" si="204"/>
        <v>#REF!</v>
      </c>
      <c r="BA457" s="2"/>
    </row>
    <row r="458" spans="1:53" ht="15.75" hidden="1" customHeight="1" outlineLevel="1">
      <c r="A458" s="1027"/>
      <c r="B458" s="1404"/>
      <c r="C458" s="1402" t="s">
        <v>20</v>
      </c>
      <c r="D458" s="1122">
        <f>Parametres!$D$15</f>
        <v>0.1</v>
      </c>
      <c r="E458" s="1068" t="e">
        <f>COUNTIFS(#REF!,"&gt;0",#REF!,"&gt;="&amp;B448,#REF!,"&lt;="&amp;EOMONTH(B448,0))</f>
        <v>#REF!</v>
      </c>
      <c r="F458" s="1069" t="e">
        <f>SUMIFS(#REF!,#REF!,"&lt;&gt;0",#REF!,"&gt;="&amp;B448,#REF!,"&lt;="&amp;EOMONTH(B448,0))</f>
        <v>#REF!</v>
      </c>
      <c r="G458" s="1098" t="e">
        <f t="shared" si="202"/>
        <v>#REF!</v>
      </c>
      <c r="H458" s="1070" t="e">
        <f ca="1">MINIFS(#REF!,#REF!,"&lt;&gt;0",#REF!,"&gt;="&amp;B448,#REF!,"&lt;="&amp;EOMONTH(B448,0))</f>
        <v>#NAME?</v>
      </c>
      <c r="I458" s="1078" t="e">
        <f ca="1">MAXIFS(#REF!,#REF!,"&lt;&gt;0",#REF!,"&gt;="&amp;B448,#REF!,"&lt;="&amp;EOMONTH(B448,0))</f>
        <v>#NAME?</v>
      </c>
      <c r="J458" s="1072" t="e">
        <f>COUNTIFS(#REF!,"&gt;="&amp;D458,#REF!,"&gt;="&amp;B448,#REF!,"&lt;="&amp;EOMONTH(B448,0))</f>
        <v>#REF!</v>
      </c>
      <c r="K458" s="1341" t="e">
        <f t="shared" si="203"/>
        <v>#REF!</v>
      </c>
      <c r="L458" s="1115"/>
      <c r="M458" s="1082"/>
      <c r="N458" s="1129"/>
      <c r="O458" s="1129"/>
      <c r="P458" s="1069"/>
      <c r="Q458" s="1069"/>
      <c r="R458" s="1069"/>
      <c r="S458" s="1069"/>
      <c r="T458" s="1143"/>
      <c r="U458" s="1143"/>
      <c r="V458" s="1132"/>
      <c r="W458" s="1129"/>
      <c r="X458" s="1129"/>
      <c r="Y458" s="1069"/>
      <c r="Z458" s="1069"/>
      <c r="AA458" s="1069"/>
      <c r="AB458" s="1069"/>
      <c r="AC458" s="1130"/>
      <c r="AD458" s="1131"/>
      <c r="AE458" s="1132"/>
      <c r="AF458" s="1105"/>
      <c r="AG458" s="1106"/>
      <c r="AH458" s="1106"/>
      <c r="AI458" s="1106"/>
      <c r="AJ458" s="1106"/>
      <c r="AK458" s="1132"/>
      <c r="AL458" s="1105"/>
      <c r="AM458" s="1106"/>
      <c r="AN458" s="1106"/>
      <c r="AO458" s="1106"/>
      <c r="AP458" s="1106"/>
      <c r="AQ458" s="1132"/>
      <c r="AR458" s="1148"/>
      <c r="AS458" s="1105"/>
      <c r="AT458" s="1106"/>
      <c r="AU458" s="1106"/>
      <c r="AV458" s="1106"/>
      <c r="AW458" s="1119"/>
      <c r="AX458" s="1120"/>
      <c r="AY458" s="1094"/>
      <c r="AZ458" s="1403" t="e">
        <f t="shared" si="204"/>
        <v>#REF!</v>
      </c>
      <c r="BA458" s="2"/>
    </row>
    <row r="459" spans="1:53" ht="15.75" hidden="1" customHeight="1" outlineLevel="1">
      <c r="A459" s="1027"/>
      <c r="B459" s="1404"/>
      <c r="C459" s="1402" t="s">
        <v>14</v>
      </c>
      <c r="D459" s="1122">
        <f>Parametres!$D$16</f>
        <v>10000000</v>
      </c>
      <c r="E459" s="1068" t="e">
        <f>COUNTIFS(#REF!,"&gt;0",#REF!,"&gt;="&amp;B448,#REF!,"&lt;="&amp;EOMONTH(B448,0))</f>
        <v>#REF!</v>
      </c>
      <c r="F459" s="1069" t="e">
        <f>SUMIFS(#REF!,#REF!,"&lt;&gt;0",#REF!,"&gt;="&amp;B448,#REF!,"&lt;="&amp;EOMONTH(B448,0))</f>
        <v>#REF!</v>
      </c>
      <c r="G459" s="1098" t="e">
        <f t="shared" si="202"/>
        <v>#REF!</v>
      </c>
      <c r="H459" s="1070" t="e">
        <f ca="1">MINIFS(#REF!,#REF!,"&lt;&gt;0",#REF!,"&gt;="&amp;B448,#REF!,"&lt;="&amp;EOMONTH(B448,0))</f>
        <v>#NAME?</v>
      </c>
      <c r="I459" s="1078" t="e">
        <f ca="1">MAXIFS(#REF!,#REF!,"&lt;&gt;0",#REF!,"&gt;="&amp;B448,#REF!,"&lt;="&amp;EOMONTH(B448,0))</f>
        <v>#NAME?</v>
      </c>
      <c r="J459" s="1072" t="e">
        <f>COUNTIFS(#REF!,"&gt;="&amp;D459,#REF!,"&gt;="&amp;B448,#REF!,"&lt;="&amp;EOMONTH(B448,0))</f>
        <v>#REF!</v>
      </c>
      <c r="K459" s="1341" t="e">
        <f t="shared" si="203"/>
        <v>#REF!</v>
      </c>
      <c r="L459" s="1115"/>
      <c r="M459" s="1082"/>
      <c r="N459" s="1129"/>
      <c r="O459" s="1129"/>
      <c r="P459" s="1069"/>
      <c r="Q459" s="1069"/>
      <c r="R459" s="1069"/>
      <c r="S459" s="1069"/>
      <c r="T459" s="1143"/>
      <c r="U459" s="1143"/>
      <c r="V459" s="1132"/>
      <c r="W459" s="1129"/>
      <c r="X459" s="1129"/>
      <c r="Y459" s="1069"/>
      <c r="Z459" s="1069"/>
      <c r="AA459" s="1069"/>
      <c r="AB459" s="1069"/>
      <c r="AC459" s="1130"/>
      <c r="AD459" s="1131"/>
      <c r="AE459" s="1132"/>
      <c r="AF459" s="1105"/>
      <c r="AG459" s="1106"/>
      <c r="AH459" s="1106"/>
      <c r="AI459" s="1106"/>
      <c r="AJ459" s="1106"/>
      <c r="AK459" s="1082"/>
      <c r="AL459" s="1136"/>
      <c r="AM459" s="1137"/>
      <c r="AN459" s="1137"/>
      <c r="AO459" s="1137"/>
      <c r="AP459" s="1137"/>
      <c r="AQ459" s="1082"/>
      <c r="AR459" s="1118"/>
      <c r="AS459" s="1105"/>
      <c r="AT459" s="1106"/>
      <c r="AU459" s="1106"/>
      <c r="AV459" s="1106"/>
      <c r="AW459" s="1138"/>
      <c r="AX459" s="1120"/>
      <c r="AY459" s="1094"/>
      <c r="AZ459" s="1403" t="e">
        <f t="shared" si="204"/>
        <v>#REF!</v>
      </c>
      <c r="BA459" s="2"/>
    </row>
    <row r="460" spans="1:53" ht="15.75" hidden="1" customHeight="1" outlineLevel="1">
      <c r="A460" s="1027"/>
      <c r="B460" s="1404"/>
      <c r="C460" s="1031" t="s">
        <v>284</v>
      </c>
      <c r="D460" s="1122">
        <f>Parametres!$D$17</f>
        <v>450</v>
      </c>
      <c r="E460" s="1068" t="e">
        <f>COUNTIFS(#REF!,"&gt;0",#REF!,"&gt;="&amp;B448,#REF!,"&lt;="&amp;EOMONTH(B448,0))</f>
        <v>#REF!</v>
      </c>
      <c r="F460" s="1069" t="e">
        <f>SUMIFS(#REF!,#REF!,"&lt;&gt;0",#REF!,"&gt;="&amp;B448,#REF!,"&lt;="&amp;EOMONTH(B448,0))</f>
        <v>#REF!</v>
      </c>
      <c r="G460" s="1069" t="e">
        <f t="shared" si="202"/>
        <v>#REF!</v>
      </c>
      <c r="H460" s="1070" t="e">
        <f ca="1">MINIFS(#REF!,#REF!,"&lt;&gt;0",#REF!,"&gt;="&amp;B448,#REF!,"&lt;="&amp;EOMONTH(B448,0))</f>
        <v>#NAME?</v>
      </c>
      <c r="I460" s="1078" t="e">
        <f ca="1">MAXIFS(#REF!,#REF!,"&lt;&gt;0",#REF!,"&gt;="&amp;B448,#REF!,"&lt;="&amp;EOMONTH(B448,0))</f>
        <v>#NAME?</v>
      </c>
      <c r="J460" s="1114" t="e">
        <f>COUNTIFS(#REF!,"&gt;="&amp;D460,#REF!,"&gt;="&amp;B448,#REF!,"&lt;="&amp;EOMONTH(B448,0))</f>
        <v>#REF!</v>
      </c>
      <c r="K460" s="1341" t="e">
        <f t="shared" si="203"/>
        <v>#REF!</v>
      </c>
      <c r="L460" s="1115"/>
      <c r="M460" s="1082"/>
      <c r="N460" s="1171"/>
      <c r="O460" s="1171"/>
      <c r="P460" s="1173"/>
      <c r="Q460" s="1173"/>
      <c r="R460" s="1173"/>
      <c r="S460" s="1173"/>
      <c r="T460" s="1175"/>
      <c r="U460" s="1175"/>
      <c r="V460" s="1177"/>
      <c r="W460" s="1129"/>
      <c r="X460" s="1129"/>
      <c r="Y460" s="1069"/>
      <c r="Z460" s="1069"/>
      <c r="AA460" s="1069"/>
      <c r="AB460" s="1069"/>
      <c r="AC460" s="1130"/>
      <c r="AD460" s="1131"/>
      <c r="AE460" s="1082"/>
      <c r="AF460" s="1105"/>
      <c r="AG460" s="1106"/>
      <c r="AH460" s="1106"/>
      <c r="AI460" s="1106"/>
      <c r="AJ460" s="1106"/>
      <c r="AK460" s="1132"/>
      <c r="AL460" s="1105"/>
      <c r="AM460" s="1106"/>
      <c r="AN460" s="1106"/>
      <c r="AO460" s="1106"/>
      <c r="AP460" s="1119"/>
      <c r="AQ460" s="1132"/>
      <c r="AR460" s="1148"/>
      <c r="AS460" s="1105"/>
      <c r="AT460" s="1106"/>
      <c r="AU460" s="1106"/>
      <c r="AV460" s="1106"/>
      <c r="AW460" s="1119"/>
      <c r="AX460" s="1120"/>
      <c r="AY460" s="1094"/>
      <c r="AZ460" s="1403" t="e">
        <f t="shared" si="204"/>
        <v>#REF!</v>
      </c>
      <c r="BA460" s="2"/>
    </row>
    <row r="461" spans="1:53" ht="15.75" hidden="1" customHeight="1" outlineLevel="1">
      <c r="A461" s="1027"/>
      <c r="B461" s="1404"/>
      <c r="C461" s="1405" t="s">
        <v>35</v>
      </c>
      <c r="D461" s="1122">
        <f>Parametres!$D$18</f>
        <v>1750</v>
      </c>
      <c r="E461" s="1068" t="e">
        <f>COUNTIFS(#REF!,"&gt;0",#REF!,"&gt;="&amp;B448,#REF!,"&lt;="&amp;EOMONTH(B448,0))</f>
        <v>#REF!</v>
      </c>
      <c r="F461" s="1069" t="e">
        <f>SUMIFS(#REF!,#REF!,"&lt;&gt;0",#REF!,"&gt;="&amp;B448,#REF!,"&lt;="&amp;EOMONTH(B448,0))</f>
        <v>#REF!</v>
      </c>
      <c r="G461" s="1069" t="e">
        <f t="shared" si="202"/>
        <v>#REF!</v>
      </c>
      <c r="H461" s="1070" t="e">
        <f ca="1">MINIFS(#REF!,#REF!,"&lt;&gt;0",#REF!,"&gt;="&amp;B448,#REF!,"&lt;="&amp;EOMONTH(B448,0))</f>
        <v>#NAME?</v>
      </c>
      <c r="I461" s="1078" t="e">
        <f ca="1">MAXIFS(#REF!,#REF!,"&lt;&gt;0",#REF!,"&gt;="&amp;B448,#REF!,"&lt;="&amp;EOMONTH(B448,0))</f>
        <v>#NAME?</v>
      </c>
      <c r="J461" s="1114" t="e">
        <f>COUNTIFS(#REF!,"&gt;="&amp;D461,#REF!,"&gt;="&amp;B448,#REF!,"&lt;="&amp;EOMONTH(B448,0))</f>
        <v>#REF!</v>
      </c>
      <c r="K461" s="1341" t="e">
        <f t="shared" si="203"/>
        <v>#REF!</v>
      </c>
      <c r="L461" s="1115"/>
      <c r="M461" s="1082"/>
      <c r="N461" s="1144">
        <f>Parametres!$L$18</f>
        <v>5000</v>
      </c>
      <c r="O461" s="1077">
        <f>COUNTIFS('Degrémont Entrée'!$K$14:$K$379,"&gt;0",'Degrémont Entrée'!$A$14:$A$379,"&gt;="&amp;B448,'Degrémont Entrée'!$A$14:$A$379,"&lt;="&amp;EOMONTH(B448,0))</f>
        <v>27</v>
      </c>
      <c r="P461" s="1078">
        <f>SUMIFS('Degrémont Entrée'!$K$14:$K$379,'Degrémont Entrée'!$K$14:$K$379,"&lt;&gt;0",'Degrémont Entrée'!$A$14:$A$379,"&gt;="&amp;B448,'Degrémont Entrée'!$A$14:$A$379,"&lt;="&amp;EOMONTH(B448,0))</f>
        <v>102127</v>
      </c>
      <c r="Q461" s="1078">
        <f t="shared" ref="Q461:Q463" si="207">IF(O461=0,0,P461/O461)</f>
        <v>3782.4814814814813</v>
      </c>
      <c r="R461" s="1078" t="e">
        <f ca="1">MINIFS('Degrémont Entrée'!$K$14:$K$379,'Degrémont Entrée'!$K$14:$K$379,"&lt;&gt;0",'Degrémont Entrée'!$A$14:$A$379,"&gt;="&amp;B448,'Degrémont Entrée'!$A$14:$A$379,"&lt;="&amp;EOMONTH(B448,0))</f>
        <v>#NAME?</v>
      </c>
      <c r="S461" s="1078" t="e">
        <f ca="1">MAXIFS('Degrémont Entrée'!$K$14:$K$379,'Degrémont Entrée'!$K$14:$K$379,"&lt;&gt;0",'Degrémont Entrée'!$A$14:$A$379,"&gt;="&amp;B448,'Degrémont Entrée'!$A$14:$A$379,"&lt;="&amp;EOMONTH(B448,0))</f>
        <v>#NAME?</v>
      </c>
      <c r="T461" s="1080">
        <f>COUNTIFS('Degrémont Entrée'!$K$14:$K$379,"&gt;="&amp;N461,'Degrémont Entrée'!$A$14:$A$379,"&gt;="&amp;B448,'Degrémont Entrée'!$A$14:$A$379,"&lt;="&amp;EOMONTH(B448,0))</f>
        <v>10</v>
      </c>
      <c r="U461" s="1081">
        <f>T461/O461</f>
        <v>0.37037037037037035</v>
      </c>
      <c r="V461" s="1082"/>
      <c r="W461" s="1083">
        <f>Parametres!$T$18</f>
        <v>2000</v>
      </c>
      <c r="X461" s="1142">
        <f>COUNTIFS('Degrémont sortie'!$I$14:$I$379,"&gt;0",'Degrémont sortie'!$A$14:$A$379,"&gt;="&amp;B448,'Degrémont sortie'!$A$14:$A$379,"&lt;="&amp;EOMONTH(B448,0))</f>
        <v>27</v>
      </c>
      <c r="Y461" s="1085">
        <f>SUMIFS('Degrémont sortie'!$I$14:$I$379,'Degrémont sortie'!$I$14:$I$379,"&lt;&gt;0",'Degrémont sortie'!$A$14:$A$379,"&gt;="&amp;B448,'Degrémont sortie'!$A$14:$A$379,"&lt;="&amp;EOMONTH(B448,0))</f>
        <v>11479</v>
      </c>
      <c r="Z461" s="1069">
        <f>IF(X461=0,0,Y461/X461)</f>
        <v>425.14814814814815</v>
      </c>
      <c r="AA461" s="1069" t="e">
        <f ca="1">MINIFS('Degrémont sortie'!$I$14:$I$379,'Degrémont sortie'!$I$14:$I$379,"&lt;&gt;0",'Degrémont sortie'!$A$14:$A$379,"&gt;="&amp;B448,'Degrémont sortie'!$A$14:$A$379,"&lt;="&amp;EOMONTH(B448,0))</f>
        <v>#NAME?</v>
      </c>
      <c r="AB461" s="1069" t="e">
        <f ca="1">MAXIFS('Degrémont sortie'!$I$14:$I$379,'Degrémont sortie'!$I$14:$I$379,"&lt;&gt;0",'Degrémont sortie'!$A$14:$A$379,"&gt;="&amp;B448,'Degrémont sortie'!$A$14:$A$379,"&lt;="&amp;EOMONTH(B448,0))</f>
        <v>#NAME?</v>
      </c>
      <c r="AC461" s="1142">
        <f>COUNTIFS('Degrémont sortie'!$I$14:$I$379,"&gt;="&amp;W461,'Degrémont sortie'!$A$14:$A$379,"&gt;="&amp;B448,'Degrémont sortie'!$A$14:$A$379,"&lt;="&amp;EOMONTH(B448,0))</f>
        <v>0</v>
      </c>
      <c r="AD461" s="1087">
        <f>AC461/X461</f>
        <v>0</v>
      </c>
      <c r="AE461" s="1082"/>
      <c r="AF461" s="1205" t="e">
        <f>COUNTIFS(#REF!,"&gt;0",#REF!,"&gt;="&amp;B448,#REF!,"&lt;="&amp;EOMONTH(B448,0))</f>
        <v>#REF!</v>
      </c>
      <c r="AG461" s="1208" t="e">
        <f>SUMIFS(#REF!,#REF!,"&lt;&gt;0",#REF!,"&gt;="&amp;B448,#REF!,"&lt;="&amp;EOMONTH(B448,0))</f>
        <v>#REF!</v>
      </c>
      <c r="AH461" s="1208" t="e">
        <f>IF(AF461=0,0,AG461/AF461)</f>
        <v>#REF!</v>
      </c>
      <c r="AI461" s="1208" t="e">
        <f ca="1">MINIFS(#REF!,#REF!,"&lt;&gt;0",#REF!,"&gt;="&amp;B448,#REF!,"&lt;="&amp;EOMONTH(B448,0))</f>
        <v>#NAME?</v>
      </c>
      <c r="AJ461" s="1211" t="e">
        <f ca="1">MAXIFS(#REF!,#REF!,"&lt;&gt;0",#REF!,"&gt;="&amp;B448,#REF!,"&lt;="&amp;EOMONTH(B448,0))</f>
        <v>#NAME?</v>
      </c>
      <c r="AK461" s="1132"/>
      <c r="AL461" s="1205" t="e">
        <f>COUNTIFS(#REF!,"&gt;0",#REF!,"&gt;="&amp;B448,#REF!,"&lt;="&amp;EOMONTH(B448,0))</f>
        <v>#REF!</v>
      </c>
      <c r="AM461" s="1208" t="e">
        <f>SUMIFS(#REF!,#REF!,"&lt;&gt;0",#REF!,"&gt;="&amp;B448,#REF!,"&lt;="&amp;EOMONTH(B448,0))</f>
        <v>#REF!</v>
      </c>
      <c r="AN461" s="1208" t="e">
        <f>IF(AL461=0,0,AM461/AL461)</f>
        <v>#REF!</v>
      </c>
      <c r="AO461" s="1208" t="e">
        <f ca="1">MINIFS(#REF!,#REF!,"&lt;&gt;0",#REF!,"&gt;="&amp;B448,#REF!,"&lt;="&amp;EOMONTH(B448,0))</f>
        <v>#NAME?</v>
      </c>
      <c r="AP461" s="1218" t="e">
        <f ca="1">MAXIFS(#REF!,#REF!,"&lt;&gt;0",#REF!,"&gt;="&amp;B448,#REF!,"&lt;="&amp;EOMONTH(B448,0))</f>
        <v>#NAME?</v>
      </c>
      <c r="AQ461" s="1132"/>
      <c r="AR461" s="1220">
        <f>Parametres!$AM$18</f>
        <v>17000</v>
      </c>
      <c r="AS461" s="1205" t="e">
        <f>COUNTIFS(#REF!,"&gt;0",#REF!,"&gt;="&amp;B448,#REF!,"&lt;="&amp;EOMONTH(B448,0))</f>
        <v>#REF!</v>
      </c>
      <c r="AT461" s="1208" t="e">
        <f>SUMIFS(#REF!,#REF!,"&lt;&gt;0",#REF!,"&gt;="&amp;B448,#REF!,"&lt;="&amp;EOMONTH(B448,0))</f>
        <v>#REF!</v>
      </c>
      <c r="AU461" s="1208" t="e">
        <f>IF(AS461=0,0,AT461/AS461)</f>
        <v>#REF!</v>
      </c>
      <c r="AV461" s="1208" t="e">
        <f ca="1">MINIFS(#REF!,#REF!,"&lt;&gt;0",#REF!,"&gt;="&amp;B448,#REF!,"&lt;="&amp;EOMONTH(B448,0))</f>
        <v>#NAME?</v>
      </c>
      <c r="AW461" s="1222" t="e">
        <f ca="1">MAXIFS(#REF!,#REF!,"&lt;&gt;0",#REF!,"&gt;="&amp;B448,#REF!,"&lt;="&amp;EOMONTH(B448,0))</f>
        <v>#NAME?</v>
      </c>
      <c r="AX461" s="1223" t="e">
        <f>COUNTIFS(#REF!,"&gt;="&amp;AR461,#REF!,"&gt;="&amp;B448,#REF!,"&lt;="&amp;EOMONTH(B448,0))</f>
        <v>#REF!</v>
      </c>
      <c r="AY461" s="1224" t="e">
        <f>AX461/AS461</f>
        <v>#REF!</v>
      </c>
      <c r="AZ461" s="1403" t="e">
        <f t="shared" si="204"/>
        <v>#REF!</v>
      </c>
      <c r="BA461" s="2"/>
    </row>
    <row r="462" spans="1:53" ht="15.75" hidden="1" customHeight="1" outlineLevel="1">
      <c r="A462" s="1027"/>
      <c r="B462" s="1404"/>
      <c r="C462" s="1031" t="s">
        <v>36</v>
      </c>
      <c r="D462" s="1122">
        <f>Parametres!$D$19</f>
        <v>100000</v>
      </c>
      <c r="E462" s="1068" t="e">
        <f>COUNTIFS(#REF!,"&gt;0",#REF!,"&gt;="&amp;B448,#REF!,"&lt;="&amp;EOMONTH(B448,0))</f>
        <v>#REF!</v>
      </c>
      <c r="F462" s="1069" t="e">
        <f>SUMIFS(#REF!,#REF!,"&lt;&gt;0",#REF!,"&gt;="&amp;B448,#REF!,"&lt;="&amp;EOMONTH(B448,0))</f>
        <v>#REF!</v>
      </c>
      <c r="G462" s="1069" t="e">
        <f t="shared" si="202"/>
        <v>#REF!</v>
      </c>
      <c r="H462" s="1070" t="e">
        <f ca="1">MINIFS(#REF!,#REF!,"&lt;&gt;0",#REF!,"&gt;="&amp;B448,#REF!,"&lt;="&amp;EOMONTH(B448,0))</f>
        <v>#NAME?</v>
      </c>
      <c r="I462" s="1078" t="e">
        <f ca="1">MAXIFS(#REF!,#REF!,"&lt;&gt;0",#REF!,"&gt;="&amp;B448,#REF!,"&lt;="&amp;EOMONTH(B448,0))</f>
        <v>#NAME?</v>
      </c>
      <c r="J462" s="1072" t="s">
        <v>153</v>
      </c>
      <c r="K462" s="1072" t="s">
        <v>153</v>
      </c>
      <c r="L462" s="1115"/>
      <c r="M462" s="1082"/>
      <c r="N462" s="1144">
        <f>Parametres!$L$19</f>
        <v>100000</v>
      </c>
      <c r="O462" s="1077">
        <f>COUNTIFS('Degrémont Entrée'!$O$14:$O$379,"&gt;0",'Degrémont Entrée'!$A$14:$A$379,"&gt;="&amp;B448,'Degrémont Entrée'!$A$14:$A$379,"&lt;="&amp;EOMONTH(B448,0))</f>
        <v>27</v>
      </c>
      <c r="P462" s="1078">
        <f>SUMIFS('Degrémont Entrée'!$O$14:$O$379,'Degrémont Entrée'!$O$14:$O$379,"&lt;&gt;0",'Degrémont Entrée'!$A$14:$A$379,"&gt;="&amp;B448,'Degrémont Entrée'!$A$14:$A$379,"&lt;="&amp;EOMONTH(B448,0))</f>
        <v>14424</v>
      </c>
      <c r="Q462" s="1078">
        <f t="shared" si="207"/>
        <v>534.22222222222217</v>
      </c>
      <c r="R462" s="1173" t="e">
        <f ca="1">MINIFS('Degrémont Entrée'!$O$14:$O$379,'Degrémont Entrée'!$O$14:$O$379,"&lt;&gt;0",'Degrémont Entrée'!$A$14:$A$379,"&gt;="&amp;B448,'Degrémont Entrée'!$A$14:$A$379,"&lt;="&amp;EOMONTH(B448,0))</f>
        <v>#NAME?</v>
      </c>
      <c r="S462" s="1227" t="e">
        <f ca="1">MAXIFS('Degrémont Entrée'!$O$14:$O$379,'Degrémont Entrée'!$O$14:$O$379,"&lt;&gt;0",'Degrémont Entrée'!$A$14:$A$379,"&gt;="&amp;B448,'Degrémont Entrée'!$A$14:$A$379,"&lt;="&amp;EOMONTH(B448,0))</f>
        <v>#NAME?</v>
      </c>
      <c r="T462" s="1228" t="s">
        <v>153</v>
      </c>
      <c r="U462" s="1228" t="s">
        <v>153</v>
      </c>
      <c r="V462" s="1177"/>
      <c r="W462" s="1129"/>
      <c r="X462" s="1129"/>
      <c r="Y462" s="1069"/>
      <c r="Z462" s="1069"/>
      <c r="AA462" s="1069"/>
      <c r="AB462" s="1069"/>
      <c r="AC462" s="1130"/>
      <c r="AD462" s="1131"/>
      <c r="AE462" s="1082"/>
      <c r="AF462" s="1106"/>
      <c r="AG462" s="1106"/>
      <c r="AH462" s="1106"/>
      <c r="AI462" s="1106"/>
      <c r="AJ462" s="1106"/>
      <c r="AK462" s="1132"/>
      <c r="AL462" s="1106"/>
      <c r="AM462" s="1106"/>
      <c r="AN462" s="1106"/>
      <c r="AO462" s="1106"/>
      <c r="AP462" s="1119"/>
      <c r="AQ462" s="1132"/>
      <c r="AR462" s="1106"/>
      <c r="AS462" s="1106"/>
      <c r="AT462" s="1106"/>
      <c r="AU462" s="1106"/>
      <c r="AV462" s="1106"/>
      <c r="AW462" s="1119"/>
      <c r="AX462" s="1120"/>
      <c r="AY462" s="1094"/>
      <c r="AZ462" s="1403" t="e">
        <f t="shared" si="204"/>
        <v>#REF!</v>
      </c>
      <c r="BA462" s="2"/>
    </row>
    <row r="463" spans="1:53" ht="15.75" hidden="1" customHeight="1" outlineLevel="1">
      <c r="A463" s="1027"/>
      <c r="B463" s="1404"/>
      <c r="C463" s="1031" t="s">
        <v>32</v>
      </c>
      <c r="D463" s="1122">
        <f>Parametres!$D$20</f>
        <v>4800</v>
      </c>
      <c r="E463" s="1068" t="e">
        <f>COUNTIFS(#REF!,"&gt;0",#REF!,"&gt;="&amp;B448,#REF!,"&lt;="&amp;EOMONTH(B448,0))</f>
        <v>#REF!</v>
      </c>
      <c r="F463" s="1069" t="e">
        <f>SUMIFS(#REF!,#REF!,"&lt;&gt;0",#REF!,"&gt;="&amp;B448,#REF!,"&lt;="&amp;EOMONTH(B448,0))</f>
        <v>#REF!</v>
      </c>
      <c r="G463" s="1069" t="e">
        <f t="shared" si="202"/>
        <v>#REF!</v>
      </c>
      <c r="H463" s="1070" t="e">
        <f ca="1">MINIFS(#REF!,#REF!,"&lt;&gt;0",#REF!,"&gt;="&amp;B448,#REF!,"&lt;="&amp;EOMONTH(B448,0))</f>
        <v>#NAME?</v>
      </c>
      <c r="I463" s="1078" t="e">
        <f ca="1">MAXIFS(#REF!,#REF!,"&lt;&gt;0",#REF!,"&gt;="&amp;B448,#REF!,"&lt;="&amp;EOMONTH(B448,0))</f>
        <v>#NAME?</v>
      </c>
      <c r="J463" s="1072" t="e">
        <f>COUNTIFS(#REF!,"&gt;="&amp;D463,#REF!,"&gt;="&amp;B448,#REF!,"&lt;="&amp;EOMONTH(B448,0))</f>
        <v>#REF!</v>
      </c>
      <c r="K463" s="1341" t="e">
        <f t="shared" ref="K463:K464" si="208">J463/E463</f>
        <v>#REF!</v>
      </c>
      <c r="L463" s="1115"/>
      <c r="M463" s="1082"/>
      <c r="N463" s="1144">
        <f>Parametres!$L$20</f>
        <v>1000</v>
      </c>
      <c r="O463" s="1077">
        <f>COUNTIFS('Degrémont Entrée'!$B$14:$B$379,"&gt;0",'Degrémont Entrée'!$A$14:$A$379,"&gt;="&amp;B448,'Degrémont Entrée'!$A$14:$A$379,"&lt;="&amp;EOMONTH(B448,0))</f>
        <v>27</v>
      </c>
      <c r="P463" s="1078">
        <f>SUMIFS('Degrémont Entrée'!$B$14:$B$379,'Degrémont Entrée'!$B$14:$B$379,"&lt;&gt;0",'Degrémont Entrée'!$A$14:$A$379,"&gt;="&amp;B448,'Degrémont Entrée'!$A$14:$A$379,"&lt;="&amp;EOMONTH(B448,0))</f>
        <v>31866</v>
      </c>
      <c r="Q463" s="1078">
        <f t="shared" si="207"/>
        <v>1180.2222222222222</v>
      </c>
      <c r="R463" s="1173" t="e">
        <f ca="1">MINIFS('Degrémont Entrée'!$B$14:$B$379,'Degrémont Entrée'!$B$14:$B$379,"&lt;&gt;0",'Degrémont Entrée'!$A$14:$A$379,"&gt;="&amp;B448,'Degrémont Entrée'!$A$14:$A$379,"&lt;="&amp;EOMONTH(B448,0))</f>
        <v>#NAME?</v>
      </c>
      <c r="S463" s="1078" t="e">
        <f ca="1">MAXIFS('Degrémont Entrée'!$B$14:$B$379,'Degrémont Entrée'!$B$14:$B$379,"&lt;&gt;0",'Degrémont Entrée'!$A$14:$A$379,"&gt;="&amp;B448,'Degrémont Entrée'!$A$14:$A$379,"&lt;="&amp;EOMONTH(B448,0))</f>
        <v>#NAME?</v>
      </c>
      <c r="T463" s="1236">
        <f>COUNTIFS('Degrémont Entrée'!$B$14:$B$379,"&gt;="&amp;N463,'Degrémont Entrée'!$A$14:$A$379,"&gt;="&amp;B448,'Degrémont Entrée'!$A$14:$A$379,"&lt;="&amp;EOMONTH(B448,0))</f>
        <v>20</v>
      </c>
      <c r="U463" s="1081">
        <f>T463/O463</f>
        <v>0.7407407407407407</v>
      </c>
      <c r="V463" s="1177"/>
      <c r="W463" s="1083">
        <f>Parametres!$T$20</f>
        <v>1000</v>
      </c>
      <c r="X463" s="1142">
        <f>COUNTIFS('Degrémont sortie'!$B$14:$B$379,"&gt;0",'Degrémont sortie'!$A$14:$A$379,"&gt;="&amp;B448,'Degrémont sortie'!$A$14:$A$379,"&lt;="&amp;EOMONTH(B448,0))</f>
        <v>27</v>
      </c>
      <c r="Y463" s="1085">
        <f>SUMIFS('Degrémont sortie'!$B$14:$B$379,'Degrémont sortie'!$B$14:$B$379,"&lt;&gt;0",'Degrémont sortie'!$A$14:$A$379,"&gt;="&amp;B448,'Degrémont sortie'!$A$14:$A$379,"&lt;="&amp;EOMONTH(B448,0))</f>
        <v>31866</v>
      </c>
      <c r="Z463" s="1069">
        <f>IF(X463=0,0,Y463/X463)</f>
        <v>1180.2222222222222</v>
      </c>
      <c r="AA463" s="1069" t="e">
        <f ca="1">MINIFS('Degrémont sortie'!$B$14:$B$379,'Degrémont sortie'!$B$14:$B$379,"&lt;&gt;0",'Degrémont sortie'!$A$14:$A$379,"&gt;="&amp;B448,'Degrémont sortie'!$A$14:$A$379,"&lt;="&amp;EOMONTH(B448,0))</f>
        <v>#NAME?</v>
      </c>
      <c r="AB463" s="1069" t="e">
        <f ca="1">MAXIFS('Degrémont sortie'!$B$14:$B$379,'Degrémont sortie'!$B$14:$B$379,"&lt;&gt;0",'Degrémont sortie'!$A$14:$A$379,"&gt;="&amp;B448,'Degrémont sortie'!$A$14:$A$379,"&lt;="&amp;EOMONTH(B448,0))</f>
        <v>#NAME?</v>
      </c>
      <c r="AC463" s="1142">
        <f>COUNTIFS('Degrémont sortie'!$B$14:$B$379,"&gt;="&amp;W463,'Degrémont sortie'!$A$14:$A$379,"&gt;="&amp;B448,'Degrémont sortie'!$A$14:$A$379,"&lt;="&amp;EOMONTH(B448,0))</f>
        <v>20</v>
      </c>
      <c r="AD463" s="1087">
        <f>AC463/X463</f>
        <v>0.7407407407407407</v>
      </c>
      <c r="AE463" s="1082"/>
      <c r="AF463" s="1205" t="e">
        <f>COUNTIFS(#REF!,"&gt;0",#REF!,"&gt;="&amp;B448,#REF!,"&lt;="&amp;EOMONTH(B448,0))</f>
        <v>#REF!</v>
      </c>
      <c r="AG463" s="1208" t="e">
        <f>SUMIFS(#REF!,#REF!,"&lt;&gt;0",#REF!,"&gt;="&amp;B448,#REF!,"&lt;="&amp;EOMONTH(B448,0))</f>
        <v>#REF!</v>
      </c>
      <c r="AH463" s="1208" t="e">
        <f>IF(AF463=0,0,AG463/AF463)</f>
        <v>#REF!</v>
      </c>
      <c r="AI463" s="1208" t="e">
        <f ca="1">MINIFS(#REF!,#REF!,"&lt;&gt;0",#REF!,"&gt;="&amp;B448,#REF!,"&lt;="&amp;EOMONTH(B448,0))</f>
        <v>#NAME?</v>
      </c>
      <c r="AJ463" s="1208" t="e">
        <f ca="1">MAXIFS(#REF!,#REF!,"&lt;&gt;0",#REF!,"&gt;="&amp;B448,#REF!,"&lt;="&amp;EOMONTH(B448,0))</f>
        <v>#NAME?</v>
      </c>
      <c r="AK463" s="1132"/>
      <c r="AL463" s="1106"/>
      <c r="AM463" s="1106"/>
      <c r="AN463" s="1106"/>
      <c r="AO463" s="1106"/>
      <c r="AP463" s="1119"/>
      <c r="AQ463" s="1132"/>
      <c r="AR463" s="1220">
        <f>Parametres!$AM$20</f>
        <v>1000000</v>
      </c>
      <c r="AS463" s="1205" t="e">
        <f>COUNTIFS(#REF!,"&gt;0",#REF!,"&gt;="&amp;B448,#REF!,"&lt;="&amp;EOMONTH(B448,0))</f>
        <v>#REF!</v>
      </c>
      <c r="AT463" s="1208" t="e">
        <f>SUMIFS(#REF!,#REF!,"&lt;&gt;0",#REF!,"&gt;="&amp;B448,#REF!,"&lt;="&amp;EOMONTH(B448,0))</f>
        <v>#REF!</v>
      </c>
      <c r="AU463" s="1208" t="e">
        <f>IF(AS463=0,0,AT463/AS463)</f>
        <v>#REF!</v>
      </c>
      <c r="AV463" s="1208" t="e">
        <f ca="1">MINIFS(#REF!,#REF!,"&lt;&gt;0",#REF!,"&gt;="&amp;B448,#REF!,"&lt;="&amp;EOMONTH(B448,0))</f>
        <v>#NAME?</v>
      </c>
      <c r="AW463" s="1222" t="e">
        <f ca="1">MAXIFS(#REF!,#REF!,"&lt;&gt;0",#REF!,"&gt;="&amp;B448,#REF!,"&lt;="&amp;EOMONTH(B448,0))</f>
        <v>#NAME?</v>
      </c>
      <c r="AX463" s="1243" t="s">
        <v>153</v>
      </c>
      <c r="AY463" s="1224" t="e">
        <f>AX463/AS463</f>
        <v>#VALUE!</v>
      </c>
      <c r="AZ463" s="1403" t="e">
        <f t="shared" si="204"/>
        <v>#REF!</v>
      </c>
      <c r="BA463" s="2"/>
    </row>
    <row r="464" spans="1:53" ht="15.75" hidden="1" customHeight="1" outlineLevel="1">
      <c r="A464" s="1027"/>
      <c r="B464" s="1404"/>
      <c r="C464" s="1402" t="s">
        <v>21</v>
      </c>
      <c r="D464" s="1122">
        <f>Parametres!$D$22</f>
        <v>2</v>
      </c>
      <c r="E464" s="1068" t="e">
        <f>COUNTIFS(#REF!,"&gt;0",#REF!,"&gt;="&amp;B448,#REF!,"&lt;="&amp;EOMONTH(B448,0))</f>
        <v>#REF!</v>
      </c>
      <c r="F464" s="1069" t="e">
        <f>SUMIFS(#REF!,#REF!,"&lt;&gt;0",#REF!,"&gt;="&amp;B448,#REF!,"&lt;="&amp;EOMONTH(B448,0))</f>
        <v>#REF!</v>
      </c>
      <c r="G464" s="1069" t="e">
        <f t="shared" si="202"/>
        <v>#REF!</v>
      </c>
      <c r="H464" s="1070" t="e">
        <f ca="1">MINIFS(#REF!,#REF!,"&lt;&gt;0",#REF!,"&gt;="&amp;B448,#REF!,"&lt;="&amp;EOMONTH(B448,0))</f>
        <v>#NAME?</v>
      </c>
      <c r="I464" s="1078" t="e">
        <f ca="1">MAXIFS(#REF!,#REF!,"&lt;&gt;0",#REF!,"&gt;="&amp;B448,#REF!,"&lt;="&amp;EOMONTH(B448,0))</f>
        <v>#NAME?</v>
      </c>
      <c r="J464" s="1072" t="e">
        <f>COUNTIFS(#REF!,"&gt;="&amp;D464,#REF!,"&gt;="&amp;B448,#REF!,"&lt;="&amp;EOMONTH(B448,0))</f>
        <v>#REF!</v>
      </c>
      <c r="K464" s="1341" t="e">
        <f t="shared" si="208"/>
        <v>#REF!</v>
      </c>
      <c r="L464" s="1115"/>
      <c r="M464" s="1082"/>
      <c r="N464" s="1171"/>
      <c r="O464" s="1171"/>
      <c r="P464" s="1173"/>
      <c r="Q464" s="1173"/>
      <c r="R464" s="1173"/>
      <c r="S464" s="1173"/>
      <c r="T464" s="1175"/>
      <c r="U464" s="1175"/>
      <c r="V464" s="1082"/>
      <c r="W464" s="1106"/>
      <c r="X464" s="1106"/>
      <c r="Y464" s="1069"/>
      <c r="Z464" s="1069"/>
      <c r="AA464" s="1069"/>
      <c r="AB464" s="1069"/>
      <c r="AC464" s="1248"/>
      <c r="AD464" s="1249"/>
      <c r="AE464" s="1082"/>
      <c r="AF464" s="1106"/>
      <c r="AG464" s="1106"/>
      <c r="AH464" s="1106"/>
      <c r="AI464" s="1106"/>
      <c r="AJ464" s="1106"/>
      <c r="AK464" s="1132"/>
      <c r="AL464" s="1106"/>
      <c r="AM464" s="1106"/>
      <c r="AN464" s="1106"/>
      <c r="AO464" s="1106"/>
      <c r="AP464" s="1119"/>
      <c r="AQ464" s="1132"/>
      <c r="AR464" s="1106"/>
      <c r="AS464" s="1106"/>
      <c r="AT464" s="1106"/>
      <c r="AU464" s="1106"/>
      <c r="AV464" s="1106"/>
      <c r="AW464" s="1119"/>
      <c r="AX464" s="1120"/>
      <c r="AY464" s="1094"/>
      <c r="AZ464" s="1403" t="e">
        <f t="shared" si="204"/>
        <v>#REF!</v>
      </c>
      <c r="BA464" s="2"/>
    </row>
    <row r="465" spans="1:53" ht="15.75" hidden="1" customHeight="1" outlineLevel="1">
      <c r="A465" s="1027"/>
      <c r="B465" s="1404"/>
      <c r="C465" s="1402" t="s">
        <v>22</v>
      </c>
      <c r="D465" s="1122">
        <f>Parametres!$D$23</f>
        <v>1000000</v>
      </c>
      <c r="E465" s="1068" t="e">
        <f>COUNTIFS(#REF!,"&gt;0",#REF!,"&gt;="&amp;B448,#REF!,"&lt;="&amp;EOMONTH(B448,0))</f>
        <v>#REF!</v>
      </c>
      <c r="F465" s="1069" t="e">
        <f>SUMIFS(#REF!,#REF!,"&lt;&gt;0",#REF!,"&gt;="&amp;B448,#REF!,"&lt;="&amp;EOMONTH(B448,0))</f>
        <v>#REF!</v>
      </c>
      <c r="G465" s="1069" t="e">
        <f t="shared" si="202"/>
        <v>#REF!</v>
      </c>
      <c r="H465" s="1070" t="e">
        <f ca="1">MINIFS(#REF!,#REF!,"&lt;&gt;0",#REF!,"&gt;="&amp;B448,#REF!,"&lt;="&amp;EOMONTH(B448,0))</f>
        <v>#NAME?</v>
      </c>
      <c r="I465" s="1078" t="e">
        <f ca="1">MAXIFS(#REF!,#REF!,"&lt;&gt;0",#REF!,"&gt;="&amp;B448,#REF!,"&lt;="&amp;EOMONTH(B448,0))</f>
        <v>#NAME?</v>
      </c>
      <c r="J465" s="1072" t="s">
        <v>153</v>
      </c>
      <c r="K465" s="1072" t="s">
        <v>153</v>
      </c>
      <c r="L465" s="1115"/>
      <c r="M465" s="1082"/>
      <c r="N465" s="1171"/>
      <c r="O465" s="1171"/>
      <c r="P465" s="1173"/>
      <c r="Q465" s="1173"/>
      <c r="R465" s="1173"/>
      <c r="S465" s="1173"/>
      <c r="T465" s="1175"/>
      <c r="U465" s="1175"/>
      <c r="V465" s="1082"/>
      <c r="W465" s="1106"/>
      <c r="X465" s="1106"/>
      <c r="Y465" s="1069"/>
      <c r="Z465" s="1069"/>
      <c r="AA465" s="1069"/>
      <c r="AB465" s="1069"/>
      <c r="AC465" s="1248"/>
      <c r="AD465" s="1249"/>
      <c r="AE465" s="1082"/>
      <c r="AF465" s="1106"/>
      <c r="AG465" s="1106"/>
      <c r="AH465" s="1106"/>
      <c r="AI465" s="1106"/>
      <c r="AJ465" s="1106"/>
      <c r="AK465" s="1132"/>
      <c r="AL465" s="1106"/>
      <c r="AM465" s="1106"/>
      <c r="AN465" s="1106"/>
      <c r="AO465" s="1106"/>
      <c r="AP465" s="1119"/>
      <c r="AQ465" s="1132"/>
      <c r="AR465" s="1106"/>
      <c r="AS465" s="1106"/>
      <c r="AT465" s="1106"/>
      <c r="AU465" s="1106"/>
      <c r="AV465" s="1106"/>
      <c r="AW465" s="1119"/>
      <c r="AX465" s="1120"/>
      <c r="AY465" s="1094"/>
      <c r="AZ465" s="1403" t="e">
        <f t="shared" si="204"/>
        <v>#REF!</v>
      </c>
      <c r="BA465" s="2"/>
    </row>
    <row r="466" spans="1:53" ht="15.75" hidden="1" customHeight="1" outlineLevel="1">
      <c r="A466" s="1027"/>
      <c r="B466" s="1404"/>
      <c r="C466" s="1031" t="s">
        <v>44</v>
      </c>
      <c r="D466" s="1122">
        <f>Parametres!$D$24</f>
        <v>5</v>
      </c>
      <c r="E466" s="1068" t="e">
        <f>COUNTIFS(#REF!,"&gt;0",#REF!,"&gt;="&amp;B448,#REF!,"&lt;="&amp;EOMONTH(B448,0))</f>
        <v>#REF!</v>
      </c>
      <c r="F466" s="1069" t="e">
        <f>SUMIFS(#REF!,#REF!,"&lt;&gt;0",#REF!,"&gt;="&amp;B448,#REF!,"&lt;="&amp;EOMONTH(B448,0))</f>
        <v>#REF!</v>
      </c>
      <c r="G466" s="1069" t="e">
        <f t="shared" si="202"/>
        <v>#REF!</v>
      </c>
      <c r="H466" s="1070" t="e">
        <f ca="1">MINIFS(#REF!,#REF!,"&lt;&gt;0",#REF!,"&gt;="&amp;B448,#REF!,"&lt;="&amp;EOMONTH(B448,0))</f>
        <v>#NAME?</v>
      </c>
      <c r="I466" s="1078" t="e">
        <f ca="1">MAXIFS(#REF!,#REF!,"&lt;&gt;0",#REF!,"&gt;="&amp;B448,#REF!,"&lt;="&amp;EOMONTH(B448,0))</f>
        <v>#NAME?</v>
      </c>
      <c r="J466" s="1072" t="e">
        <f>COUNTIFS(#REF!,"&gt;="&amp;D466,#REF!,"&gt;="&amp;B448,#REF!,"&lt;="&amp;EOMONTH(B448,0))</f>
        <v>#REF!</v>
      </c>
      <c r="K466" s="1341" t="e">
        <f t="shared" ref="K466:K474" si="209">J466/E466</f>
        <v>#REF!</v>
      </c>
      <c r="L466" s="1115"/>
      <c r="M466" s="1082"/>
      <c r="N466" s="1144">
        <f>Parametres!$L$24</f>
        <v>60</v>
      </c>
      <c r="O466" s="1077">
        <f>COUNTIFS('Degrémont Entrée'!$AP$14:$AP$379,"&gt;0",'Degrémont Entrée'!$A$14:$A$379,"&gt;="&amp;B448,'Degrémont Entrée'!$A$14:$A$379,"&lt;="&amp;EOMONTH(B448,0))</f>
        <v>5</v>
      </c>
      <c r="P466" s="1078">
        <f>SUMIFS('Degrémont Entrée'!$AP$14:$AP$379,'Degrémont Entrée'!$AP$14:$AP$379,"&lt;&gt;0",'Degrémont Entrée'!$A$14:$A$379,"&gt;="&amp;B448,'Degrémont Entrée'!$A$14:$A$379,"&lt;="&amp;EOMONTH(B448,0))</f>
        <v>329.43</v>
      </c>
      <c r="Q466" s="1078">
        <f>IF(O466=0,0,P466/O466)</f>
        <v>65.885999999999996</v>
      </c>
      <c r="R466" s="1078" t="e">
        <f ca="1">MINIFS('Degrémont Entrée'!$AP$14:$AP$379,'Degrémont Entrée'!$AP$14:$AP$379,"&lt;&gt;0",'Degrémont Entrée'!$A$14:$A$379,"&gt;="&amp;B448,'Degrémont Entrée'!$A$14:$A$379,"&lt;="&amp;EOMONTH(B448,0))</f>
        <v>#NAME?</v>
      </c>
      <c r="S466" s="1078" t="e">
        <f ca="1">MAXIFS('Degrémont Entrée'!$AP$14:$AP$379,'Degrémont Entrée'!$AP$14:$AP$379,"&lt;&gt;0",'Degrémont Entrée'!$A$14:$A$379,"&gt;="&amp;B448,'Degrémont Entrée'!$A$14:$A$379,"&lt;="&amp;EOMONTH(B448,0))</f>
        <v>#NAME?</v>
      </c>
      <c r="T466" s="1080">
        <f>COUNTIFS('Degrémont Entrée'!$AP$14:$AP$379,"&gt;="&amp;N466,'Degrémont Entrée'!$A$14:$A$379,"&gt;="&amp;B448,'Degrémont Entrée'!$A$14:$A$379,"&lt;="&amp;EOMONTH(B448,0))</f>
        <v>3</v>
      </c>
      <c r="U466" s="1081">
        <f>T466/O466</f>
        <v>0.6</v>
      </c>
      <c r="V466" s="1082"/>
      <c r="W466" s="1083">
        <f>Parametres!$T$24</f>
        <v>1.6</v>
      </c>
      <c r="X466" s="1142">
        <f>COUNTIFS('Degrémont sortie'!$AJ$14:$AJ$379,"&gt;0",'Degrémont sortie'!$A$14:$A$379,"&gt;="&amp;B448,'Degrémont sortie'!$A$14:$A$379,"&lt;="&amp;EOMONTH(B448,0))</f>
        <v>5</v>
      </c>
      <c r="Y466" s="1085">
        <f>SUMIFS('Degrémont sortie'!$AJ$14:$AJ$379,'Degrémont sortie'!$AJ$14:$AJ$379,"&lt;&gt;0",'Degrémont sortie'!$A$14:$A$379,"&gt;="&amp;B448,'Degrémont sortie'!$A$14:$A$379,"&lt;="&amp;EOMONTH(B448,0))</f>
        <v>1.8900000000000001</v>
      </c>
      <c r="Z466" s="1069">
        <f>IF(X466=0,0,Y466/X466)</f>
        <v>0.378</v>
      </c>
      <c r="AA466" s="1069" t="e">
        <f ca="1">MINIFS('Degrémont sortie'!$AJ$14:$AJ$379,'Degrémont sortie'!$AJ$14:$AJ$379,"&lt;&gt;0",'Degrémont sortie'!$A$14:$A$379,"&gt;="&amp;B448,'Degrémont sortie'!$A$14:$A$379,"&lt;="&amp;EOMONTH(B448,0))</f>
        <v>#NAME?</v>
      </c>
      <c r="AB466" s="1069" t="e">
        <f ca="1">MAXIFS('Degrémont sortie'!$AJ$14:$AJ$379,'Degrémont sortie'!$AJ$14:$AJ$379,"&lt;&gt;0",'Degrémont sortie'!$A$14:$A$379,"&gt;="&amp;B448,'Degrémont sortie'!$A$14:$A$379,"&lt;="&amp;EOMONTH(B448,0))</f>
        <v>#NAME?</v>
      </c>
      <c r="AC466" s="1142">
        <f>COUNTIFS('Degrémont sortie'!$AJ$14:$AJ$379,"&gt;="&amp;W466,'Degrémont sortie'!$A$14:$A$379,"&gt;="&amp;B448,'Degrémont sortie'!$A$14:$A$379,"&lt;="&amp;EOMONTH(B448,0))</f>
        <v>0</v>
      </c>
      <c r="AD466" s="1087">
        <f>AC466/X466</f>
        <v>0</v>
      </c>
      <c r="AE466" s="1082"/>
      <c r="AF466" s="1106"/>
      <c r="AG466" s="1106"/>
      <c r="AH466" s="1106"/>
      <c r="AI466" s="1106"/>
      <c r="AJ466" s="1106"/>
      <c r="AK466" s="1132"/>
      <c r="AL466" s="1106"/>
      <c r="AM466" s="1106"/>
      <c r="AN466" s="1106"/>
      <c r="AO466" s="1106"/>
      <c r="AP466" s="1119"/>
      <c r="AQ466" s="1132"/>
      <c r="AR466" s="1106"/>
      <c r="AS466" s="1106"/>
      <c r="AT466" s="1106"/>
      <c r="AU466" s="1106"/>
      <c r="AV466" s="1106"/>
      <c r="AW466" s="1119"/>
      <c r="AX466" s="1120"/>
      <c r="AY466" s="1094"/>
      <c r="AZ466" s="1403" t="e">
        <f t="shared" si="204"/>
        <v>#REF!</v>
      </c>
      <c r="BA466" s="2"/>
    </row>
    <row r="467" spans="1:53" ht="15.75" hidden="1" customHeight="1" outlineLevel="1">
      <c r="A467" s="1027"/>
      <c r="B467" s="1404"/>
      <c r="C467" s="1402" t="s">
        <v>169</v>
      </c>
      <c r="D467" s="1122">
        <f>Parametres!$D$25</f>
        <v>4</v>
      </c>
      <c r="E467" s="1068" t="e">
        <f>COUNTIFS(#REF!,"&gt;0",#REF!,"&gt;="&amp;B448,#REF!,"&lt;="&amp;EOMONTH(B448,0))</f>
        <v>#REF!</v>
      </c>
      <c r="F467" s="1069" t="e">
        <f>SUMIFS(#REF!,#REF!,"&lt;&gt;0",#REF!,"&gt;="&amp;B448,#REF!,"&lt;="&amp;EOMONTH(B448,0))</f>
        <v>#REF!</v>
      </c>
      <c r="G467" s="1069" t="e">
        <f t="shared" si="202"/>
        <v>#REF!</v>
      </c>
      <c r="H467" s="1070" t="e">
        <f ca="1">MINIFS(#REF!,#REF!,"&lt;&gt;0",#REF!,"&gt;="&amp;B448,#REF!,"&lt;="&amp;EOMONTH(B448,0))</f>
        <v>#NAME?</v>
      </c>
      <c r="I467" s="1078" t="e">
        <f ca="1">MAXIFS(#REF!,#REF!,"&lt;&gt;0",#REF!,"&gt;="&amp;B448,#REF!,"&lt;="&amp;EOMONTH(B448,0))</f>
        <v>#NAME?</v>
      </c>
      <c r="J467" s="1072" t="e">
        <f>COUNTIFS(#REF!,"&gt;="&amp;D467,#REF!,"&gt;="&amp;B448,#REF!,"&lt;="&amp;EOMONTH(B448,0))</f>
        <v>#REF!</v>
      </c>
      <c r="K467" s="1341" t="e">
        <f t="shared" si="209"/>
        <v>#REF!</v>
      </c>
      <c r="L467" s="1115"/>
      <c r="M467" s="1082"/>
      <c r="N467" s="1263"/>
      <c r="O467" s="1263"/>
      <c r="P467" s="1078"/>
      <c r="Q467" s="1078"/>
      <c r="R467" s="1078"/>
      <c r="S467" s="1078"/>
      <c r="T467" s="1264"/>
      <c r="U467" s="1264"/>
      <c r="V467" s="1082"/>
      <c r="W467" s="1106"/>
      <c r="X467" s="1106"/>
      <c r="Y467" s="1069"/>
      <c r="Z467" s="1069"/>
      <c r="AA467" s="1069"/>
      <c r="AB467" s="1069"/>
      <c r="AC467" s="1248"/>
      <c r="AD467" s="1249"/>
      <c r="AE467" s="1082"/>
      <c r="AF467" s="1106"/>
      <c r="AG467" s="1106"/>
      <c r="AH467" s="1106"/>
      <c r="AI467" s="1106"/>
      <c r="AJ467" s="1106"/>
      <c r="AK467" s="1132"/>
      <c r="AL467" s="1106"/>
      <c r="AM467" s="1106"/>
      <c r="AN467" s="1106"/>
      <c r="AO467" s="1106"/>
      <c r="AP467" s="1138"/>
      <c r="AQ467" s="1132"/>
      <c r="AR467" s="1106"/>
      <c r="AS467" s="1106"/>
      <c r="AT467" s="1106"/>
      <c r="AU467" s="1106"/>
      <c r="AV467" s="1106"/>
      <c r="AW467" s="1119"/>
      <c r="AX467" s="1120"/>
      <c r="AY467" s="1094"/>
      <c r="AZ467" s="1403" t="e">
        <f t="shared" si="204"/>
        <v>#REF!</v>
      </c>
      <c r="BA467" s="2"/>
    </row>
    <row r="468" spans="1:53" ht="15.75" hidden="1" customHeight="1" outlineLevel="1">
      <c r="A468" s="1027"/>
      <c r="B468" s="1404"/>
      <c r="C468" s="1031" t="s">
        <v>165</v>
      </c>
      <c r="D468" s="1122">
        <f>Parametres!$D$26</f>
        <v>10</v>
      </c>
      <c r="E468" s="1068" t="e">
        <f>COUNTIFS(#REF!,"&gt;0",#REF!,"&gt;="&amp;B448,#REF!,"&lt;="&amp;EOMONTH(B448,0))</f>
        <v>#REF!</v>
      </c>
      <c r="F468" s="1069" t="e">
        <f>SUMIFS(#REF!,#REF!,"&lt;&gt;0",#REF!,"&gt;="&amp;B448,#REF!,"&lt;="&amp;EOMONTH(B448,0))</f>
        <v>#REF!</v>
      </c>
      <c r="G468" s="1069" t="e">
        <f t="shared" si="202"/>
        <v>#REF!</v>
      </c>
      <c r="H468" s="1070" t="e">
        <f ca="1">MINIFS(#REF!,#REF!,"&lt;&gt;0",#REF!,"&gt;="&amp;B448,#REF!,"&lt;="&amp;EOMONTH(B448,0))</f>
        <v>#NAME?</v>
      </c>
      <c r="I468" s="1078" t="e">
        <f ca="1">MAXIFS(#REF!,#REF!,"&lt;&gt;0",#REF!,"&gt;="&amp;B448,#REF!,"&lt;="&amp;EOMONTH(B448,0))</f>
        <v>#NAME?</v>
      </c>
      <c r="J468" s="1114" t="e">
        <f>COUNTIFS(#REF!,"&gt;="&amp;D468,#REF!,"&gt;="&amp;B448,#REF!,"&lt;="&amp;EOMONTH(B448,0))</f>
        <v>#REF!</v>
      </c>
      <c r="K468" s="1341" t="e">
        <f t="shared" si="209"/>
        <v>#REF!</v>
      </c>
      <c r="L468" s="1115"/>
      <c r="M468" s="1075"/>
      <c r="N468" s="1265"/>
      <c r="O468" s="1265"/>
      <c r="P468" s="1266"/>
      <c r="Q468" s="1266"/>
      <c r="R468" s="1266"/>
      <c r="S468" s="1266"/>
      <c r="T468" s="1267"/>
      <c r="U468" s="1267"/>
      <c r="V468" s="1075"/>
      <c r="W468" s="1106"/>
      <c r="X468" s="1106"/>
      <c r="Y468" s="1069"/>
      <c r="Z468" s="1069"/>
      <c r="AA468" s="1069"/>
      <c r="AB468" s="1069"/>
      <c r="AC468" s="1248"/>
      <c r="AD468" s="1249"/>
      <c r="AE468" s="1082"/>
      <c r="AF468" s="1106"/>
      <c r="AG468" s="1106"/>
      <c r="AH468" s="1106"/>
      <c r="AI468" s="1106"/>
      <c r="AJ468" s="1106"/>
      <c r="AK468" s="1132"/>
      <c r="AL468" s="1106"/>
      <c r="AM468" s="1106"/>
      <c r="AN468" s="1106"/>
      <c r="AO468" s="1106"/>
      <c r="AP468" s="1138"/>
      <c r="AQ468" s="1132"/>
      <c r="AR468" s="1106"/>
      <c r="AS468" s="1106"/>
      <c r="AT468" s="1106"/>
      <c r="AU468" s="1106"/>
      <c r="AV468" s="1106"/>
      <c r="AW468" s="1119"/>
      <c r="AX468" s="1120"/>
      <c r="AY468" s="1094"/>
      <c r="AZ468" s="1403" t="e">
        <f t="shared" si="204"/>
        <v>#REF!</v>
      </c>
      <c r="BA468" s="2"/>
    </row>
    <row r="469" spans="1:53" ht="15.75" hidden="1" customHeight="1" outlineLevel="1">
      <c r="A469" s="1027"/>
      <c r="B469" s="1404"/>
      <c r="C469" s="1402" t="s">
        <v>23</v>
      </c>
      <c r="D469" s="1122">
        <f>Parametres!$D$27</f>
        <v>0.05</v>
      </c>
      <c r="E469" s="1068" t="e">
        <f>COUNTIFS(#REF!,"&gt;0",#REF!,"&gt;="&amp;B448,#REF!,"&lt;="&amp;EOMONTH(B448,0))</f>
        <v>#REF!</v>
      </c>
      <c r="F469" s="1069" t="e">
        <f>SUMIFS(#REF!,#REF!,"&lt;&gt;0",#REF!,"&gt;="&amp;B448,#REF!,"&lt;="&amp;EOMONTH(B448,0))</f>
        <v>#REF!</v>
      </c>
      <c r="G469" s="1069" t="e">
        <f t="shared" si="202"/>
        <v>#REF!</v>
      </c>
      <c r="H469" s="1070" t="e">
        <f ca="1">MINIFS(#REF!,#REF!,"&lt;&gt;0",#REF!,"&gt;="&amp;B448,#REF!,"&lt;="&amp;EOMONTH(B448,0))</f>
        <v>#NAME?</v>
      </c>
      <c r="I469" s="1078" t="e">
        <f ca="1">MAXIFS(#REF!,#REF!,"&lt;&gt;0",#REF!,"&gt;="&amp;B448,#REF!,"&lt;="&amp;EOMONTH(B448,0))</f>
        <v>#NAME?</v>
      </c>
      <c r="J469" s="1072" t="e">
        <f>COUNTIFS(#REF!,"&gt;="&amp;D469,#REF!,"&gt;="&amp;B448,#REF!,"&lt;="&amp;EOMONTH(B448,0))</f>
        <v>#REF!</v>
      </c>
      <c r="K469" s="1341" t="e">
        <f t="shared" si="209"/>
        <v>#REF!</v>
      </c>
      <c r="L469" s="1115"/>
      <c r="M469" s="1082"/>
      <c r="N469" s="1129"/>
      <c r="O469" s="1129"/>
      <c r="P469" s="1069"/>
      <c r="Q469" s="1069"/>
      <c r="R469" s="1069"/>
      <c r="S469" s="1069"/>
      <c r="T469" s="1143"/>
      <c r="U469" s="1143"/>
      <c r="V469" s="1132"/>
      <c r="W469" s="1106"/>
      <c r="X469" s="1106"/>
      <c r="Y469" s="1069"/>
      <c r="Z469" s="1069"/>
      <c r="AA469" s="1069"/>
      <c r="AB469" s="1069"/>
      <c r="AC469" s="1248"/>
      <c r="AD469" s="1249"/>
      <c r="AE469" s="1132"/>
      <c r="AF469" s="1106"/>
      <c r="AG469" s="1106"/>
      <c r="AH469" s="1106"/>
      <c r="AI469" s="1106"/>
      <c r="AJ469" s="1106"/>
      <c r="AK469" s="1132"/>
      <c r="AL469" s="1106"/>
      <c r="AM469" s="1106"/>
      <c r="AN469" s="1106"/>
      <c r="AO469" s="1106"/>
      <c r="AP469" s="1138"/>
      <c r="AQ469" s="1132"/>
      <c r="AR469" s="1106"/>
      <c r="AS469" s="1106"/>
      <c r="AT469" s="1106"/>
      <c r="AU469" s="1106"/>
      <c r="AV469" s="1106"/>
      <c r="AW469" s="1119"/>
      <c r="AX469" s="1120"/>
      <c r="AY469" s="1094"/>
      <c r="AZ469" s="1403" t="e">
        <f t="shared" si="204"/>
        <v>#REF!</v>
      </c>
      <c r="BA469" s="2"/>
    </row>
    <row r="470" spans="1:53" ht="15.75" hidden="1" customHeight="1" outlineLevel="1">
      <c r="A470" s="1027"/>
      <c r="B470" s="1404"/>
      <c r="C470" s="1031" t="s">
        <v>201</v>
      </c>
      <c r="D470" s="1122">
        <f>Parametres!$D$28</f>
        <v>8</v>
      </c>
      <c r="E470" s="1068" t="e">
        <f>COUNTIFS(#REF!,"&gt;0",#REF!,"&gt;="&amp;B448,#REF!,"&lt;="&amp;EOMONTH(B448,0))</f>
        <v>#REF!</v>
      </c>
      <c r="F470" s="1069" t="e">
        <f>SUMIFS(#REF!,#REF!,"&lt;&gt;0",#REF!,"&gt;="&amp;B448,#REF!,"&lt;="&amp;EOMONTH(B448,0))</f>
        <v>#REF!</v>
      </c>
      <c r="G470" s="1069" t="e">
        <f t="shared" si="202"/>
        <v>#REF!</v>
      </c>
      <c r="H470" s="1070" t="e">
        <f ca="1">MINIFS(#REF!,#REF!,"&lt;&gt;0",#REF!,"&gt;="&amp;B448,#REF!,"&lt;="&amp;EOMONTH(B448,0))</f>
        <v>#NAME?</v>
      </c>
      <c r="I470" s="1078" t="e">
        <f ca="1">MAXIFS(#REF!,#REF!,"&lt;&gt;0",#REF!,"&gt;="&amp;B448,#REF!,"&lt;="&amp;EOMONTH(B448,0))</f>
        <v>#NAME?</v>
      </c>
      <c r="J470" s="1114" t="e">
        <f>COUNTIFS(#REF!,"&gt;="&amp;D470,#REF!,"&gt;="&amp;B448,#REF!,"&lt;="&amp;EOMONTH(B448,0))</f>
        <v>#REF!</v>
      </c>
      <c r="K470" s="1341" t="e">
        <f t="shared" si="209"/>
        <v>#REF!</v>
      </c>
      <c r="L470" s="1115"/>
      <c r="M470" s="1082"/>
      <c r="N470" s="1171"/>
      <c r="O470" s="1171"/>
      <c r="P470" s="1173"/>
      <c r="Q470" s="1173"/>
      <c r="R470" s="1173"/>
      <c r="S470" s="1173"/>
      <c r="T470" s="1175"/>
      <c r="U470" s="1175"/>
      <c r="V470" s="1177"/>
      <c r="W470" s="1106"/>
      <c r="X470" s="1106"/>
      <c r="Y470" s="1069"/>
      <c r="Z470" s="1069"/>
      <c r="AA470" s="1069"/>
      <c r="AB470" s="1069"/>
      <c r="AC470" s="1248"/>
      <c r="AD470" s="1249"/>
      <c r="AE470" s="1082"/>
      <c r="AF470" s="1106"/>
      <c r="AG470" s="1106"/>
      <c r="AH470" s="1106"/>
      <c r="AI470" s="1106"/>
      <c r="AJ470" s="1106"/>
      <c r="AK470" s="1082"/>
      <c r="AL470" s="1205" t="e">
        <f>COUNTIFS(#REF!,"&gt;0",#REF!,"&gt;="&amp;B448,#REF!,"&lt;="&amp;EOMONTH(B448,0))</f>
        <v>#REF!</v>
      </c>
      <c r="AM470" s="1208" t="e">
        <f>SUMIFS(#REF!,#REF!,"&lt;&gt;0",#REF!,"&gt;="&amp;B448,#REF!,"&lt;="&amp;EOMONTH(B448,0))</f>
        <v>#REF!</v>
      </c>
      <c r="AN470" s="1208" t="e">
        <f>IF(AL470=0,0,AM470/AL470)</f>
        <v>#REF!</v>
      </c>
      <c r="AO470" s="1269" t="e">
        <f ca="1">MINIFS(#REF!,#REF!,"&lt;&gt;0",#REF!,"&gt;="&amp;B448,#REF!,"&lt;="&amp;EOMONTH(B448,0))</f>
        <v>#NAME?</v>
      </c>
      <c r="AP470" s="1269" t="e">
        <f ca="1">MAXIFS(#REF!,#REF!,"&lt;&gt;0",#REF!,"&gt;="&amp;B448,#REF!,"&lt;="&amp;EOMONTH(B448,0))</f>
        <v>#NAME?</v>
      </c>
      <c r="AQ470" s="1082"/>
      <c r="AR470" s="1220">
        <f>Parametres!$AM$28</f>
        <v>500</v>
      </c>
      <c r="AS470" s="1205" t="e">
        <f>COUNTIFS(#REF!,"&gt;0",#REF!,"&gt;="&amp;B448,#REF!,"&lt;="&amp;EOMONTH(B448,0))</f>
        <v>#REF!</v>
      </c>
      <c r="AT470" s="1208" t="e">
        <f>SUMIFS(#REF!,#REF!,"&lt;&gt;0",#REF!,"&gt;="&amp;B448,#REF!,"&lt;="&amp;EOMONTH(B448,0))</f>
        <v>#REF!</v>
      </c>
      <c r="AU470" s="1208" t="e">
        <f>IF(AS470=0,0,AT470/AS470)</f>
        <v>#REF!</v>
      </c>
      <c r="AV470" s="1208" t="e">
        <f ca="1">MINIFS(#REF!,#REF!,"&lt;&gt;0",#REF!,"&gt;="&amp;B448,#REF!,"&lt;="&amp;EOMONTH(B448,0))</f>
        <v>#NAME?</v>
      </c>
      <c r="AW470" s="1222" t="e">
        <f ca="1">MAXIFS(#REF!,#REF!,"&lt;&gt;0",#REF!,"&gt;="&amp;B448,#REF!,"&lt;="&amp;EOMONTH(B448,0))</f>
        <v>#NAME?</v>
      </c>
      <c r="AX470" s="1223" t="e">
        <f>COUNTIFS(#REF!,"&gt;="&amp;AR470,#REF!,"&gt;="&amp;B448,#REF!,"&lt;="&amp;EOMONTH(B448,0))</f>
        <v>#REF!</v>
      </c>
      <c r="AY470" s="1224" t="e">
        <f>AX470/AS470</f>
        <v>#REF!</v>
      </c>
      <c r="AZ470" s="1403" t="e">
        <f t="shared" si="204"/>
        <v>#REF!</v>
      </c>
      <c r="BA470" s="2"/>
    </row>
    <row r="471" spans="1:53" ht="15.75" hidden="1" customHeight="1" outlineLevel="1">
      <c r="A471" s="1027"/>
      <c r="B471" s="1404"/>
      <c r="C471" s="1402" t="s">
        <v>333</v>
      </c>
      <c r="D471" s="1122">
        <f>Parametres!$D$29</f>
        <v>0.3</v>
      </c>
      <c r="E471" s="1068" t="e">
        <f>COUNTIFS(#REF!,"&gt;0",#REF!,"&gt;="&amp;B448,#REF!,"&lt;="&amp;EOMONTH(B448,0))</f>
        <v>#REF!</v>
      </c>
      <c r="F471" s="1069" t="e">
        <f>SUMIFS(#REF!,#REF!,"&lt;&gt;0",#REF!,"&gt;="&amp;B448,#REF!,"&lt;="&amp;EOMONTH(B448,0))</f>
        <v>#REF!</v>
      </c>
      <c r="G471" s="1069" t="e">
        <f t="shared" si="202"/>
        <v>#REF!</v>
      </c>
      <c r="H471" s="1070" t="e">
        <f ca="1">MINIFS(#REF!,#REF!,"&lt;&gt;0",#REF!,"&gt;="&amp;B448,#REF!,"&lt;="&amp;EOMONTH(B448,0))</f>
        <v>#NAME?</v>
      </c>
      <c r="I471" s="1069" t="e">
        <f ca="1">MAXIFS(#REF!,#REF!,"&lt;&gt;0",#REF!,"&gt;="&amp;B448,#REF!,"&lt;="&amp;EOMONTH(B448,0))</f>
        <v>#NAME?</v>
      </c>
      <c r="J471" s="1072" t="e">
        <f>COUNTIFS(#REF!,"&gt;="&amp;D471,#REF!,"&gt;="&amp;B448,#REF!,"&lt;="&amp;EOMONTH(B448,0))</f>
        <v>#REF!</v>
      </c>
      <c r="K471" s="1341" t="e">
        <f t="shared" si="209"/>
        <v>#REF!</v>
      </c>
      <c r="L471" s="1099"/>
      <c r="M471" s="1132"/>
      <c r="N471" s="1102"/>
      <c r="O471" s="1102"/>
      <c r="P471" s="1069"/>
      <c r="Q471" s="1069"/>
      <c r="R471" s="1069"/>
      <c r="S471" s="1069"/>
      <c r="T471" s="1270"/>
      <c r="U471" s="1270"/>
      <c r="V471" s="1132"/>
      <c r="W471" s="1106"/>
      <c r="X471" s="1106"/>
      <c r="Y471" s="1069"/>
      <c r="Z471" s="1069"/>
      <c r="AA471" s="1069"/>
      <c r="AB471" s="1069"/>
      <c r="AC471" s="1248"/>
      <c r="AD471" s="1249"/>
      <c r="AE471" s="1132"/>
      <c r="AF471" s="1106"/>
      <c r="AG471" s="1106"/>
      <c r="AH471" s="1106"/>
      <c r="AI471" s="1106"/>
      <c r="AJ471" s="1106"/>
      <c r="AK471" s="1082"/>
      <c r="AL471" s="1117"/>
      <c r="AM471" s="1117"/>
      <c r="AN471" s="1117"/>
      <c r="AO471" s="1117"/>
      <c r="AP471" s="1117"/>
      <c r="AQ471" s="1082"/>
      <c r="AR471" s="1106"/>
      <c r="AS471" s="1106"/>
      <c r="AT471" s="1106"/>
      <c r="AU471" s="1106"/>
      <c r="AV471" s="1106"/>
      <c r="AW471" s="1119"/>
      <c r="AX471" s="1120"/>
      <c r="AY471" s="1094"/>
      <c r="AZ471" s="1403" t="e">
        <f t="shared" si="204"/>
        <v>#REF!</v>
      </c>
      <c r="BA471" s="2"/>
    </row>
    <row r="472" spans="1:53" ht="15.75" hidden="1" customHeight="1" outlineLevel="1">
      <c r="A472" s="1027"/>
      <c r="B472" s="1404"/>
      <c r="C472" s="1031" t="s">
        <v>46</v>
      </c>
      <c r="D472" s="1122">
        <f>Parametres!$D$30</f>
        <v>1</v>
      </c>
      <c r="E472" s="1068" t="e">
        <f>COUNTIFS(#REF!,"&gt;0",#REF!,"&gt;="&amp;B448,#REF!,"&lt;="&amp;EOMONTH(B448,0))</f>
        <v>#REF!</v>
      </c>
      <c r="F472" s="1069" t="e">
        <f>SUMIFS(#REF!,#REF!,"&lt;&gt;0",#REF!,"&gt;="&amp;B448,#REF!,"&lt;="&amp;EOMONTH(B448,0))</f>
        <v>#REF!</v>
      </c>
      <c r="G472" s="1069" t="e">
        <f t="shared" si="202"/>
        <v>#REF!</v>
      </c>
      <c r="H472" s="1070" t="e">
        <f ca="1">MINIFS(#REF!,#REF!,"&lt;&gt;0",#REF!,"&gt;="&amp;B448,#REF!,"&lt;="&amp;EOMONTH(B448,0))</f>
        <v>#NAME?</v>
      </c>
      <c r="I472" s="1266" t="e">
        <f ca="1">MAXIFS(#REF!,#REF!,"&lt;&gt;0",#REF!,"&gt;="&amp;B448,#REF!,"&lt;="&amp;EOMONTH(B448,0))</f>
        <v>#NAME?</v>
      </c>
      <c r="J472" s="1072" t="e">
        <f>COUNTIFS(#REF!,"&gt;="&amp;D472,#REF!,"&gt;="&amp;B448,#REF!,"&lt;="&amp;EOMONTH(B448,0))</f>
        <v>#REF!</v>
      </c>
      <c r="K472" s="1341" t="e">
        <f t="shared" si="209"/>
        <v>#REF!</v>
      </c>
      <c r="L472" s="1273"/>
      <c r="M472" s="1274"/>
      <c r="N472" s="1144">
        <f>Parametres!$L$30</f>
        <v>40</v>
      </c>
      <c r="O472" s="1077">
        <f>COUNTIFS('Degrémont Entrée'!$AV$14:$AV$379,"&gt;0",'Degrémont Entrée'!$A$14:$A$379,"&gt;="&amp;B448,'Degrémont Entrée'!$A$14:$A$379,"&lt;="&amp;EOMONTH(B448,0))</f>
        <v>5</v>
      </c>
      <c r="P472" s="1078">
        <f>SUMIFS('Degrémont Entrée'!$AV$14:$AV$379,'Degrémont Entrée'!$AV$14:$AV$379,"&lt;&gt;0",'Degrémont Entrée'!$A$14:$A$379,"&gt;="&amp;B448,'Degrémont Entrée'!$A$14:$A$379,"&lt;="&amp;EOMONTH(B448,0))</f>
        <v>86.98</v>
      </c>
      <c r="Q472" s="1266">
        <f t="shared" ref="Q472:Q473" si="210">IF(O472=0,0,P472/O472)</f>
        <v>17.396000000000001</v>
      </c>
      <c r="R472" s="1266" t="e">
        <f ca="1">MINIFS('Degrémont Entrée'!$AV$14:$AV$379,'Degrémont Entrée'!$AV$14:$AV$379,"&lt;&gt;0",'Degrémont Entrée'!$A$14:$A$379,"&gt;="&amp;B448,'Degrémont Entrée'!$A$14:$A$379,"&lt;="&amp;EOMONTH(B448,0))</f>
        <v>#NAME?</v>
      </c>
      <c r="S472" s="1266" t="e">
        <f ca="1">MAXIFS('Degrémont Entrée'!$AV$14:$AV$379,'Degrémont Entrée'!$AV$14:$AV$379,"&lt;&gt;0",'Degrémont Entrée'!$A$14:$A$379,"&gt;="&amp;B448,'Degrémont Entrée'!$A$14:$A$379,"&lt;="&amp;EOMONTH(B448,0))</f>
        <v>#NAME?</v>
      </c>
      <c r="T472" s="1276">
        <f>COUNTIFS('Degrémont Entrée'!$AV$14:$AV$379,"&gt;="&amp;N472,'Degrémont Entrée'!$A$14:$A$379,"&gt;="&amp;B448,'Degrémont Entrée'!$A$14:$A$379,"&lt;="&amp;EOMONTH(B448,0))</f>
        <v>0</v>
      </c>
      <c r="U472" s="1081">
        <f t="shared" ref="U472:U473" si="211">T472/O472</f>
        <v>0</v>
      </c>
      <c r="V472" s="1075"/>
      <c r="W472" s="1083">
        <f>Parametres!$T$30</f>
        <v>0.8</v>
      </c>
      <c r="X472" s="1142">
        <f>COUNTIFS('Degrémont sortie'!$AP$14:$AP$379,"&gt;0",'Degrémont sortie'!$A$14:$A$379,"&gt;="&amp;B448,'Degrémont sortie'!$A$14:$A$379,"&lt;="&amp;EOMONTH(B448,0))</f>
        <v>5</v>
      </c>
      <c r="Y472" s="1085">
        <f>SUMIFS('Degrémont sortie'!$AP$14:$AP$379,'Degrémont sortie'!$AP$14:$AP$379,"&lt;&gt;0",'Degrémont sortie'!$A$14:$A$379,"&gt;="&amp;B448,'Degrémont sortie'!$A$14:$A$379,"&lt;="&amp;EOMONTH(B448,0))</f>
        <v>0.62</v>
      </c>
      <c r="Z472" s="1069">
        <f t="shared" ref="Z472:Z474" si="212">IF(X472=0,0,Y472/X472)</f>
        <v>0.124</v>
      </c>
      <c r="AA472" s="1277" t="e">
        <f ca="1">MINIFS('Degrémont sortie'!$AP$14:$AP$379,'Degrémont sortie'!$AP$14:$AP$379,"&lt;&gt;0",'Degrémont sortie'!$A$14:$A$379,"&gt;="&amp;B448,'Degrémont sortie'!$A$14:$A$379,"&lt;="&amp;EOMONTH(B448,0))</f>
        <v>#NAME?</v>
      </c>
      <c r="AB472" s="1069" t="e">
        <f ca="1">MAXIFS('Degrémont sortie'!$AP$14:$AP$379,'Degrémont sortie'!$AP$14:$AP$379,"&lt;&gt;0",'Degrémont sortie'!$A$14:$A$379,"&gt;="&amp;B448,'Degrémont sortie'!$A$14:$A$379,"&lt;="&amp;EOMONTH(B448,0))</f>
        <v>#NAME?</v>
      </c>
      <c r="AC472" s="1142">
        <f>COUNTIFS('Degrémont sortie'!$AP$14:$AP$379,"&gt;="&amp;W472,'Degrémont sortie'!$A$14:$A$379,"&gt;="&amp;B448,'Degrémont sortie'!$A$14:$A$379,"&lt;="&amp;EOMONTH(B448,0))</f>
        <v>0</v>
      </c>
      <c r="AD472" s="1087">
        <f t="shared" ref="AD472:AD473" si="213">AC472/X472</f>
        <v>0</v>
      </c>
      <c r="AE472" s="1075"/>
      <c r="AF472" s="1278"/>
      <c r="AG472" s="1278"/>
      <c r="AH472" s="1278"/>
      <c r="AI472" s="1278"/>
      <c r="AJ472" s="1278"/>
      <c r="AK472" s="1279"/>
      <c r="AL472" s="1278"/>
      <c r="AM472" s="1278"/>
      <c r="AN472" s="1278"/>
      <c r="AO472" s="1278"/>
      <c r="AP472" s="1278"/>
      <c r="AQ472" s="1279"/>
      <c r="AR472" s="1278"/>
      <c r="AS472" s="1278"/>
      <c r="AT472" s="1278"/>
      <c r="AU472" s="1278"/>
      <c r="AV472" s="1278"/>
      <c r="AW472" s="1278"/>
      <c r="AX472" s="1280"/>
      <c r="AY472" s="1094"/>
      <c r="AZ472" s="1403" t="e">
        <f t="shared" si="204"/>
        <v>#REF!</v>
      </c>
      <c r="BA472" s="2"/>
    </row>
    <row r="473" spans="1:53" ht="15.75" hidden="1" customHeight="1" outlineLevel="1">
      <c r="A473" s="1027"/>
      <c r="B473" s="1404"/>
      <c r="C473" s="1031" t="s">
        <v>34</v>
      </c>
      <c r="D473" s="1122">
        <f>Parametres!$D$32</f>
        <v>400</v>
      </c>
      <c r="E473" s="1068" t="e">
        <f>COUNTIFS(#REF!,"&gt;0",#REF!,"&gt;="&amp;B448,#REF!,"&lt;="&amp;EOMONTH(B448,0))</f>
        <v>#REF!</v>
      </c>
      <c r="F473" s="1069" t="e">
        <f>SUMIFS(#REF!,#REF!,"&lt;&gt;0",#REF!,"&gt;="&amp;B448,#REF!,"&lt;="&amp;EOMONTH(B448,0))</f>
        <v>#REF!</v>
      </c>
      <c r="G473" s="1069" t="e">
        <f t="shared" si="202"/>
        <v>#REF!</v>
      </c>
      <c r="H473" s="1070" t="e">
        <f ca="1">MINIFS(#REF!,#REF!,"&lt;&gt;0",#REF!,"&gt;="&amp;B448,#REF!,"&lt;="&amp;EOMONTH(B448,0))</f>
        <v>#NAME?</v>
      </c>
      <c r="I473" s="1069" t="e">
        <f ca="1">MAXIFS(#REF!,#REF!,"&lt;&gt;0",#REF!,"&gt;="&amp;B448,#REF!,"&lt;="&amp;EOMONTH(B448,0))</f>
        <v>#NAME?</v>
      </c>
      <c r="J473" s="1114" t="e">
        <f>COUNTIFS(#REF!,"&gt;="&amp;D473,#REF!,"&gt;="&amp;B448,#REF!,"&lt;="&amp;EOMONTH(B448,0))</f>
        <v>#REF!</v>
      </c>
      <c r="K473" s="1341" t="e">
        <f t="shared" si="209"/>
        <v>#REF!</v>
      </c>
      <c r="L473" s="1281"/>
      <c r="M473" s="1282"/>
      <c r="N473" s="1144">
        <f>Parametres!$L$32</f>
        <v>4000</v>
      </c>
      <c r="O473" s="1077">
        <f>COUNTIFS('Degrémont Entrée'!$G$14:$G$379,"&gt;0",'Degrémont Entrée'!$A$14:$A$379,"&gt;="&amp;B448,'Degrémont Entrée'!$A$14:$A$379,"&lt;="&amp;EOMONTH(B448,0))</f>
        <v>27</v>
      </c>
      <c r="P473" s="1078">
        <f>SUMIFS('Degrémont Entrée'!$G$14:$G$379,'Degrémont Entrée'!$G$14:$G$379,"&lt;&gt;0",'Degrémont Entrée'!$A$14:$A$379,"&gt;="&amp;B448,'Degrémont Entrée'!$A$14:$A$379,"&lt;="&amp;EOMONTH(B448,0))</f>
        <v>100908.07020577681</v>
      </c>
      <c r="Q473" s="1283">
        <f t="shared" si="210"/>
        <v>3737.3359335472892</v>
      </c>
      <c r="R473" s="1069" t="e">
        <f ca="1">MINIFS('Degrémont Entrée'!$G$14:$G$379,'Degrémont Entrée'!$G$14:$G$379,"&lt;&gt;0",'Degrémont Entrée'!$A$14:$A$379,"&gt;="&amp;B448,'Degrémont Entrée'!$A$14:$A$379,"&lt;="&amp;EOMONTH(B448,0))</f>
        <v>#NAME?</v>
      </c>
      <c r="S473" s="1284" t="e">
        <f ca="1">MAXIFS('Degrémont Entrée'!$G$14:$G$379,'Degrémont Entrée'!$G$14:$G$379,"&lt;&gt;0",'Degrémont Entrée'!$A$14:$A$379,"&gt;="&amp;B448,'Degrémont Entrée'!$A$14:$A$379,"&lt;="&amp;EOMONTH(B448,0))</f>
        <v>#NAME?</v>
      </c>
      <c r="T473" s="1141">
        <f>COUNTIFS('Degrémont Entrée'!$G$14:$G$379,"&gt;="&amp;N473,'Degrémont Entrée'!$A$14:$A$379,"&gt;="&amp;B448,'Degrémont Entrée'!$A$14:$A$379,"&lt;="&amp;EOMONTH(B448,0))</f>
        <v>11</v>
      </c>
      <c r="U473" s="1081">
        <f t="shared" si="211"/>
        <v>0.40740740740740738</v>
      </c>
      <c r="V473" s="1285"/>
      <c r="W473" s="1083">
        <f>Parametres!$T$32</f>
        <v>55</v>
      </c>
      <c r="X473" s="1142">
        <f>COUNTIFS('Degrémont sortie'!$G$14:$G$379,"&gt;0",'Degrémont sortie'!$A$14:$A$379,"&gt;="&amp;B448,'Degrémont sortie'!$A$14:$A$379,"&lt;="&amp;EOMONTH(B448,0))</f>
        <v>27</v>
      </c>
      <c r="Y473" s="1085">
        <f>SUMIFS('Degrémont sortie'!$G$14:$G$379,'Degrémont sortie'!$G$14:$G$379,"&lt;&gt;0",'Degrémont sortie'!$A$14:$A$379,"&gt;="&amp;B448,'Degrémont sortie'!$A$14:$A$379,"&lt;="&amp;EOMONTH(B448,0))</f>
        <v>397.37301587301602</v>
      </c>
      <c r="Z473" s="1069">
        <f t="shared" si="212"/>
        <v>14.717519106408</v>
      </c>
      <c r="AA473" s="1286" t="e">
        <f ca="1">MINIFS('Degrémont sortie'!$G$14:$G$379,'Degrémont sortie'!$G$14:G$379,"&lt;&gt;0",'Degrémont sortie'!$A$14:$A$379,"&gt;="&amp;B448,'Degrémont sortie'!$A$14:$A$379,"&lt;="&amp;EOMONTH(B448,0))</f>
        <v>#NAME?</v>
      </c>
      <c r="AB473" s="1286" t="e">
        <f ca="1">MAXIFS('Degrémont sortie'!$G$14:$G$379,'Degrémont sortie'!$G$14:$G$379,"&lt;&gt;0",'Degrémont sortie'!$A$14:$A$379,"&gt;="&amp;B448,'Degrémont sortie'!$A$14:$A$379,"&lt;="&amp;EOMONTH(B448,0))</f>
        <v>#NAME?</v>
      </c>
      <c r="AC473" s="1141">
        <f>COUNTIFS('Degrémont sortie'!$G$14:$G$379,"&gt;="&amp;W473,'Degrémont sortie'!$A$14:$A$379,"&gt;="&amp;B448,'Degrémont sortie'!$A$14:$A$379,"&lt;="&amp;EOMONTH(B448,0))</f>
        <v>0</v>
      </c>
      <c r="AD473" s="1087">
        <f t="shared" si="213"/>
        <v>0</v>
      </c>
      <c r="AE473" s="1285"/>
      <c r="AF473" s="1205" t="e">
        <f>COUNTIFS(#REF!,"&gt;0",#REF!,"&gt;="&amp;B448,#REF!,"&lt;="&amp;EOMONTH(B448,0))</f>
        <v>#REF!</v>
      </c>
      <c r="AG473" s="1208" t="e">
        <f>SUMIFS(#REF!,#REF!,"&lt;&gt;0",#REF!,"&gt;="&amp;B448,#REF!,"&lt;="&amp;EOMONTH(B448,0))</f>
        <v>#REF!</v>
      </c>
      <c r="AH473" s="1208" t="e">
        <f>IF(AF473=0,0,AG473/AF473)</f>
        <v>#REF!</v>
      </c>
      <c r="AI473" s="1208" t="e">
        <f ca="1">MINIFS(#REF!,#REF!,"&lt;&gt;0",#REF!,"&gt;="&amp;B448,#REF!,"&lt;="&amp;EOMONTH(B448,0))</f>
        <v>#NAME?</v>
      </c>
      <c r="AJ473" s="1208" t="e">
        <f ca="1">MAXIFS(#REF!,#REF!,"&lt;&gt;0",#REF!,"&gt;="&amp;B448,#REF!,"&lt;="&amp;EOMONTH(B448,0))</f>
        <v>#NAME?</v>
      </c>
      <c r="AK473" s="1285"/>
      <c r="AL473" s="1205" t="e">
        <f>COUNTIFS(#REF!,"&gt;0",#REF!,"&gt;="&amp;B448,#REF!,"&lt;="&amp;EOMONTH(B448,0))</f>
        <v>#REF!</v>
      </c>
      <c r="AM473" s="1208" t="e">
        <f>SUMIFS(#REF!,#REF!,"&lt;&gt;0",#REF!,"&gt;="&amp;B448,#REF!,"&lt;="&amp;EOMONTH(B448,0))</f>
        <v>#REF!</v>
      </c>
      <c r="AN473" s="1208" t="e">
        <f>IF(AL473=0,0,AM473/AL473)</f>
        <v>#REF!</v>
      </c>
      <c r="AO473" s="1141" t="e">
        <f ca="1">MINIFS(#REF!,#REF!,"&lt;&gt;0",#REF!,"&gt;="&amp;B448,#REF!,"&lt;="&amp;EOMONTH(B448,0))</f>
        <v>#NAME?</v>
      </c>
      <c r="AP473" s="1141" t="e">
        <f ca="1">MAXIFS(#REF!,#REF!,"&lt;&gt;0",#REF!,"&gt;="&amp;B448,#REF!,"&lt;="&amp;EOMONTH(B448,0))</f>
        <v>#NAME?</v>
      </c>
      <c r="AQ473" s="1285"/>
      <c r="AR473" s="1220">
        <f>Parametres!$AM$32</f>
        <v>2600</v>
      </c>
      <c r="AS473" s="1205" t="e">
        <f>COUNTIFS(#REF!,"&gt;0",#REF!,"&gt;="&amp;B448,#REF!,"&lt;="&amp;EOMONTH(B448,0))</f>
        <v>#REF!</v>
      </c>
      <c r="AT473" s="1208" t="e">
        <f>SUMIFS(#REF!,#REF!,"&lt;&gt;0",#REF!,"&gt;="&amp;B448,#REF!,"&lt;="&amp;EOMONTH(B448,0))</f>
        <v>#REF!</v>
      </c>
      <c r="AU473" s="1208" t="e">
        <f>IF(AS473=0,0,AT473/AS473)</f>
        <v>#REF!</v>
      </c>
      <c r="AV473" s="1287" t="e">
        <f ca="1">MINIFS(#REF!,#REF!,"&lt;&gt;0",#REF!,"&gt;="&amp;B448,#REF!,"&lt;="&amp;EOMONTH(B448,0))</f>
        <v>#NAME?</v>
      </c>
      <c r="AW473" s="1141" t="e">
        <f ca="1">MAXIFS(#REF!,#REF!,"&lt;&gt;0",#REF!,"&gt;="&amp;B448,#REF!,"&lt;="&amp;EOMONTH(B448,0))</f>
        <v>#NAME?</v>
      </c>
      <c r="AX473" s="1288" t="e">
        <f>COUNTIFS(#REF!,"&gt;="&amp;AR473,#REF!,"&gt;="&amp;B448,#REF!,"&lt;="&amp;EOMONTH(B448,0))</f>
        <v>#REF!</v>
      </c>
      <c r="AY473" s="1224" t="e">
        <f>AX473/AS473</f>
        <v>#REF!</v>
      </c>
      <c r="AZ473" s="1403" t="e">
        <f t="shared" si="204"/>
        <v>#REF!</v>
      </c>
      <c r="BA473" s="2"/>
    </row>
    <row r="474" spans="1:53" ht="15.75" hidden="1" customHeight="1" outlineLevel="1">
      <c r="A474" s="1027"/>
      <c r="B474" s="1404"/>
      <c r="C474" s="1031" t="s">
        <v>118</v>
      </c>
      <c r="D474" s="1122">
        <f>Parametres!$D$33</f>
        <v>75</v>
      </c>
      <c r="E474" s="1068" t="e">
        <f>COUNTIFS(#REF!,"&gt;0",#REF!,"&gt;="&amp;B448,#REF!,"&lt;="&amp;EOMONTH(B448,0))</f>
        <v>#REF!</v>
      </c>
      <c r="F474" s="1069" t="e">
        <f>SUMIFS(#REF!,#REF!,"&lt;&gt;0",#REF!,"&gt;="&amp;B448,#REF!,"&lt;="&amp;EOMONTH(B448,0))</f>
        <v>#REF!</v>
      </c>
      <c r="G474" s="1069" t="e">
        <f t="shared" si="202"/>
        <v>#REF!</v>
      </c>
      <c r="H474" s="1070" t="e">
        <f ca="1">MINIFS(#REF!,#REF!,"&lt;&gt;0",#REF!,"&gt;="&amp;B448,#REF!,"&lt;="&amp;EOMONTH(B448,0))</f>
        <v>#NAME?</v>
      </c>
      <c r="I474" s="1069" t="e">
        <f ca="1">MAXIFS(#REF!,#REF!,"&lt;&gt;0",#REF!,"&gt;="&amp;B448,#REF!,"&lt;="&amp;EOMONTH(B448,0))</f>
        <v>#NAME?</v>
      </c>
      <c r="J474" s="1114" t="e">
        <f>COUNTIFS(#REF!,"&gt;="&amp;D474,#REF!,"&gt;="&amp;B448,#REF!,"&lt;="&amp;EOMONTH(B448,0))</f>
        <v>#REF!</v>
      </c>
      <c r="K474" s="1341" t="e">
        <f t="shared" si="209"/>
        <v>#REF!</v>
      </c>
      <c r="L474" s="1281"/>
      <c r="M474" s="1289"/>
      <c r="N474" s="1290"/>
      <c r="O474" s="1290"/>
      <c r="P474" s="1286"/>
      <c r="Q474" s="1283"/>
      <c r="R474" s="1286"/>
      <c r="S474" s="1286"/>
      <c r="T474" s="1290"/>
      <c r="U474" s="1290"/>
      <c r="V474" s="1285"/>
      <c r="W474" s="1083">
        <f>Parametres!$T$33</f>
        <v>150</v>
      </c>
      <c r="X474" s="1142">
        <f>COUNTIFS('Degrémont sortie'!$X$14:$X$379,"&gt;0",'Degrémont sortie'!$A$14:$A$379,"&gt;="&amp;B448,'Degrémont sortie'!$A$14:$A$379,"&lt;="&amp;EOMONTH(B448,0))</f>
        <v>5</v>
      </c>
      <c r="Y474" s="1085">
        <f>SUMIFS('Degrémont sortie'!$X$14:$X$379,'Degrémont sortie'!$X$14:$X$379,"&lt;&gt;0",'Degrémont sortie'!$A$14:$A$379,"&gt;="&amp;B448,'Degrémont sortie'!$A$14:$A$379,"&lt;="&amp;EOMONTH(B448,0))</f>
        <v>40.799999999999997</v>
      </c>
      <c r="Z474" s="1069">
        <f t="shared" si="212"/>
        <v>8.16</v>
      </c>
      <c r="AA474" s="1286" t="e">
        <f ca="1">MINIFS('Degrémont sortie'!$X$14:$X$379,'Degrémont sortie'!$X$14:$X$379,"&lt;&gt;0",'Degrémont sortie'!$A$14:$A$379,"&gt;="&amp;B448,'Degrémont sortie'!$A$14:$A$379,"&lt;="&amp;EOMONTH(B448,0))</f>
        <v>#NAME?</v>
      </c>
      <c r="AB474" s="1286" t="e">
        <f ca="1">MAXIFS('Degrémont sortie'!$X$14:$X$379,'Degrémont sortie'!$X$14:$X$379,"&lt;&gt;0",'Degrémont sortie'!$A$14:$A$379,"&gt;="&amp;B448,'Degrémont sortie'!$A$14:$A$379,"&lt;="&amp;EOMONTH(B448,0))</f>
        <v>#NAME?</v>
      </c>
      <c r="AC474" s="1291" t="s">
        <v>153</v>
      </c>
      <c r="AD474" s="1292" t="s">
        <v>153</v>
      </c>
      <c r="AE474" s="1285"/>
      <c r="AF474" s="1293"/>
      <c r="AG474" s="1293"/>
      <c r="AH474" s="1293"/>
      <c r="AI474" s="1293"/>
      <c r="AJ474" s="1293"/>
      <c r="AK474" s="1285"/>
      <c r="AL474" s="1293"/>
      <c r="AM474" s="1293"/>
      <c r="AN474" s="1293"/>
      <c r="AO474" s="1293"/>
      <c r="AP474" s="1293"/>
      <c r="AQ474" s="1285"/>
      <c r="AR474" s="1293"/>
      <c r="AS474" s="1293"/>
      <c r="AT474" s="1293"/>
      <c r="AU474" s="1293"/>
      <c r="AV474" s="1293"/>
      <c r="AW474" s="1293"/>
      <c r="AX474" s="1294"/>
      <c r="AY474" s="1295"/>
      <c r="AZ474" s="1403" t="e">
        <f t="shared" si="204"/>
        <v>#REF!</v>
      </c>
      <c r="BA474" s="2"/>
    </row>
    <row r="475" spans="1:53" ht="15.75" hidden="1" customHeight="1" outlineLevel="1">
      <c r="A475" s="1027"/>
      <c r="B475" s="1404"/>
      <c r="C475" s="1031" t="s">
        <v>285</v>
      </c>
      <c r="D475" s="1122">
        <f>Parametres!$D$34</f>
        <v>10000000</v>
      </c>
      <c r="E475" s="1068" t="e">
        <f>COUNTIFS(#REF!,"&gt;0",#REF!,"&gt;="&amp;B448,#REF!,"&lt;="&amp;EOMONTH(B448,0))</f>
        <v>#REF!</v>
      </c>
      <c r="F475" s="1069" t="e">
        <f>SUMIFS(#REF!,#REF!,"&lt;&gt;0",#REF!,"&gt;="&amp;B448,#REF!,"&lt;="&amp;EOMONTH(B448,0))</f>
        <v>#REF!</v>
      </c>
      <c r="G475" s="1069" t="e">
        <f t="shared" si="202"/>
        <v>#REF!</v>
      </c>
      <c r="H475" s="1070" t="e">
        <f ca="1">MINIFS(#REF!,#REF!,"&lt;&gt;0",#REF!,"&gt;="&amp;B448,#REF!,"&lt;="&amp;EOMONTH(B448,0))</f>
        <v>#NAME?</v>
      </c>
      <c r="I475" s="1069" t="e">
        <f ca="1">MAXIFS(#REF!,#REF!,"&lt;&gt;0",#REF!,"&gt;="&amp;B448,#REF!,"&lt;="&amp;EOMONTH(B448,0))</f>
        <v>#NAME?</v>
      </c>
      <c r="J475" s="1072" t="s">
        <v>153</v>
      </c>
      <c r="K475" s="1072" t="s">
        <v>153</v>
      </c>
      <c r="L475" s="1281"/>
      <c r="M475" s="1289"/>
      <c r="N475" s="1290"/>
      <c r="O475" s="1290"/>
      <c r="P475" s="1286"/>
      <c r="Q475" s="1283"/>
      <c r="R475" s="1286"/>
      <c r="S475" s="1286"/>
      <c r="T475" s="1290"/>
      <c r="U475" s="1290"/>
      <c r="V475" s="1285"/>
      <c r="W475" s="1293"/>
      <c r="X475" s="1293"/>
      <c r="Y475" s="1286"/>
      <c r="Z475" s="1286"/>
      <c r="AA475" s="1286"/>
      <c r="AB475" s="1286"/>
      <c r="AC475" s="1293"/>
      <c r="AD475" s="1249"/>
      <c r="AE475" s="1285"/>
      <c r="AF475" s="1293"/>
      <c r="AG475" s="1293"/>
      <c r="AH475" s="1293"/>
      <c r="AI475" s="1293"/>
      <c r="AJ475" s="1293"/>
      <c r="AK475" s="1285"/>
      <c r="AL475" s="1293"/>
      <c r="AM475" s="1293"/>
      <c r="AN475" s="1293"/>
      <c r="AO475" s="1293"/>
      <c r="AP475" s="1293"/>
      <c r="AQ475" s="1285"/>
      <c r="AR475" s="1293"/>
      <c r="AS475" s="1293"/>
      <c r="AT475" s="1293"/>
      <c r="AU475" s="1293"/>
      <c r="AV475" s="1293"/>
      <c r="AW475" s="1293"/>
      <c r="AX475" s="1294"/>
      <c r="AY475" s="1295"/>
      <c r="AZ475" s="1403" t="e">
        <f t="shared" si="204"/>
        <v>#REF!</v>
      </c>
      <c r="BA475" s="2"/>
    </row>
    <row r="476" spans="1:53" ht="15.75" hidden="1" customHeight="1" outlineLevel="1">
      <c r="A476" s="1027"/>
      <c r="B476" s="1404"/>
      <c r="C476" s="1031" t="s">
        <v>48</v>
      </c>
      <c r="D476" s="1122">
        <f>Parametres!$D$35</f>
        <v>0.5</v>
      </c>
      <c r="E476" s="1068" t="e">
        <f>COUNTIFS(#REF!,"&gt;0",#REF!,"&gt;="&amp;B448,#REF!,"&lt;="&amp;EOMONTH(B448,0))</f>
        <v>#REF!</v>
      </c>
      <c r="F476" s="1069" t="e">
        <f>SUMIFS(#REF!,#REF!,"&lt;&gt;0",#REF!,"&gt;="&amp;B448,#REF!,"&lt;="&amp;EOMONTH(B448,0))</f>
        <v>#REF!</v>
      </c>
      <c r="G476" s="1069" t="e">
        <f t="shared" si="202"/>
        <v>#REF!</v>
      </c>
      <c r="H476" s="1070" t="e">
        <f ca="1">MINIFS(#REF!,#REF!,"&lt;&gt;0",#REF!,"&gt;="&amp;B448,#REF!,"&lt;="&amp;EOMONTH(B448,0))</f>
        <v>#NAME?</v>
      </c>
      <c r="I476" s="1069" t="e">
        <f ca="1">MAXIFS(#REF!,#REF!,"&lt;&gt;0",#REF!,"&gt;="&amp;B448,#REF!,"&lt;="&amp;EOMONTH(B448,0))</f>
        <v>#NAME?</v>
      </c>
      <c r="J476" s="1114" t="e">
        <f>COUNTIFS(#REF!,"&gt;="&amp;D476,#REF!,"&gt;="&amp;B448,#REF!,"&lt;="&amp;EOMONTH(B448,0))</f>
        <v>#REF!</v>
      </c>
      <c r="K476" s="1341" t="e">
        <f>J476/E476</f>
        <v>#REF!</v>
      </c>
      <c r="L476" s="1281"/>
      <c r="M476" s="1289"/>
      <c r="N476" s="1144">
        <f>Parametres!$L$35</f>
        <v>30</v>
      </c>
      <c r="O476" s="1077">
        <f>COUNTIFS('Degrémont Entrée'!$BB$14:$BB$379,"&gt;0",'Degrémont Entrée'!$A$14:$A$379,"&gt;="&amp;B448,'Degrémont Entrée'!$A$14:$A$379,"&lt;="&amp;EOMONTH(B448,0))</f>
        <v>5</v>
      </c>
      <c r="P476" s="1078">
        <f>SUMIFS('Degrémont Entrée'!$BB$14:$BB$379,'Degrémont Entrée'!$BB$14:$BB$379,"&lt;&gt;0",'Degrémont Entrée'!$A$14:$A$379,"&gt;="&amp;B448,'Degrémont Entrée'!$A$14:$A$379,"&lt;="&amp;EOMONTH(B448,0))</f>
        <v>1.1900000000000002</v>
      </c>
      <c r="Q476" s="1283">
        <f>IF(O476=0,0,P476/O476)</f>
        <v>0.23800000000000004</v>
      </c>
      <c r="R476" s="1286" t="e">
        <f ca="1">MINIFS('Degrémont Entrée'!$BB$14:$BB$379,'Degrémont Entrée'!$BB$14:$BB$379,"&lt;&gt;0",'Degrémont Entrée'!$A$14:$A$379,"&gt;="&amp;B448,'Degrémont Entrée'!$A$14:$A$379,"&lt;="&amp;EOMONTH(B448,0))</f>
        <v>#NAME?</v>
      </c>
      <c r="S476" s="1286" t="e">
        <f ca="1">MAXIFS('Degrémont Entrée'!$BB$14:$BB$379,'Degrémont Entrée'!$BB$14:$BB$379,"&lt;&gt;0",'Degrémont Entrée'!$A$14:$A$379,"&gt;="&amp;B448,'Degrémont Entrée'!$A$14:$A$379,"&lt;="&amp;EOMONTH(B448,0))</f>
        <v>#NAME?</v>
      </c>
      <c r="T476" s="1141">
        <f>COUNTIFS('Degrémont Entrée'!$BB$14:$BB$379,"&gt;="&amp;N476,'Degrémont Entrée'!$A$14:$A$379,"&gt;="&amp;B448,'Degrémont Entrée'!$A$14:$A$379,"&lt;="&amp;EOMONTH(B448,0))</f>
        <v>0</v>
      </c>
      <c r="U476" s="1081">
        <f>T476/O476</f>
        <v>0</v>
      </c>
      <c r="V476" s="1285"/>
      <c r="W476" s="1083">
        <f>Parametres!$T$35</f>
        <v>0.16</v>
      </c>
      <c r="X476" s="1142">
        <f>COUNTIFS('Degrémont sortie'!$AV$14:$AV$379,"&gt;0",'Degrémont sortie'!$A$14:$A$379,"&gt;="&amp;B448,'Degrémont sortie'!$A$14:$A$379,"&lt;="&amp;EOMONTH(B448,0))</f>
        <v>5</v>
      </c>
      <c r="Y476" s="1085">
        <f>SUMIFS('Degrémont sortie'!$AV$14:$AV$379,'Degrémont sortie'!$AV$14:$AV$379,"&lt;&gt;0",'Degrémont sortie'!$A$14:$A$379,"&gt;="&amp;B448,'Degrémont sortie'!$A$14:$A$379,"&lt;="&amp;EOMONTH(B448,0))</f>
        <v>0.78</v>
      </c>
      <c r="Z476" s="1069">
        <f t="shared" ref="Z476:Z478" si="214">IF(X476=0,0,Y476/X476)</f>
        <v>0.156</v>
      </c>
      <c r="AA476" s="1286" t="e">
        <f ca="1">MINIFS('Degrémont sortie'!$AV$14:$AV$379,'Degrémont sortie'!$AV$14:$AV$379,"&lt;&gt;0",'Degrémont sortie'!$A$14:$A$379,"&gt;="&amp;B448,'Degrémont sortie'!$A$14:$A$379,"&lt;="&amp;EOMONTH(B448,0))</f>
        <v>#NAME?</v>
      </c>
      <c r="AB476" s="1286" t="e">
        <f ca="1">MAXIFS('Degrémont sortie'!$AV$14:$AV$379,'Degrémont sortie'!$AV$14:$AV$379,"&lt;&gt;0",'Degrémont sortie'!$A$14:$A$379,"&gt;="&amp;B448,'Degrémont sortie'!$A$14:$A$379,"&lt;="&amp;EOMONTH(B448,0))</f>
        <v>#NAME?</v>
      </c>
      <c r="AC476" s="1141">
        <f>COUNTIFS('Degrémont sortie'!$AV$14:$AV$379,"&gt;="&amp;W476,'Degrémont sortie'!$A$14:$A$379,"&gt;="&amp;B448,'Degrémont sortie'!$A$14:$A$379,"&lt;="&amp;EOMONTH(B448,0))</f>
        <v>1</v>
      </c>
      <c r="AD476" s="1087">
        <f>AC476/X476</f>
        <v>0.2</v>
      </c>
      <c r="AE476" s="1285"/>
      <c r="AF476" s="1293"/>
      <c r="AG476" s="1293"/>
      <c r="AH476" s="1293"/>
      <c r="AI476" s="1293"/>
      <c r="AJ476" s="1293"/>
      <c r="AK476" s="1285"/>
      <c r="AL476" s="1293"/>
      <c r="AM476" s="1293"/>
      <c r="AN476" s="1293"/>
      <c r="AO476" s="1293"/>
      <c r="AP476" s="1293"/>
      <c r="AQ476" s="1285"/>
      <c r="AR476" s="1293"/>
      <c r="AS476" s="1293"/>
      <c r="AT476" s="1293"/>
      <c r="AU476" s="1293"/>
      <c r="AV476" s="1293"/>
      <c r="AW476" s="1293"/>
      <c r="AX476" s="1294"/>
      <c r="AY476" s="1295"/>
      <c r="AZ476" s="1403" t="e">
        <f t="shared" si="204"/>
        <v>#REF!</v>
      </c>
      <c r="BA476" s="2"/>
    </row>
    <row r="477" spans="1:53" ht="15.75" hidden="1" customHeight="1" outlineLevel="1">
      <c r="A477" s="1027"/>
      <c r="B477" s="1404"/>
      <c r="C477" s="1031" t="s">
        <v>39</v>
      </c>
      <c r="D477" s="1122">
        <f>Parametres!$D$36</f>
        <v>10000000</v>
      </c>
      <c r="E477" s="1068" t="e">
        <f>COUNTIFS(#REF!,"&gt;0",#REF!,"&gt;="&amp;B448,#REF!,"&lt;="&amp;EOMONTH(B448,0))</f>
        <v>#REF!</v>
      </c>
      <c r="F477" s="1069" t="e">
        <f>SUMIFS(#REF!,#REF!,"&lt;&gt;0",#REF!,"&gt;="&amp;B448,#REF!,"&lt;="&amp;EOMONTH(B448,0))</f>
        <v>#REF!</v>
      </c>
      <c r="G477" s="1069" t="e">
        <f t="shared" si="202"/>
        <v>#REF!</v>
      </c>
      <c r="H477" s="1070" t="e">
        <f ca="1">MINIFS(#REF!,#REF!,"&lt;&gt;0",#REF!,"&gt;="&amp;B448,#REF!,"&lt;="&amp;EOMONTH(B448,0))</f>
        <v>#NAME?</v>
      </c>
      <c r="I477" s="1277" t="e">
        <f ca="1">MAXIFS(#REF!,#REF!,"&lt;&gt;0",#REF!,"&gt;="&amp;B448,#REF!,"&lt;="&amp;EOMONTH(B448,0))</f>
        <v>#NAME?</v>
      </c>
      <c r="J477" s="1072" t="s">
        <v>153</v>
      </c>
      <c r="K477" s="1072" t="s">
        <v>153</v>
      </c>
      <c r="L477" s="1281"/>
      <c r="M477" s="1289"/>
      <c r="N477" s="1290"/>
      <c r="O477" s="1290"/>
      <c r="P477" s="1286"/>
      <c r="Q477" s="1286"/>
      <c r="R477" s="1286"/>
      <c r="S477" s="1286"/>
      <c r="T477" s="1290"/>
      <c r="U477" s="1290"/>
      <c r="V477" s="1285"/>
      <c r="W477" s="1083">
        <f>Parametres!$T$36</f>
        <v>100000000</v>
      </c>
      <c r="X477" s="1142">
        <f>COUNTIFS('Degrémont sortie'!$R$14:$R$379,"&gt;0",'Degrémont sortie'!$A$14:$A$379,"&gt;="&amp;B448,'Degrémont sortie'!$A$14:$A$379,"&lt;="&amp;EOMONTH(B448,0))</f>
        <v>0</v>
      </c>
      <c r="Y477" s="1085">
        <f>SUMIFS('Degrémont sortie'!$R$14:$R$379,'Degrémont sortie'!$R$14:$R$379,"&lt;&gt;0",'Degrémont sortie'!$A$14:$A$379,"&gt;="&amp;B448,'Degrémont sortie'!$A$14:$A$379,"&lt;="&amp;EOMONTH(B448,0))</f>
        <v>0</v>
      </c>
      <c r="Z477" s="1069">
        <f t="shared" si="214"/>
        <v>0</v>
      </c>
      <c r="AA477" s="1286" t="e">
        <f ca="1">MINIFS('Degrémont sortie'!$R$14:$R$379,'Degrémont sortie'!$R$14:$R$379,"&lt;&gt;0",'Degrémont sortie'!$A$14:$A$379,"&gt;="&amp;B448,'Degrémont sortie'!$A$14:$A$379,"&lt;="&amp;EOMONTH(B448,0))</f>
        <v>#NAME?</v>
      </c>
      <c r="AB477" s="1286" t="e">
        <f ca="1">MAXIFS('Degrémont sortie'!$R$14:$R$379,'Degrémont sortie'!$R$14:$R$379,"&lt;&gt;0",'Degrémont sortie'!$A$14:$A$379,"&gt;="&amp;B448,'Degrémont sortie'!$A$14:$A$379,"&lt;="&amp;EOMONTH(B448,0))</f>
        <v>#NAME?</v>
      </c>
      <c r="AC477" s="1291" t="s">
        <v>153</v>
      </c>
      <c r="AD477" s="1292" t="s">
        <v>153</v>
      </c>
      <c r="AE477" s="1285"/>
      <c r="AF477" s="1293"/>
      <c r="AG477" s="1293"/>
      <c r="AH477" s="1293"/>
      <c r="AI477" s="1293"/>
      <c r="AJ477" s="1293"/>
      <c r="AK477" s="1285"/>
      <c r="AL477" s="1293"/>
      <c r="AM477" s="1293"/>
      <c r="AN477" s="1293"/>
      <c r="AO477" s="1293"/>
      <c r="AP477" s="1293"/>
      <c r="AQ477" s="1285"/>
      <c r="AR477" s="1293"/>
      <c r="AS477" s="1293"/>
      <c r="AT477" s="1293"/>
      <c r="AU477" s="1293"/>
      <c r="AV477" s="1293"/>
      <c r="AW477" s="1293"/>
      <c r="AX477" s="1294"/>
      <c r="AY477" s="1295"/>
      <c r="AZ477" s="1403" t="e">
        <f t="shared" si="204"/>
        <v>#REF!</v>
      </c>
      <c r="BA477" s="2"/>
    </row>
    <row r="478" spans="1:53" ht="15.75" hidden="1" customHeight="1" outlineLevel="1">
      <c r="A478" s="1027"/>
      <c r="B478" s="1404"/>
      <c r="C478" s="1031" t="s">
        <v>40</v>
      </c>
      <c r="D478" s="1122">
        <f>Parametres!$D$37</f>
        <v>10000000</v>
      </c>
      <c r="E478" s="1068" t="e">
        <f>COUNTIFS(#REF!,"&gt;0",#REF!,"&gt;="&amp;B448,#REF!,"&lt;="&amp;EOMONTH(B448,0))</f>
        <v>#REF!</v>
      </c>
      <c r="F478" s="1069" t="e">
        <f>SUMIFS(#REF!,#REF!,"&lt;&gt;0",#REF!,"&gt;="&amp;B448,#REF!,"&lt;="&amp;EOMONTH(B448,0))</f>
        <v>#REF!</v>
      </c>
      <c r="G478" s="1069" t="e">
        <f t="shared" si="202"/>
        <v>#REF!</v>
      </c>
      <c r="H478" s="1070" t="e">
        <f ca="1">MINIFS(#REF!,#REF!,"&lt;&gt;0",#REF!,"&gt;="&amp;B448,#REF!,"&lt;="&amp;EOMONTH(B448,0))</f>
        <v>#NAME?</v>
      </c>
      <c r="I478" s="1069" t="e">
        <f ca="1">MAXIFS(#REF!,#REF!,"&lt;&gt;0",#REF!,"&gt;="&amp;B448,#REF!,"&lt;="&amp;EOMONTH(B448,0))</f>
        <v>#NAME?</v>
      </c>
      <c r="J478" s="1072" t="s">
        <v>153</v>
      </c>
      <c r="K478" s="1072" t="s">
        <v>153</v>
      </c>
      <c r="L478" s="1281"/>
      <c r="M478" s="1289"/>
      <c r="N478" s="1290"/>
      <c r="O478" s="1290"/>
      <c r="P478" s="1286"/>
      <c r="Q478" s="1286"/>
      <c r="R478" s="1286"/>
      <c r="S478" s="1286"/>
      <c r="T478" s="1290"/>
      <c r="U478" s="1290"/>
      <c r="V478" s="1285"/>
      <c r="W478" s="1083">
        <f>Parametres!$T$37</f>
        <v>100000000</v>
      </c>
      <c r="X478" s="1142">
        <f>COUNTIFS('Degrémont sortie'!$U$14:$U$379,"&gt;0",'Degrémont sortie'!$A$14:$A$379,"&gt;="&amp;B448,'Degrémont sortie'!$A$14:$A$379,"&lt;="&amp;EOMONTH(B448,0))</f>
        <v>0</v>
      </c>
      <c r="Y478" s="1085">
        <f>SUMIFS('Degrémont sortie'!$U$14:$U$379,'Degrémont sortie'!$U$14:$U$379,"&lt;&gt;0",'Degrémont sortie'!$A$14:$A$379,"&gt;="&amp;B448,'Degrémont sortie'!$A$14:$A$379,"&lt;="&amp;EOMONTH(B448,0))</f>
        <v>0</v>
      </c>
      <c r="Z478" s="1069">
        <f t="shared" si="214"/>
        <v>0</v>
      </c>
      <c r="AA478" s="1286" t="e">
        <f ca="1">MINIFS('Degrémont sortie'!$U$14:$U$379,'Degrémont sortie'!$U$14:$U$379,"&lt;&gt;0",'Degrémont sortie'!$A$14:$A$379,"&gt;="&amp;B448,'Degrémont sortie'!$A$14:$A$379,"&lt;="&amp;EOMONTH(B448,0))</f>
        <v>#NAME?</v>
      </c>
      <c r="AB478" s="1286" t="e">
        <f ca="1">MAXIFS('Degrémont sortie'!$U$14:$U$379,'Degrémont sortie'!$U$14:$U$379,"&lt;&gt;0",'Degrémont sortie'!$A$14:$A$379,"&gt;="&amp;B448,'Degrémont sortie'!$A$14:$A$379,"&lt;="&amp;EOMONTH(B448,0))</f>
        <v>#NAME?</v>
      </c>
      <c r="AC478" s="1291" t="s">
        <v>153</v>
      </c>
      <c r="AD478" s="1292" t="s">
        <v>153</v>
      </c>
      <c r="AE478" s="1285"/>
      <c r="AF478" s="1293"/>
      <c r="AG478" s="1293"/>
      <c r="AH478" s="1293"/>
      <c r="AI478" s="1293"/>
      <c r="AJ478" s="1293"/>
      <c r="AK478" s="1285"/>
      <c r="AL478" s="1293"/>
      <c r="AM478" s="1293"/>
      <c r="AN478" s="1293"/>
      <c r="AO478" s="1293"/>
      <c r="AP478" s="1293"/>
      <c r="AQ478" s="1285"/>
      <c r="AR478" s="1293"/>
      <c r="AS478" s="1293"/>
      <c r="AT478" s="1293"/>
      <c r="AU478" s="1293"/>
      <c r="AV478" s="1293"/>
      <c r="AW478" s="1293"/>
      <c r="AX478" s="1294"/>
      <c r="AY478" s="1295"/>
      <c r="AZ478" s="1403" t="e">
        <f t="shared" si="204"/>
        <v>#REF!</v>
      </c>
      <c r="BA478" s="2"/>
    </row>
    <row r="479" spans="1:53" ht="15.75" hidden="1" customHeight="1" outlineLevel="1">
      <c r="A479" s="1027"/>
      <c r="B479" s="1404"/>
      <c r="C479" s="1402" t="s">
        <v>15</v>
      </c>
      <c r="D479" s="1122">
        <f>Parametres!$D$38</f>
        <v>1000000</v>
      </c>
      <c r="E479" s="1068" t="e">
        <f>COUNTIFS(#REF!,"&gt;0",#REF!,"&gt;="&amp;B448,#REF!,"&lt;="&amp;EOMONTH(B448,0))</f>
        <v>#REF!</v>
      </c>
      <c r="F479" s="1069" t="e">
        <f>SUMIFS(#REF!,#REF!,"&lt;&gt;0",#REF!,"&gt;="&amp;B448,#REF!,"&lt;="&amp;EOMONTH(B448,0))</f>
        <v>#REF!</v>
      </c>
      <c r="G479" s="1069" t="e">
        <f t="shared" si="202"/>
        <v>#REF!</v>
      </c>
      <c r="H479" s="1070" t="e">
        <f ca="1">MINIFS(#REF!,#REF!,"&lt;&gt;0",#REF!,"&gt;="&amp;B448,#REF!,"&lt;="&amp;EOMONTH(B448,0))</f>
        <v>#NAME?</v>
      </c>
      <c r="I479" s="1069" t="e">
        <f ca="1">MAXIFS(#REF!,#REF!,"&lt;&gt;0",#REF!,"&gt;="&amp;B448,#REF!,"&lt;="&amp;EOMONTH(B448,0))</f>
        <v>#NAME?</v>
      </c>
      <c r="J479" s="1072" t="e">
        <f>COUNTIFS(#REF!,"&gt;="&amp;D479,#REF!,"&gt;="&amp;B448,#REF!,"&lt;="&amp;EOMONTH(B448,0))</f>
        <v>#REF!</v>
      </c>
      <c r="K479" s="1341" t="e">
        <f t="shared" ref="K479:K480" si="215">J479/E479</f>
        <v>#REF!</v>
      </c>
      <c r="L479" s="1281"/>
      <c r="M479" s="1289"/>
      <c r="N479" s="1290"/>
      <c r="O479" s="1290"/>
      <c r="P479" s="1286"/>
      <c r="Q479" s="1286"/>
      <c r="R479" s="1286"/>
      <c r="S479" s="1286"/>
      <c r="T479" s="1290"/>
      <c r="U479" s="1290"/>
      <c r="V479" s="1285"/>
      <c r="W479" s="1293"/>
      <c r="X479" s="1293"/>
      <c r="Y479" s="1286"/>
      <c r="Z479" s="1286"/>
      <c r="AA479" s="1286"/>
      <c r="AB479" s="1286"/>
      <c r="AC479" s="1293"/>
      <c r="AD479" s="1249"/>
      <c r="AE479" s="1285"/>
      <c r="AF479" s="1293"/>
      <c r="AG479" s="1293"/>
      <c r="AH479" s="1293"/>
      <c r="AI479" s="1293"/>
      <c r="AJ479" s="1293"/>
      <c r="AK479" s="1285"/>
      <c r="AL479" s="1293"/>
      <c r="AM479" s="1293"/>
      <c r="AN479" s="1293"/>
      <c r="AO479" s="1293"/>
      <c r="AP479" s="1293"/>
      <c r="AQ479" s="1285"/>
      <c r="AR479" s="1293"/>
      <c r="AS479" s="1293"/>
      <c r="AT479" s="1293"/>
      <c r="AU479" s="1293"/>
      <c r="AV479" s="1293"/>
      <c r="AW479" s="1293"/>
      <c r="AX479" s="1294"/>
      <c r="AY479" s="1295"/>
      <c r="AZ479" s="1403" t="e">
        <f t="shared" si="204"/>
        <v>#REF!</v>
      </c>
      <c r="BA479" s="2"/>
    </row>
    <row r="480" spans="1:53" ht="15.75" hidden="1" customHeight="1" outlineLevel="1">
      <c r="A480" s="1027"/>
      <c r="B480" s="1404"/>
      <c r="C480" s="1121" t="s">
        <v>170</v>
      </c>
      <c r="D480" s="1122">
        <f>Parametres!$D$40</f>
        <v>10000000</v>
      </c>
      <c r="E480" s="1068" t="e">
        <f>COUNTIFS(#REF!,"&gt;0",#REF!,"&gt;="&amp;B448,#REF!,"&lt;="&amp;EOMONTH(B448,0))</f>
        <v>#REF!</v>
      </c>
      <c r="F480" s="1069" t="e">
        <f>SUMIFS(#REF!,#REF!,"&lt;&gt;0",#REF!,"&gt;="&amp;B448,#REF!,"&lt;="&amp;EOMONTH(B448,0))</f>
        <v>#REF!</v>
      </c>
      <c r="G480" s="1069" t="e">
        <f t="shared" si="202"/>
        <v>#REF!</v>
      </c>
      <c r="H480" s="1070" t="e">
        <f ca="1">MINIFS(#REF!,#REF!,"&lt;&gt;0",#REF!,"&gt;="&amp;B448,#REF!,"&lt;="&amp;EOMONTH(B448,0))</f>
        <v>#NAME?</v>
      </c>
      <c r="I480" s="1069" t="e">
        <f ca="1">MAXIFS(#REF!,#REF!,"&lt;&gt;0",#REF!,"&gt;="&amp;B448,#REF!,"&lt;="&amp;EOMONTH(B448,0))</f>
        <v>#NAME?</v>
      </c>
      <c r="J480" s="1114" t="e">
        <f>COUNTIFS(#REF!,"&gt;="&amp;D480,#REF!,"&gt;="&amp;B449,#REF!,"&lt;="&amp;EOMONTH(B449,0))</f>
        <v>#REF!</v>
      </c>
      <c r="K480" s="1341" t="e">
        <f t="shared" si="215"/>
        <v>#REF!</v>
      </c>
      <c r="L480" s="1281"/>
      <c r="M480" s="1289"/>
      <c r="N480" s="1313"/>
      <c r="O480" s="1313"/>
      <c r="P480" s="1315"/>
      <c r="Q480" s="1317"/>
      <c r="R480" s="1286"/>
      <c r="S480" s="1286"/>
      <c r="T480" s="1290"/>
      <c r="U480" s="1290"/>
      <c r="V480" s="1285"/>
      <c r="W480" s="1293"/>
      <c r="X480" s="1293"/>
      <c r="Y480" s="1315"/>
      <c r="Z480" s="1286"/>
      <c r="AA480" s="1286"/>
      <c r="AB480" s="1286"/>
      <c r="AC480" s="1293"/>
      <c r="AD480" s="1249"/>
      <c r="AE480" s="1285"/>
      <c r="AF480" s="1293"/>
      <c r="AG480" s="1293"/>
      <c r="AH480" s="1293"/>
      <c r="AI480" s="1293"/>
      <c r="AJ480" s="1293"/>
      <c r="AK480" s="1285"/>
      <c r="AL480" s="1321"/>
      <c r="AM480" s="1293"/>
      <c r="AN480" s="1293"/>
      <c r="AO480" s="1293"/>
      <c r="AP480" s="1293"/>
      <c r="AQ480" s="1285"/>
      <c r="AR480" s="1293"/>
      <c r="AS480" s="1293"/>
      <c r="AT480" s="1293"/>
      <c r="AU480" s="1293"/>
      <c r="AV480" s="1293"/>
      <c r="AW480" s="1293"/>
      <c r="AX480" s="1294"/>
      <c r="AY480" s="1295"/>
      <c r="AZ480" s="1403"/>
      <c r="BA480" s="2"/>
    </row>
    <row r="481" spans="1:53" ht="15.75" hidden="1" customHeight="1" outlineLevel="1">
      <c r="A481" s="1027"/>
      <c r="B481" s="1404"/>
      <c r="C481" s="1031" t="s">
        <v>38</v>
      </c>
      <c r="D481" s="1122">
        <f>Parametres!$D$39</f>
        <v>1000000</v>
      </c>
      <c r="E481" s="1068" t="e">
        <f>COUNTIFS(#REF!,"&gt;0",#REF!,"&gt;="&amp;B448,#REF!,"&lt;="&amp;EOMONTH(B448,0))</f>
        <v>#REF!</v>
      </c>
      <c r="F481" s="1069" t="e">
        <f>SUMIFS(#REF!,#REF!,"&lt;&gt;0",#REF!,"&gt;="&amp;B448,#REF!,"&lt;="&amp;EOMONTH(B448,0))</f>
        <v>#REF!</v>
      </c>
      <c r="G481" s="1069" t="e">
        <f t="shared" si="202"/>
        <v>#REF!</v>
      </c>
      <c r="H481" s="1070" t="e">
        <f ca="1">MINIFS(#REF!,#REF!,"&lt;&gt;0",#REF!,"&gt;="&amp;B448,#REF!,"&lt;="&amp;EOMONTH(B448,0))</f>
        <v>#NAME?</v>
      </c>
      <c r="I481" s="1069" t="e">
        <f ca="1">MAXIFS(#REF!,#REF!,"&lt;&gt;0",#REF!,"&gt;="&amp;B448,#REF!,"&lt;="&amp;EOMONTH(B448,0))</f>
        <v>#NAME?</v>
      </c>
      <c r="J481" s="1072" t="s">
        <v>153</v>
      </c>
      <c r="K481" s="1072" t="s">
        <v>153</v>
      </c>
      <c r="L481" s="1281"/>
      <c r="M481" s="1289"/>
      <c r="N481" s="1328">
        <f>Parametres!$L$39</f>
        <v>100000</v>
      </c>
      <c r="O481" s="1077">
        <f>COUNTIF('Degrémont Entrée'!$U$14:$U$44,"&gt;0")</f>
        <v>4</v>
      </c>
      <c r="P481" s="1078">
        <f>SUMIFS('Degrémont Entrée'!$U$14:$U$379,'Degrémont Entrée'!$U$14:$U$379,"&lt;&gt;0",'Degrémont Entrée'!$A$14:$A$379,"&gt;="&amp;B448,'Degrémont Entrée'!$A$14:$A$379,"&lt;="&amp;EOMONTH(B448,0))</f>
        <v>230</v>
      </c>
      <c r="Q481" s="1283">
        <f t="shared" ref="Q481:Q484" si="216">IF(O481=0,0,P481/O481)</f>
        <v>57.5</v>
      </c>
      <c r="R481" s="1286" t="e">
        <f ca="1">MINIFS('Degrémont Entrée'!$U$14:$U$379,'Degrémont Entrée'!$U$14:$U$379,"&lt;&gt;0",'Degrémont Entrée'!$A$14:$A$379,"&gt;="&amp;B448,'Degrémont Entrée'!$A$14:$A$379,"&lt;="&amp;EOMONTH(B448,0))</f>
        <v>#NAME?</v>
      </c>
      <c r="S481" s="1286" t="e">
        <f ca="1">MAXIFS('Degrémont Entrée'!$U$14:$U$379,'Degrémont Entrée'!$U$14:$U$379,"&lt;&gt;0",'Degrémont Entrée'!$A$14:$A$379,"&gt;="&amp;B448,'Degrémont Entrée'!$A$14:$A$379,"&lt;="&amp;EOMONTH(B448,0))</f>
        <v>#NAME?</v>
      </c>
      <c r="T481" s="1291" t="s">
        <v>153</v>
      </c>
      <c r="U481" s="1291" t="s">
        <v>153</v>
      </c>
      <c r="V481" s="1285"/>
      <c r="W481" s="1083">
        <f>Parametres!T479</f>
        <v>0</v>
      </c>
      <c r="X481" s="1142">
        <f>COUNTIFS('Degrémont sortie'!$O$14:$O$379,"&gt;0",'Degrémont sortie'!$A$14:$A$379,"&gt;="&amp;B448,'Degrémont sortie'!$A$14:$A$379,"&lt;="&amp;EOMONTH(B448,0))</f>
        <v>5</v>
      </c>
      <c r="Y481" s="1085">
        <f>SUMIFS('Degrémont sortie'!$O$14:$O$379,'Degrémont sortie'!$O$14:$O$379,"&lt;&gt;0",'Degrémont sortie'!$A$14:$A$379,"&gt;="&amp;B448,'Degrémont sortie'!$A$14:$A$379,"&lt;="&amp;EOMONTH(B448,0))</f>
        <v>40.799999999999997</v>
      </c>
      <c r="Z481" s="1069">
        <f t="shared" ref="Z481:Z487" si="217">IF(X481=0,0,Y481/X481)</f>
        <v>8.16</v>
      </c>
      <c r="AA481" s="1286" t="e">
        <f ca="1">MINIFS('Degrémont sortie'!$O$14:$O$379,'Degrémont sortie'!$O$14:$O$379,"&lt;&gt;0",'Degrémont sortie'!$A$14:$A$379,"&gt;="&amp;B448,'Degrémont sortie'!$A$14:$A$379,"&lt;="&amp;EOMONTH(B448,0))</f>
        <v>#NAME?</v>
      </c>
      <c r="AB481" s="1286" t="e">
        <f ca="1">MAXIFS('Degrémont sortie'!$O$14:$O$379,'Degrémont sortie'!$O$14:$O$379,"&lt;&gt;0",'Degrémont sortie'!$A$14:$A$379,"&gt;="&amp;B448,'Degrémont sortie'!$A$14:$A$379,"&lt;="&amp;EOMONTH(B448,0))</f>
        <v>#NAME?</v>
      </c>
      <c r="AC481" s="1291" t="s">
        <v>153</v>
      </c>
      <c r="AD481" s="1292" t="s">
        <v>153</v>
      </c>
      <c r="AE481" s="1285"/>
      <c r="AF481" s="1293"/>
      <c r="AG481" s="1293"/>
      <c r="AH481" s="1293"/>
      <c r="AI481" s="1293"/>
      <c r="AJ481" s="1293"/>
      <c r="AK481" s="1285"/>
      <c r="AL481" s="1205" t="e">
        <f>COUNTIFS(#REF!,"&gt;0",#REF!,"&gt;="&amp;B448,#REF!,"&lt;="&amp;EOMONTH(B448,0))</f>
        <v>#REF!</v>
      </c>
      <c r="AM481" s="1208" t="e">
        <f>SUMIFS(#REF!,#REF!,"&lt;&gt;0",#REF!,"&gt;="&amp;B448,#REF!,"&lt;="&amp;EOMONTH(B448,0))</f>
        <v>#REF!</v>
      </c>
      <c r="AN481" s="1208" t="e">
        <f>IF(AL481=0,0,AM481/AL481)</f>
        <v>#REF!</v>
      </c>
      <c r="AO481" s="1141" t="e">
        <f ca="1">MINIFS(#REF!,#REF!,"&lt;&gt;0",#REF!,"&gt;="&amp;B448,#REF!,"&lt;="&amp;EOMONTH(B448,0))</f>
        <v>#NAME?</v>
      </c>
      <c r="AP481" s="1141" t="e">
        <f ca="1">MAXIFS(#REF!,#REF!,"&lt;&gt;0",#REF!,"&gt;="&amp;B448,#REF!,"&lt;="&amp;EOMONTH(B448,0))</f>
        <v>#NAME?</v>
      </c>
      <c r="AQ481" s="1285"/>
      <c r="AR481" s="1293"/>
      <c r="AS481" s="1293"/>
      <c r="AT481" s="1293"/>
      <c r="AU481" s="1293"/>
      <c r="AV481" s="1293"/>
      <c r="AW481" s="1293"/>
      <c r="AX481" s="1294"/>
      <c r="AY481" s="1295"/>
      <c r="AZ481" s="1403" t="e">
        <f t="shared" ref="AZ481:AZ493" si="218">SUM(E481+O481+X481+AF481+AL481+AS481)</f>
        <v>#REF!</v>
      </c>
      <c r="BA481" s="2"/>
    </row>
    <row r="482" spans="1:53" ht="15.75" hidden="1" customHeight="1" outlineLevel="1">
      <c r="A482" s="1027"/>
      <c r="B482" s="1404"/>
      <c r="C482" s="1031" t="s">
        <v>33</v>
      </c>
      <c r="D482" s="1122" t="str">
        <f>Parametres!$D$41</f>
        <v>5,5-8,5</v>
      </c>
      <c r="E482" s="1068" t="e">
        <f>COUNTIFS(#REF!,"&gt;0",#REF!,"&gt;="&amp;B448,#REF!,"&lt;="&amp;EOMONTH(B448,0))</f>
        <v>#REF!</v>
      </c>
      <c r="F482" s="1069" t="e">
        <f>SUMIFS(#REF!,#REF!,"&lt;&gt;0",#REF!,"&gt;="&amp;B448,#REF!,"&lt;="&amp;EOMONTH(B448,0))</f>
        <v>#REF!</v>
      </c>
      <c r="G482" s="1069" t="e">
        <f t="shared" si="202"/>
        <v>#REF!</v>
      </c>
      <c r="H482" s="1070" t="e">
        <f ca="1">MINIFS(#REF!,#REF!,"&lt;&gt;0",#REF!,"&gt;="&amp;B448,#REF!,"&lt;="&amp;EOMONTH(B448,0))</f>
        <v>#NAME?</v>
      </c>
      <c r="I482" s="1069" t="e">
        <f ca="1">MAXIFS(#REF!,#REF!,"&lt;&gt;0",#REF!,"&gt;="&amp;B448,#REF!,"&lt;="&amp;EOMONTH(B448,0))</f>
        <v>#NAME?</v>
      </c>
      <c r="J482" s="1114" t="e">
        <f>COUNTIFS(#REF!,"&lt;="&amp;D482,#REF!,"&gt;="&amp;B448,#REF!,"&lt;="&amp;EOMONTH(B448,0))</f>
        <v>#REF!</v>
      </c>
      <c r="K482" s="1341" t="e">
        <f t="shared" ref="K482:K484" si="219">J482/E482</f>
        <v>#REF!</v>
      </c>
      <c r="L482" s="1281"/>
      <c r="M482" s="1289"/>
      <c r="N482" s="1144">
        <f>Parametres!$L$41</f>
        <v>100000000</v>
      </c>
      <c r="O482" s="1077">
        <f>COUNTIFS('Degrémont Entrée'!$C$14:$C$379,"&gt;0",'Degrémont Entrée'!$A$14:$A$379,"&gt;="&amp;B448,'Degrémont Entrée'!$A$14:$A$379,"&lt;="&amp;EOMONTH(B448,0))</f>
        <v>27</v>
      </c>
      <c r="P482" s="1078">
        <f>SUMIFS('Degrémont Entrée'!$C$14:$C$379,'Degrémont Entrée'!$C$14:$C$379,"&lt;&gt;0",'Degrémont Entrée'!$A$14:$A$379,"&gt;="&amp;B448,'Degrémont Entrée'!$A$14:$A$379,"&lt;="&amp;EOMONTH(B448,0))</f>
        <v>213.54999999999998</v>
      </c>
      <c r="Q482" s="1283">
        <f t="shared" si="216"/>
        <v>7.909259259259259</v>
      </c>
      <c r="R482" s="1286" t="e">
        <f ca="1">MINIFS('Degrémont Entrée'!$C$14:$C$379,'Degrémont Entrée'!$C$14:$C$379,"&lt;&gt;0",'Degrémont Entrée'!$A$14:$A$379,"&gt;="&amp;B448,'Degrémont Entrée'!$A$14:$A$379,"&lt;="&amp;EOMONTH(B448,0))</f>
        <v>#NAME?</v>
      </c>
      <c r="S482" s="1286" t="e">
        <f ca="1">MAXIFS('Degrémont Entrée'!$C$14:$C$379,'Degrémont Entrée'!$C$14:$C$379,"&lt;&gt;0",'Degrémont Entrée'!$A$14:$A$379,"&gt;="&amp;B448,'Degrémont Entrée'!$A$14:$A$379,"&lt;="&amp;EOMONTH(B448,0))</f>
        <v>#NAME?</v>
      </c>
      <c r="T482" s="1291" t="s">
        <v>153</v>
      </c>
      <c r="U482" s="1291" t="s">
        <v>153</v>
      </c>
      <c r="V482" s="1285"/>
      <c r="W482" s="1083">
        <f>Parametres!$T$41</f>
        <v>100000000</v>
      </c>
      <c r="X482" s="1142">
        <f>COUNTIFS('Degrémont sortie'!$C$14:$C$379,"&gt;0",'Degrémont sortie'!$A$14:$A$379,"&gt;="&amp;B448,'Degrémont sortie'!$A$14:$A$379,"&lt;="&amp;EOMONTH(B448,0))</f>
        <v>27</v>
      </c>
      <c r="Y482" s="1085">
        <f>SUMIFS('Degrémont sortie'!$C$14:$C$379,'Degrémont sortie'!$C$14:$C$379,"&lt;&gt;0",'Degrémont sortie'!$A$14:$A$379,"&gt;="&amp;B448,'Degrémont sortie'!$A$14:$A$379,"&lt;="&amp;EOMONTH(B448,0))</f>
        <v>241.68999999999997</v>
      </c>
      <c r="Z482" s="1069">
        <f t="shared" si="217"/>
        <v>8.9514814814814798</v>
      </c>
      <c r="AA482" s="1286" t="e">
        <f ca="1">MINIFS('Degrémont sortie'!$C$14:$C$379,'Degrémont sortie'!$C$14:$C$379,"&lt;&gt;0",'Degrémont sortie'!$A$14:$A$379,"&gt;="&amp;B448,'Degrémont sortie'!$A$14:$A$379,"&lt;="&amp;EOMONTH(B448,0))</f>
        <v>#NAME?</v>
      </c>
      <c r="AB482" s="1286" t="e">
        <f ca="1">MAXIFS('Degrémont sortie'!$C$14:$C$379,'Degrémont sortie'!$C$14:$C$379,"&lt;&gt;0",'Degrémont sortie'!$A$14:$A$379,"&gt;="&amp;B448,'Degrémont sortie'!$A$14:$A$379,"&lt;="&amp;EOMONTH(B448,0))</f>
        <v>#NAME?</v>
      </c>
      <c r="AC482" s="1291" t="s">
        <v>153</v>
      </c>
      <c r="AD482" s="1292" t="s">
        <v>153</v>
      </c>
      <c r="AE482" s="1285"/>
      <c r="AF482" s="1293"/>
      <c r="AG482" s="1293"/>
      <c r="AH482" s="1293"/>
      <c r="AI482" s="1293"/>
      <c r="AJ482" s="1293"/>
      <c r="AK482" s="1285"/>
      <c r="AL482" s="1293"/>
      <c r="AM482" s="1293"/>
      <c r="AN482" s="1293"/>
      <c r="AO482" s="1293"/>
      <c r="AP482" s="1293"/>
      <c r="AQ482" s="1285"/>
      <c r="AR482" s="1293"/>
      <c r="AS482" s="1293"/>
      <c r="AT482" s="1293"/>
      <c r="AU482" s="1293"/>
      <c r="AV482" s="1293"/>
      <c r="AW482" s="1293"/>
      <c r="AX482" s="1294"/>
      <c r="AY482" s="1295"/>
      <c r="AZ482" s="1403" t="e">
        <f t="shared" si="218"/>
        <v>#REF!</v>
      </c>
      <c r="BA482" s="2"/>
    </row>
    <row r="483" spans="1:53" ht="15.75" hidden="1" customHeight="1" outlineLevel="1">
      <c r="A483" s="1027"/>
      <c r="B483" s="1404"/>
      <c r="C483" s="1031" t="s">
        <v>49</v>
      </c>
      <c r="D483" s="1122">
        <f>Parametres!$D$42</f>
        <v>0.5</v>
      </c>
      <c r="E483" s="1068" t="e">
        <f>COUNTIFS(#REF!,"&gt;0",#REF!,"&gt;="&amp;B448,#REF!,"&lt;="&amp;EOMONTH(B448,0))</f>
        <v>#REF!</v>
      </c>
      <c r="F483" s="1069" t="e">
        <f>SUMIFS(#REF!,#REF!,"&lt;&gt;0",#REF!,"&gt;="&amp;B448,#REF!,"&lt;="&amp;EOMONTH(B448,0))</f>
        <v>#REF!</v>
      </c>
      <c r="G483" s="1069" t="e">
        <f t="shared" si="202"/>
        <v>#REF!</v>
      </c>
      <c r="H483" s="1070" t="e">
        <f ca="1">MINIFS(#REF!,#REF!,"&lt;&gt;0",#REF!,"&gt;="&amp;B448,#REF!,"&lt;="&amp;EOMONTH(B448,0))</f>
        <v>#NAME?</v>
      </c>
      <c r="I483" s="1069" t="e">
        <f ca="1">MAXIFS(#REF!,#REF!,"&lt;&gt;0",#REF!,"&gt;="&amp;B448,#REF!,"&lt;="&amp;EOMONTH(B448,0))</f>
        <v>#NAME?</v>
      </c>
      <c r="J483" s="1114" t="e">
        <f>COUNTIFS(#REF!,"&gt;="&amp;D483,#REF!,"&gt;="&amp;B448,#REF!,"&lt;="&amp;EOMONTH(B448,0))</f>
        <v>#REF!</v>
      </c>
      <c r="K483" s="1341" t="e">
        <f t="shared" si="219"/>
        <v>#REF!</v>
      </c>
      <c r="L483" s="1281"/>
      <c r="M483" s="1289"/>
      <c r="N483" s="1144">
        <f>Parametres!$L$42</f>
        <v>0.3</v>
      </c>
      <c r="O483" s="1077">
        <f>COUNTIFS('Degrémont Entrée'!$BE$14:$BE$379,"&gt;0",'Degrémont Entrée'!$A$14:$A$379,"&gt;="&amp;B448,'Degrémont Entrée'!$A$14:$A$379,"&lt;="&amp;EOMONTH(B448,0))</f>
        <v>5</v>
      </c>
      <c r="P483" s="1078">
        <f>SUMIFS('Degrémont Entrée'!$BE$14:$BE$379,'Degrémont Entrée'!$BE$14:$BE$379,"&lt;&gt;0",'Degrémont Entrée'!$A$14:$A$379,"&gt;="&amp;B448,'Degrémont Entrée'!$A$14:$A$379,"&lt;="&amp;EOMONTH(B448,0))</f>
        <v>0.72000000000000008</v>
      </c>
      <c r="Q483" s="1283">
        <f t="shared" si="216"/>
        <v>0.14400000000000002</v>
      </c>
      <c r="R483" s="1286" t="e">
        <f ca="1">MINIFS('Degrémont Entrée'!$BE$14:$BE$379,'Degrémont Entrée'!$BE$14:$BE$379,"&lt;&gt;0",'Degrémont Entrée'!$A$14:$A$379,"&gt;="&amp;B448,'Degrémont Entrée'!$A$14:$A$379,"&lt;="&amp;EOMONTH(B448,0))</f>
        <v>#NAME?</v>
      </c>
      <c r="S483" s="1286" t="e">
        <f ca="1">MAXIFS('Degrémont Entrée'!$BE$14:$BE$379,'Degrémont Entrée'!$BE$14:$BE$379,"&lt;&gt;0",'Degrémont Entrée'!$A$14:$A$379,"&gt;="&amp;B448,'Degrémont Entrée'!$A$14:$A$379,"&lt;="&amp;EOMONTH(B448,0))</f>
        <v>#NAME?</v>
      </c>
      <c r="T483" s="1141">
        <f>COUNTIFS('Degrémont Entrée'!$BE$14:$BE$379,"&gt;="&amp;N483,'Degrémont Entrée'!$A$14:$A$379,"&gt;="&amp;B448,'Degrémont Entrée'!$A$14:$A$379,"&lt;="&amp;EOMONTH(B448,0))</f>
        <v>0</v>
      </c>
      <c r="U483" s="1081">
        <f t="shared" ref="U483:U484" si="220">T483/O483</f>
        <v>0</v>
      </c>
      <c r="V483" s="1285"/>
      <c r="W483" s="1083">
        <f>Parametres!$T$42</f>
        <v>0.08</v>
      </c>
      <c r="X483" s="1142">
        <f>COUNTIFS('Degrémont sortie'!$AY$14:$AY$379,"&gt;0",'Degrémont sortie'!$A$14:$A$379,"&gt;="&amp;B448,'Degrémont sortie'!$A$14:$A$379,"&lt;="&amp;EOMONTH(B448,0))</f>
        <v>5</v>
      </c>
      <c r="Y483" s="1085">
        <f>SUMIFS('Degrémont sortie'!$AY$14:$AY$379,'Degrémont sortie'!$AY$14:$AY$379,"&lt;&gt;0",'Degrémont sortie'!$A$14:$A$379,"&gt;="&amp;B448,'Degrémont sortie'!$A$14:$A$379,"&lt;="&amp;EOMONTH(B448,0))</f>
        <v>0.29000000000000004</v>
      </c>
      <c r="Z483" s="1069">
        <f t="shared" si="217"/>
        <v>5.800000000000001E-2</v>
      </c>
      <c r="AA483" s="1286" t="e">
        <f ca="1">MINIFS('Degrémont sortie'!$AY$14:$AY$379,'Degrémont sortie'!$AY$14:$AY$379,"&lt;&gt;0",'Degrémont sortie'!$A$14:$A$379,"&gt;="&amp;B448,'Degrémont sortie'!$A$14:$A$379,"&lt;="&amp;EOMONTH(B448,0))</f>
        <v>#NAME?</v>
      </c>
      <c r="AB483" s="1286" t="e">
        <f ca="1">MAXIFS('Degrémont sortie'!$AY$14:$AY$379,'Degrémont sortie'!$AY$14:$AY$379,"&lt;&gt;0",'Degrémont sortie'!$A$14:$A$379,"&gt;="&amp;B448,'Degrémont sortie'!$A$14:$A$379,"&lt;="&amp;EOMONTH(B448,0))</f>
        <v>#NAME?</v>
      </c>
      <c r="AC483" s="1141">
        <f>COUNTIFS('Degrémont sortie'!$AY$14:$AY$379,"&gt;="&amp;W483,'Degrémont sortie'!$A$14:$A$379,"&gt;="&amp;B448,'Degrémont sortie'!$A$14:$A$379,"&lt;="&amp;EOMONTH(B448,0))</f>
        <v>2</v>
      </c>
      <c r="AD483" s="1087">
        <f t="shared" ref="AD483:AD484" si="221">AC483/X483</f>
        <v>0.4</v>
      </c>
      <c r="AE483" s="1285"/>
      <c r="AF483" s="1293"/>
      <c r="AG483" s="1293"/>
      <c r="AH483" s="1293"/>
      <c r="AI483" s="1293"/>
      <c r="AJ483" s="1293"/>
      <c r="AK483" s="1285"/>
      <c r="AL483" s="1293"/>
      <c r="AM483" s="1293"/>
      <c r="AN483" s="1293"/>
      <c r="AO483" s="1293"/>
      <c r="AP483" s="1293"/>
      <c r="AQ483" s="1285"/>
      <c r="AR483" s="1293"/>
      <c r="AS483" s="1293"/>
      <c r="AT483" s="1293"/>
      <c r="AU483" s="1293"/>
      <c r="AV483" s="1293"/>
      <c r="AW483" s="1293"/>
      <c r="AX483" s="1294"/>
      <c r="AY483" s="1295"/>
      <c r="AZ483" s="1403" t="e">
        <f t="shared" si="218"/>
        <v>#REF!</v>
      </c>
      <c r="BA483" s="2"/>
    </row>
    <row r="484" spans="1:53" ht="15.75" hidden="1" customHeight="1" outlineLevel="1">
      <c r="A484" s="1027"/>
      <c r="B484" s="1404"/>
      <c r="C484" s="1031" t="s">
        <v>37</v>
      </c>
      <c r="D484" s="1122">
        <f>Parametres!$D$43</f>
        <v>15</v>
      </c>
      <c r="E484" s="1069"/>
      <c r="F484" s="1069"/>
      <c r="G484" s="1069">
        <f t="shared" si="202"/>
        <v>0</v>
      </c>
      <c r="H484" s="1070" t="e">
        <f ca="1">MINIFS(#REF!,#REF!,"&lt;&gt;0",#REF!,"&gt;="&amp;B448,#REF!,"&lt;="&amp;EOMONTH(B448,0))</f>
        <v>#NAME?</v>
      </c>
      <c r="I484" s="1069" t="e">
        <f ca="1">MAXIFS(#REF!,#REF!,"&lt;&gt;0",#REF!,"&gt;="&amp;B448,#REF!,"&lt;="&amp;EOMONTH(B448,0))</f>
        <v>#NAME?</v>
      </c>
      <c r="J484" s="1114" t="e">
        <f>COUNTIFS(#REF!,"&gt;="&amp;D484,#REF!,"&gt;="&amp;B449,#REF!,"&lt;="&amp;EOMONTH(B449,0))</f>
        <v>#REF!</v>
      </c>
      <c r="K484" s="1341" t="e">
        <f t="shared" si="219"/>
        <v>#REF!</v>
      </c>
      <c r="L484" s="1281"/>
      <c r="M484" s="1289"/>
      <c r="N484" s="1144">
        <f>Parametres!$L$43</f>
        <v>500</v>
      </c>
      <c r="O484" s="1077">
        <f>COUNTIFS('Degrémont Entrée'!$S$14:$S$379,"&gt;0",'Degrémont Entrée'!$A$14:$A$379,"&gt;="&amp;B448,'Degrémont Entrée'!$A$14:$A$379,"&lt;="&amp;EOMONTH(B448,0))</f>
        <v>27</v>
      </c>
      <c r="P484" s="1078">
        <f>SUMIFS('Degrémont Entrée'!$S$14:$S$379,'Degrémont Entrée'!$S$14:$S$379,"&lt;&gt;0",'Degrémont Entrée'!$A$14:$A$379,"&gt;="&amp;B448,'Degrémont Entrée'!$A$14:$A$379,"&lt;="&amp;EOMONTH(B448,0))</f>
        <v>4237.6000000000004</v>
      </c>
      <c r="Q484" s="1283">
        <f t="shared" si="216"/>
        <v>156.94814814814816</v>
      </c>
      <c r="R484" s="1286" t="e">
        <f ca="1">MINIFS('Degrémont Entrée'!$S$14:$S$379,'Degrémont Entrée'!$S$14:$S$379,"&lt;&gt;0",'Degrémont Entrée'!$A$14:$A$379,"&gt;="&amp;B448,'Degrémont Entrée'!$A$14:$A$379,"&lt;="&amp;EOMONTH(B448,0))</f>
        <v>#NAME?</v>
      </c>
      <c r="S484" s="1286" t="e">
        <f ca="1">MAXIFS('Degrémont Entrée'!$S$14:$S$379,'Degrémont Entrée'!$S$14:$S$379,"&lt;&gt;0",'Degrémont Entrée'!$A$14:$A$379,"&gt;="&amp;B448,'Degrémont Entrée'!$A$14:$A$379,"&lt;="&amp;EOMONTH(B448,0))</f>
        <v>#NAME?</v>
      </c>
      <c r="T484" s="1141">
        <f>COUNTIFS('Degrémont Entrée'!$S$14:$S$379,"&gt;="&amp;N484,'Degrémont Entrée'!$A$14:$A$379,"&gt;="&amp;B448,'Degrémont Entrée'!$A$14:$A$379,"&lt;="&amp;EOMONTH(B448,0))</f>
        <v>0</v>
      </c>
      <c r="U484" s="1081">
        <f t="shared" si="220"/>
        <v>0</v>
      </c>
      <c r="V484" s="1285"/>
      <c r="W484" s="1083">
        <f>Parametres!$T$43</f>
        <v>20</v>
      </c>
      <c r="X484" s="1142">
        <f>COUNTIFS('Degrémont sortie'!$M$14:$M$379,"&gt;0",'Degrémont sortie'!$A$14:$A$379,"&gt;="&amp;B448,'Degrémont sortie'!$A$14:$A$379,"&lt;="&amp;EOMONTH(B448,0))</f>
        <v>27</v>
      </c>
      <c r="Y484" s="1085">
        <f>SUMIFS('Degrémont sortie'!$M$14:$M$379,'Degrémont sortie'!$M$14:$M$379,"&lt;&gt;0",'Degrémont sortie'!$A$14:$A$379,"&gt;="&amp;B448,'Degrémont sortie'!$A$14:$A$379,"&lt;="&amp;EOMONTH(B448,0))</f>
        <v>23.989999999999995</v>
      </c>
      <c r="Z484" s="1069">
        <f t="shared" si="217"/>
        <v>0.88851851851851837</v>
      </c>
      <c r="AA484" s="1286" t="e">
        <f ca="1">MINIFS('Degrémont sortie'!$M$14:$M$379,'Degrémont sortie'!$M$14:$M$379,"&lt;&gt;0",'Degrémont sortie'!$A$14:$A$379,"&gt;="&amp;B448,'Degrémont sortie'!$A$14:$A$379,"&lt;="&amp;EOMONTH(B448,0))</f>
        <v>#NAME?</v>
      </c>
      <c r="AB484" s="1286" t="e">
        <f ca="1">MAXIFS('Degrémont sortie'!$M$14:$M$379,'Degrémont sortie'!$M$14:$M$379,"&lt;&gt;0",'Degrémont sortie'!$A$14:$A$379,"&gt;="&amp;B448,'Degrémont sortie'!$A$14:$A$379,"&lt;="&amp;EOMONTH(B448,0))</f>
        <v>#NAME?</v>
      </c>
      <c r="AC484" s="1141">
        <f>COUNTIFS('Degrémont sortie'!$M$14:$M$379,"&gt;="&amp;W484,'Degrémont sortie'!$A$14:$A$379,"&gt;="&amp;B448,'Degrémont sortie'!$A$14:$A$379,"&lt;="&amp;EOMONTH(B448,0))</f>
        <v>0</v>
      </c>
      <c r="AD484" s="1087">
        <f t="shared" si="221"/>
        <v>0</v>
      </c>
      <c r="AE484" s="1285"/>
      <c r="AF484" s="1293"/>
      <c r="AG484" s="1293"/>
      <c r="AH484" s="1293"/>
      <c r="AI484" s="1293"/>
      <c r="AJ484" s="1293"/>
      <c r="AK484" s="1285"/>
      <c r="AL484" s="1205" t="e">
        <f>COUNTIFS(#REF!,"&gt;0",#REF!,"&gt;="&amp;B448,#REF!,"&lt;="&amp;EOMONTH(B448,0))</f>
        <v>#REF!</v>
      </c>
      <c r="AM484" s="1208" t="e">
        <f>SUMIFS(#REF!,#REF!,"&lt;&gt;0",#REF!,"&gt;="&amp;B448,#REF!,"&lt;="&amp;EOMONTH(B448,0))</f>
        <v>#REF!</v>
      </c>
      <c r="AN484" s="1208" t="e">
        <f t="shared" ref="AN484:AN486" si="222">IF(AL484=0,0,AM484/AL484)</f>
        <v>#REF!</v>
      </c>
      <c r="AO484" s="1141" t="e">
        <f ca="1">MINIFS(#REF!,#REF!,"&lt;&gt;0",#REF!,"&gt;="&amp;B448,#REF!,"&lt;="&amp;EOMONTH(B448,0))</f>
        <v>#NAME?</v>
      </c>
      <c r="AP484" s="1141" t="e">
        <f ca="1">MAXIFS(#REF!,#REF!,"&lt;&gt;0",#REF!,"&gt;="&amp;B448,#REF!,"&lt;="&amp;EOMONTH(B448,0))</f>
        <v>#NAME?</v>
      </c>
      <c r="AQ484" s="1285"/>
      <c r="AR484" s="1293"/>
      <c r="AS484" s="1293"/>
      <c r="AT484" s="1293"/>
      <c r="AU484" s="1293"/>
      <c r="AV484" s="1293"/>
      <c r="AW484" s="1293"/>
      <c r="AX484" s="1294"/>
      <c r="AY484" s="1295"/>
      <c r="AZ484" s="1403" t="e">
        <f t="shared" si="218"/>
        <v>#REF!</v>
      </c>
      <c r="BA484" s="2"/>
    </row>
    <row r="485" spans="1:53" ht="15.75" hidden="1" customHeight="1" outlineLevel="1">
      <c r="A485" s="1027"/>
      <c r="B485" s="1404"/>
      <c r="C485" s="1031" t="s">
        <v>301</v>
      </c>
      <c r="D485" s="1102"/>
      <c r="E485" s="1069"/>
      <c r="F485" s="1069"/>
      <c r="G485" s="1069"/>
      <c r="H485" s="1069"/>
      <c r="I485" s="1069"/>
      <c r="J485" s="1102"/>
      <c r="K485" s="1102"/>
      <c r="L485" s="1281"/>
      <c r="M485" s="1289"/>
      <c r="N485" s="1290"/>
      <c r="O485" s="1290"/>
      <c r="P485" s="1286"/>
      <c r="Q485" s="1283"/>
      <c r="R485" s="1286"/>
      <c r="S485" s="1286"/>
      <c r="T485" s="1290"/>
      <c r="U485" s="1290"/>
      <c r="V485" s="1285"/>
      <c r="W485" s="1083">
        <f>Parametres!$T$44</f>
        <v>100000</v>
      </c>
      <c r="X485" s="1329">
        <f>COUNTIFS('Degrémont sortie'!$BA$14:$BA$379,"&gt;0",'Degrémont sortie'!$A$14:$A$379,"&gt;="&amp;B448,'Degrémont sortie'!$A$14:$A$379,"&lt;="&amp;EOMONTH(B448,0))</f>
        <v>27</v>
      </c>
      <c r="Y485" s="1286" t="e">
        <f>SUMIFS('Degrémont sortie'!$BA$14:$BA$379,'Degrémont sortie'!$BA$14:$BA$379,"&lt;&gt;0",'Degrémont sortie'!$A$14:$A$379,"&gt;="&amp;B448,'Degrémont sortie'!$A$14:$A$379,"&lt;="&amp;EOMONTH(B448,0))</f>
        <v>#DIV/0!</v>
      </c>
      <c r="Z485" s="1069" t="e">
        <f t="shared" si="217"/>
        <v>#DIV/0!</v>
      </c>
      <c r="AA485" s="1286" t="e">
        <f ca="1">MINIFS('Degrémont sortie'!$BA$14:$BA$379,'Degrémont sortie'!$BA$14:$BA$379,"&lt;&gt;0",'Degrémont sortie'!$A$14:$A$379,"&gt;="&amp;B448,'Degrémont sortie'!$A$14:$A$379,"&lt;="&amp;EOMONTH(B448,0))</f>
        <v>#NAME?</v>
      </c>
      <c r="AB485" s="1286" t="e">
        <f ca="1">MAXIFS('Degrémont sortie'!$BA$14:$BA$379,'Degrémont sortie'!$BA$14:$BA$379,"&lt;&gt;0",'Degrémont sortie'!$A$14:$A$379,"&gt;="&amp;B448,'Degrémont sortie'!$A$14:$A$379,"&lt;="&amp;EOMONTH(B448,0))</f>
        <v>#NAME?</v>
      </c>
      <c r="AC485" s="1213" t="s">
        <v>153</v>
      </c>
      <c r="AD485" s="1330" t="s">
        <v>153</v>
      </c>
      <c r="AE485" s="1285"/>
      <c r="AF485" s="1293"/>
      <c r="AG485" s="1293"/>
      <c r="AH485" s="1293"/>
      <c r="AI485" s="1293"/>
      <c r="AJ485" s="1293"/>
      <c r="AK485" s="1285"/>
      <c r="AL485" s="1205" t="e">
        <f>COUNTIFS(#REF!,"&gt;0",#REF!,"&gt;="&amp;B448,#REF!,"&lt;="&amp;EOMONTH(B448,0))</f>
        <v>#REF!</v>
      </c>
      <c r="AM485" s="1208" t="e">
        <f>SUMIFS(#REF!,#REF!,"&lt;&gt;0",#REF!,"&gt;="&amp;B448,#REF!,"&lt;="&amp;EOMONTH(B448,0))</f>
        <v>#REF!</v>
      </c>
      <c r="AN485" s="1208" t="e">
        <f t="shared" si="222"/>
        <v>#REF!</v>
      </c>
      <c r="AO485" s="1208" t="e">
        <f ca="1">MINIFS(#REF!,#REF!,"&lt;&gt;0",#REF!,"&gt;="&amp;B448,#REF!,"&lt;="&amp;EOMONTH(B448,0))</f>
        <v>#NAME?</v>
      </c>
      <c r="AP485" s="1208" t="e">
        <f ca="1">MAXIFS(#REF!,#REF!,"&lt;&gt;0",#REF!,"&gt;="&amp;B448,#REF!,"&lt;="&amp;EOMONTH(B448,0))</f>
        <v>#NAME?</v>
      </c>
      <c r="AQ485" s="1285"/>
      <c r="AR485" s="1293"/>
      <c r="AS485" s="1293"/>
      <c r="AT485" s="1293"/>
      <c r="AU485" s="1293"/>
      <c r="AV485" s="1293"/>
      <c r="AW485" s="1293"/>
      <c r="AX485" s="1294"/>
      <c r="AY485" s="1295"/>
      <c r="AZ485" s="1403" t="e">
        <f t="shared" si="218"/>
        <v>#REF!</v>
      </c>
      <c r="BA485" s="2"/>
    </row>
    <row r="486" spans="1:53" ht="15.75" hidden="1" customHeight="1" outlineLevel="1">
      <c r="A486" s="1027"/>
      <c r="B486" s="1404"/>
      <c r="C486" s="1031" t="s">
        <v>302</v>
      </c>
      <c r="D486" s="1102"/>
      <c r="E486" s="1069"/>
      <c r="F486" s="1069"/>
      <c r="G486" s="1069"/>
      <c r="H486" s="1069"/>
      <c r="I486" s="1069"/>
      <c r="J486" s="1102"/>
      <c r="K486" s="1102"/>
      <c r="L486" s="1281"/>
      <c r="M486" s="1289"/>
      <c r="N486" s="1290"/>
      <c r="O486" s="1290"/>
      <c r="P486" s="1286"/>
      <c r="Q486" s="1283"/>
      <c r="R486" s="1286"/>
      <c r="S486" s="1286"/>
      <c r="T486" s="1290"/>
      <c r="U486" s="1290"/>
      <c r="V486" s="1285"/>
      <c r="W486" s="1083">
        <f>Parametres!$T$45</f>
        <v>10000</v>
      </c>
      <c r="X486" s="1331">
        <f>COUNTIFS('Degrémont sortie'!BB$14:BB$379,"&gt;0",'Degrémont sortie'!$A$14:$A$379,"&gt;="&amp;B448,'Degrémont sortie'!$A$14:$A$379,"&lt;="&amp;EOMONTH(B448,0))</f>
        <v>27</v>
      </c>
      <c r="Y486" s="1286" t="e">
        <f>SUMIFS('Degrémont sortie'!$BB$14:$BB$379,'Degrémont sortie'!$BB$14:$BB$379,"&lt;&gt;0",'Degrémont sortie'!$A$14:$A$379,"&gt;="&amp;B448,'Degrémont sortie'!$A$14:$A$379,"&lt;="&amp;EOMONTH(B448,0))</f>
        <v>#DIV/0!</v>
      </c>
      <c r="Z486" s="1069" t="e">
        <f t="shared" si="217"/>
        <v>#DIV/0!</v>
      </c>
      <c r="AA486" s="1286" t="e">
        <f ca="1">MINIFS('Degrémont sortie'!$BB$14:$BB$379,'Degrémont sortie'!$BB$14:$BB$379,"&lt;&gt;0",'Degrémont sortie'!$A$14:$A$379,"&gt;="&amp;B448,'Degrémont sortie'!$A$14:$A$379,"&lt;="&amp;EOMONTH(B448,0))</f>
        <v>#NAME?</v>
      </c>
      <c r="AB486" s="1286" t="e">
        <f ca="1">MAXIFS('Degrémont sortie'!$BB$14:$BB$379,'Degrémont sortie'!$BB$14:$BB$379,"&lt;&gt;0",'Degrémont sortie'!$A$14:$A$379,"&gt;="&amp;B448,'Degrémont sortie'!$A$14:$A$379,"&lt;="&amp;EOMONTH(B448,0))</f>
        <v>#NAME?</v>
      </c>
      <c r="AC486" s="1213" t="s">
        <v>153</v>
      </c>
      <c r="AD486" s="1330" t="s">
        <v>153</v>
      </c>
      <c r="AE486" s="1285"/>
      <c r="AF486" s="1293"/>
      <c r="AG486" s="1293"/>
      <c r="AH486" s="1293"/>
      <c r="AI486" s="1293"/>
      <c r="AJ486" s="1293"/>
      <c r="AK486" s="1285"/>
      <c r="AL486" s="1205" t="e">
        <f>COUNTIFS(#REF!,"&gt;0",#REF!,"&gt;="&amp;B448,#REF!,"&lt;="&amp;EOMONTH(B448,0))</f>
        <v>#REF!</v>
      </c>
      <c r="AM486" s="1208" t="e">
        <f>SUMIFS(#REF!,#REF!,"&lt;&gt;0",#REF!,"&gt;="&amp;B448,#REF!,"&lt;="&amp;EOMONTH(B448,0))</f>
        <v>#REF!</v>
      </c>
      <c r="AN486" s="1208" t="e">
        <f t="shared" si="222"/>
        <v>#REF!</v>
      </c>
      <c r="AO486" s="1208" t="e">
        <f ca="1">MINIFS(#REF!,#REF!,"&lt;&gt;0",#REF!,"&gt;="&amp;B448,#REF!,"&lt;="&amp;EOMONTH(B448,0))</f>
        <v>#NAME?</v>
      </c>
      <c r="AP486" s="1208" t="e">
        <f ca="1">MAXIFS(#REF!,#REF!,"&lt;&gt;0",#REF!,"&gt;="&amp;B448,#REF!,"&lt;="&amp;EOMONTH(B448,0))</f>
        <v>#NAME?</v>
      </c>
      <c r="AQ486" s="1285"/>
      <c r="AR486" s="1293"/>
      <c r="AS486" s="1293"/>
      <c r="AT486" s="1293"/>
      <c r="AU486" s="1293"/>
      <c r="AV486" s="1293"/>
      <c r="AW486" s="1293"/>
      <c r="AX486" s="1294"/>
      <c r="AY486" s="1295"/>
      <c r="AZ486" s="1403" t="e">
        <f t="shared" si="218"/>
        <v>#REF!</v>
      </c>
      <c r="BA486" s="2"/>
    </row>
    <row r="487" spans="1:53" ht="15.75" hidden="1" customHeight="1" outlineLevel="1">
      <c r="A487" s="1027"/>
      <c r="B487" s="1404"/>
      <c r="C487" s="1031" t="s">
        <v>303</v>
      </c>
      <c r="D487" s="1102"/>
      <c r="E487" s="1069"/>
      <c r="F487" s="1069"/>
      <c r="G487" s="1069"/>
      <c r="H487" s="1069"/>
      <c r="I487" s="1069"/>
      <c r="J487" s="1102"/>
      <c r="K487" s="1102"/>
      <c r="L487" s="1281"/>
      <c r="M487" s="1289"/>
      <c r="N487" s="1290"/>
      <c r="O487" s="1290"/>
      <c r="P487" s="1286"/>
      <c r="Q487" s="1283"/>
      <c r="R487" s="1286"/>
      <c r="S487" s="1286"/>
      <c r="T487" s="1290"/>
      <c r="U487" s="1290"/>
      <c r="V487" s="1285"/>
      <c r="W487" s="1083">
        <f>Parametres!$T$46</f>
        <v>10000</v>
      </c>
      <c r="X487" s="1142">
        <f>COUNTIFS('Degrémont sortie'!$BC$14:$BC$379,"&gt;0",'Degrémont sortie'!$A$14:$A$379,"&gt;="&amp;B448,'Degrémont sortie'!$A$14:$A$379,"&lt;="&amp;EOMONTH(B448,0))</f>
        <v>27</v>
      </c>
      <c r="Y487" s="1085">
        <f>SUMIFS('Degrémont sortie'!$BC$14:$BC$379,'Degrémont sortie'!$BC$14:$BC$379,"&lt;&gt;0",'Degrémont sortie'!$A$14:$A$379,"&gt;="&amp;B448,'Degrémont sortie'!$A$14:$A$379,"&lt;="&amp;EOMONTH(B448,0))</f>
        <v>2680.5660321688943</v>
      </c>
      <c r="Z487" s="1069">
        <f t="shared" si="217"/>
        <v>99.280223413662753</v>
      </c>
      <c r="AA487" s="1286" t="e">
        <f ca="1">MINIFS('Degrémont sortie'!$BC$14:$BC$379,'Degrémont sortie'!$BC$14:$BC$379,"&lt;&gt;0",'Degrémont sortie'!$A$14:$A$379,"&gt;="&amp;B448,'Degrémont sortie'!$A$14:$A$379,"&lt;="&amp;EOMONTH(B448,0))</f>
        <v>#NAME?</v>
      </c>
      <c r="AB487" s="1286" t="e">
        <f ca="1">MAXIFS('Degrémont sortie'!$BC$14:$BC$379,'Degrémont sortie'!$BC$14:$BC$379,"&lt;&gt;0",'Degrémont sortie'!$A$14:$A$379,"&gt;="&amp;B448,'Degrémont sortie'!$A$14:$A$379,"&lt;="&amp;EOMONTH(B448,0))</f>
        <v>#NAME?</v>
      </c>
      <c r="AC487" s="1291" t="s">
        <v>153</v>
      </c>
      <c r="AD487" s="1292" t="s">
        <v>153</v>
      </c>
      <c r="AE487" s="1285"/>
      <c r="AF487" s="1293"/>
      <c r="AG487" s="1293"/>
      <c r="AH487" s="1293"/>
      <c r="AI487" s="1293"/>
      <c r="AJ487" s="1293"/>
      <c r="AK487" s="1285"/>
      <c r="AL487" s="1293"/>
      <c r="AM487" s="1293"/>
      <c r="AN487" s="1293"/>
      <c r="AO487" s="1293"/>
      <c r="AP487" s="1293"/>
      <c r="AQ487" s="1285"/>
      <c r="AR487" s="1293"/>
      <c r="AS487" s="1293"/>
      <c r="AT487" s="1293"/>
      <c r="AU487" s="1293"/>
      <c r="AV487" s="1293"/>
      <c r="AW487" s="1293"/>
      <c r="AX487" s="1294"/>
      <c r="AY487" s="1295"/>
      <c r="AZ487" s="1403">
        <f t="shared" si="218"/>
        <v>27</v>
      </c>
      <c r="BA487" s="2"/>
    </row>
    <row r="488" spans="1:53" ht="15.75" hidden="1" customHeight="1" outlineLevel="1">
      <c r="A488" s="1027"/>
      <c r="B488" s="1404"/>
      <c r="C488" s="1031" t="s">
        <v>338</v>
      </c>
      <c r="D488" s="1102"/>
      <c r="E488" s="1069"/>
      <c r="F488" s="1069"/>
      <c r="G488" s="1069"/>
      <c r="H488" s="1069"/>
      <c r="I488" s="1069"/>
      <c r="J488" s="1102"/>
      <c r="K488" s="1102"/>
      <c r="L488" s="1281"/>
      <c r="M488" s="1289"/>
      <c r="N488" s="1290"/>
      <c r="O488" s="1290"/>
      <c r="P488" s="1286"/>
      <c r="Q488" s="1283"/>
      <c r="R488" s="1286"/>
      <c r="S488" s="1286"/>
      <c r="T488" s="1290"/>
      <c r="U488" s="1290"/>
      <c r="V488" s="1285"/>
      <c r="W488" s="1293"/>
      <c r="X488" s="1293"/>
      <c r="Y488" s="1286"/>
      <c r="Z488" s="1286"/>
      <c r="AA488" s="1286"/>
      <c r="AB488" s="1286"/>
      <c r="AC488" s="1293"/>
      <c r="AD488" s="1249"/>
      <c r="AE488" s="1285"/>
      <c r="AF488" s="1293"/>
      <c r="AG488" s="1293"/>
      <c r="AH488" s="1293"/>
      <c r="AI488" s="1293"/>
      <c r="AJ488" s="1293"/>
      <c r="AK488" s="1285"/>
      <c r="AL488" s="1293"/>
      <c r="AM488" s="1293"/>
      <c r="AN488" s="1293"/>
      <c r="AO488" s="1293"/>
      <c r="AP488" s="1293"/>
      <c r="AQ488" s="1285"/>
      <c r="AR488" s="1293"/>
      <c r="AS488" s="1293"/>
      <c r="AT488" s="1293"/>
      <c r="AU488" s="1293"/>
      <c r="AV488" s="1293"/>
      <c r="AW488" s="1293"/>
      <c r="AX488" s="1294"/>
      <c r="AY488" s="1295"/>
      <c r="AZ488" s="1403">
        <f t="shared" si="218"/>
        <v>0</v>
      </c>
      <c r="BA488" s="2"/>
    </row>
    <row r="489" spans="1:53" ht="15.75" hidden="1" customHeight="1" outlineLevel="1">
      <c r="A489" s="1027"/>
      <c r="B489" s="1404"/>
      <c r="C489" s="1031" t="s">
        <v>339</v>
      </c>
      <c r="D489" s="1122">
        <f>Parametres!$D$48</f>
        <v>30</v>
      </c>
      <c r="E489" s="1068" t="e">
        <f>COUNTIFS(#REF!,"&gt;0",#REF!,"&gt;="&amp;B448,#REF!,"&lt;="&amp;EOMONTH(B448,0))</f>
        <v>#REF!</v>
      </c>
      <c r="F489" s="1069" t="e">
        <f>SUMIFS(#REF!,#REF!,"&lt;&gt;0",#REF!,"&gt;="&amp;B448,#REF!,"&lt;="&amp;EOMONTH(B448,0))</f>
        <v>#REF!</v>
      </c>
      <c r="G489" s="1069" t="e">
        <f t="shared" ref="G489:G493" si="223">IF(E489=0,0,F489/E489)</f>
        <v>#REF!</v>
      </c>
      <c r="H489" s="1069" t="e">
        <f ca="1">MINIFS(#REF!,#REF!,"&lt;&gt;0",#REF!,"&gt;="&amp;B448,#REF!,"&lt;="&amp;EOMONTH(B448,0))</f>
        <v>#NAME?</v>
      </c>
      <c r="I489" s="1069" t="e">
        <f ca="1">MAXIFS(#REF!,#REF!,"&lt;&gt;0",#REF!,"&gt;="&amp;B448,#REF!,"&lt;="&amp;EOMONTH(B448,0))</f>
        <v>#NAME?</v>
      </c>
      <c r="J489" s="1114" t="e">
        <f>COUNTIFS(#REF!,"&gt;="&amp;D489,#REF!,"&gt;="&amp;B448,#REF!,"&lt;="&amp;EOMONTH(B448,0))</f>
        <v>#REF!</v>
      </c>
      <c r="K489" s="1341" t="e">
        <f t="shared" ref="K489:K493" si="224">J489/E489</f>
        <v>#REF!</v>
      </c>
      <c r="L489" s="1281"/>
      <c r="M489" s="1289"/>
      <c r="N489" s="1290"/>
      <c r="O489" s="1290"/>
      <c r="P489" s="1286"/>
      <c r="Q489" s="1283"/>
      <c r="R489" s="1286"/>
      <c r="S489" s="1286"/>
      <c r="T489" s="1290"/>
      <c r="U489" s="1290"/>
      <c r="V489" s="1285"/>
      <c r="W489" s="1293"/>
      <c r="X489" s="1293"/>
      <c r="Y489" s="1286"/>
      <c r="Z489" s="1286"/>
      <c r="AA489" s="1286"/>
      <c r="AB489" s="1286"/>
      <c r="AC489" s="1293"/>
      <c r="AD489" s="1249"/>
      <c r="AE489" s="1285"/>
      <c r="AF489" s="1293"/>
      <c r="AG489" s="1293"/>
      <c r="AH489" s="1293"/>
      <c r="AI489" s="1293"/>
      <c r="AJ489" s="1293"/>
      <c r="AK489" s="1285"/>
      <c r="AL489" s="1293"/>
      <c r="AM489" s="1293"/>
      <c r="AN489" s="1293"/>
      <c r="AO489" s="1293"/>
      <c r="AP489" s="1293"/>
      <c r="AQ489" s="1285"/>
      <c r="AR489" s="1293"/>
      <c r="AS489" s="1293"/>
      <c r="AT489" s="1293"/>
      <c r="AU489" s="1293"/>
      <c r="AV489" s="1293"/>
      <c r="AW489" s="1293"/>
      <c r="AX489" s="1294"/>
      <c r="AY489" s="1295"/>
      <c r="AZ489" s="1403" t="e">
        <f t="shared" si="218"/>
        <v>#REF!</v>
      </c>
      <c r="BA489" s="2"/>
    </row>
    <row r="490" spans="1:53" ht="15.75" hidden="1" customHeight="1" outlineLevel="1">
      <c r="A490" s="1027"/>
      <c r="B490" s="1404"/>
      <c r="C490" s="1029" t="s">
        <v>24</v>
      </c>
      <c r="D490" s="1122">
        <f>Parametres!$D$50</f>
        <v>4</v>
      </c>
      <c r="E490" s="1068" t="e">
        <f>COUNTIFS(#REF!,"&gt;0",#REF!,"&gt;="&amp;B448,#REF!,"&lt;="&amp;EOMONTH(B448,0))</f>
        <v>#REF!</v>
      </c>
      <c r="F490" s="1069" t="e">
        <f>SUMIFS(#REF!,#REF!,"&lt;&gt;0",#REF!,"&gt;="&amp;B448,#REF!,"&lt;="&amp;EOMONTH(B448,0))</f>
        <v>#REF!</v>
      </c>
      <c r="G490" s="1069" t="e">
        <f t="shared" si="223"/>
        <v>#REF!</v>
      </c>
      <c r="H490" s="1069" t="e">
        <f ca="1">MINIFS(#REF!,#REF!,"&lt;&gt;0",#REF!,"&gt;="&amp;B448,#REF!,"&lt;="&amp;EOMONTH(B448,0))</f>
        <v>#NAME?</v>
      </c>
      <c r="I490" s="1069" t="e">
        <f ca="1">MAXIFS(#REF!,#REF!,"&lt;&gt;0",#REF!,"&gt;="&amp;B448,#REF!,"&lt;="&amp;EOMONTH(B448,0))</f>
        <v>#NAME?</v>
      </c>
      <c r="J490" s="1114" t="e">
        <f>COUNTIFS(#REF!,"&gt;="&amp;D490,#REF!,"&gt;="&amp;B448,#REF!,"&lt;="&amp;EOMONTH(B448,0))</f>
        <v>#REF!</v>
      </c>
      <c r="K490" s="1341" t="e">
        <f t="shared" si="224"/>
        <v>#REF!</v>
      </c>
      <c r="L490" s="1281"/>
      <c r="M490" s="1289"/>
      <c r="N490" s="1290"/>
      <c r="O490" s="1290"/>
      <c r="P490" s="1286"/>
      <c r="Q490" s="1283"/>
      <c r="R490" s="1286"/>
      <c r="S490" s="1286"/>
      <c r="T490" s="1290"/>
      <c r="U490" s="1290"/>
      <c r="V490" s="1285"/>
      <c r="W490" s="1293"/>
      <c r="X490" s="1293"/>
      <c r="Y490" s="1286"/>
      <c r="Z490" s="1286"/>
      <c r="AA490" s="1286"/>
      <c r="AB490" s="1286"/>
      <c r="AC490" s="1293"/>
      <c r="AD490" s="1249"/>
      <c r="AE490" s="1285"/>
      <c r="AF490" s="1293"/>
      <c r="AG490" s="1293"/>
      <c r="AH490" s="1293"/>
      <c r="AI490" s="1293"/>
      <c r="AJ490" s="1293"/>
      <c r="AK490" s="1285"/>
      <c r="AL490" s="1293"/>
      <c r="AM490" s="1293"/>
      <c r="AN490" s="1293"/>
      <c r="AO490" s="1293"/>
      <c r="AP490" s="1293"/>
      <c r="AQ490" s="1285"/>
      <c r="AR490" s="1293"/>
      <c r="AS490" s="1293"/>
      <c r="AT490" s="1293"/>
      <c r="AU490" s="1293"/>
      <c r="AV490" s="1293"/>
      <c r="AW490" s="1293"/>
      <c r="AX490" s="1294"/>
      <c r="AY490" s="1295"/>
      <c r="AZ490" s="1403" t="e">
        <f t="shared" si="218"/>
        <v>#REF!</v>
      </c>
      <c r="BA490" s="2"/>
    </row>
    <row r="491" spans="1:53" ht="15.75" hidden="1" customHeight="1" outlineLevel="1">
      <c r="A491" s="1027"/>
      <c r="B491" s="1404"/>
      <c r="C491" s="1029" t="s">
        <v>168</v>
      </c>
      <c r="D491" s="1122" t="e">
        <f>#REF!</f>
        <v>#REF!</v>
      </c>
      <c r="E491" s="1068" t="e">
        <f>COUNTIFS(#REF!,"&gt;0",#REF!,"&gt;="&amp;B448,#REF!,"&lt;="&amp;EOMONTH(B448,0))</f>
        <v>#REF!</v>
      </c>
      <c r="F491" s="1069" t="e">
        <f>SUMIFS(#REF!,#REF!,"&lt;&gt;0",#REF!,"&gt;="&amp;B448,#REF!,"&lt;="&amp;EOMONTH(B448,0))</f>
        <v>#REF!</v>
      </c>
      <c r="G491" s="1069" t="e">
        <f t="shared" si="223"/>
        <v>#REF!</v>
      </c>
      <c r="H491" s="1069" t="e">
        <f ca="1">MINIFS(#REF!,#REF!,"&lt;&gt;0",#REF!,"&gt;="&amp;B448,#REF!,"&lt;="&amp;EOMONTH(B448,0))</f>
        <v>#NAME?</v>
      </c>
      <c r="I491" s="1069" t="e">
        <f ca="1">MAXIFS(#REF!,#REF!,"&lt;&gt;0",#REF!,"&gt;="&amp;B448,#REF!,"&lt;="&amp;EOMONTH(B448,0))</f>
        <v>#NAME?</v>
      </c>
      <c r="J491" s="1072" t="e">
        <f>COUNTIFS(#REF!,"&gt;="&amp;D491,#REF!,"&gt;="&amp;B448,#REF!,"&lt;="&amp;EOMONTH(B448,0))</f>
        <v>#REF!</v>
      </c>
      <c r="K491" s="1341" t="e">
        <f t="shared" si="224"/>
        <v>#REF!</v>
      </c>
      <c r="L491" s="1281"/>
      <c r="M491" s="1289"/>
      <c r="N491" s="1290"/>
      <c r="O491" s="1290"/>
      <c r="P491" s="1286"/>
      <c r="Q491" s="1283"/>
      <c r="R491" s="1286"/>
      <c r="S491" s="1286"/>
      <c r="T491" s="1290"/>
      <c r="U491" s="1290"/>
      <c r="V491" s="1285"/>
      <c r="W491" s="1293"/>
      <c r="X491" s="1293"/>
      <c r="Y491" s="1286"/>
      <c r="Z491" s="1286"/>
      <c r="AA491" s="1286"/>
      <c r="AB491" s="1286"/>
      <c r="AC491" s="1293"/>
      <c r="AD491" s="1249"/>
      <c r="AE491" s="1285"/>
      <c r="AF491" s="1293"/>
      <c r="AG491" s="1293"/>
      <c r="AH491" s="1293"/>
      <c r="AI491" s="1293"/>
      <c r="AJ491" s="1293"/>
      <c r="AK491" s="1285"/>
      <c r="AL491" s="1293"/>
      <c r="AM491" s="1293"/>
      <c r="AN491" s="1293"/>
      <c r="AO491" s="1293"/>
      <c r="AP491" s="1293"/>
      <c r="AQ491" s="1285"/>
      <c r="AR491" s="1293"/>
      <c r="AS491" s="1293"/>
      <c r="AT491" s="1293"/>
      <c r="AU491" s="1293"/>
      <c r="AV491" s="1293"/>
      <c r="AW491" s="1293"/>
      <c r="AX491" s="1294"/>
      <c r="AY491" s="1295"/>
      <c r="AZ491" s="1403" t="e">
        <f t="shared" si="218"/>
        <v>#REF!</v>
      </c>
      <c r="BA491" s="2"/>
    </row>
    <row r="492" spans="1:53" ht="15.75" hidden="1" customHeight="1" outlineLevel="1">
      <c r="A492" s="1027"/>
      <c r="B492" s="1404"/>
      <c r="C492" s="1029" t="s">
        <v>25</v>
      </c>
      <c r="D492" s="1122">
        <f>Parametres!$D$51</f>
        <v>1.5</v>
      </c>
      <c r="E492" s="1068" t="e">
        <f>COUNTIFS(#REF!,"&gt;0",#REF!,"&gt;="&amp;B448,#REF!,"&lt;="&amp;EOMONTH(B448,0))</f>
        <v>#REF!</v>
      </c>
      <c r="F492" s="1069" t="e">
        <f>SUMIFS(#REF!,#REF!,"&lt;&gt;0",#REF!,"&gt;="&amp;B448,#REF!,"&lt;="&amp;EOMONTH(B448,0))</f>
        <v>#REF!</v>
      </c>
      <c r="G492" s="1069" t="e">
        <f t="shared" si="223"/>
        <v>#REF!</v>
      </c>
      <c r="H492" s="1069" t="e">
        <f ca="1">MINIFS(#REF!,#REF!,"&lt;&gt;0",#REF!,"&gt;="&amp;B448,#REF!,"&lt;="&amp;EOMONTH(B448,0))</f>
        <v>#NAME?</v>
      </c>
      <c r="I492" s="1069" t="e">
        <f ca="1">MAXIFS(#REF!,#REF!,"&lt;&gt;0",#REF!,"&gt;="&amp;B448,#REF!,"&lt;="&amp;EOMONTH(B448,0))</f>
        <v>#NAME?</v>
      </c>
      <c r="J492" s="1114" t="e">
        <f>COUNTIFS(#REF!,"&gt;="&amp;D492,#REF!,"&gt;="&amp;B448,#REF!,"&lt;="&amp;EOMONTH(B448,0))</f>
        <v>#REF!</v>
      </c>
      <c r="K492" s="1341" t="e">
        <f t="shared" si="224"/>
        <v>#REF!</v>
      </c>
      <c r="L492" s="1281"/>
      <c r="M492" s="1289"/>
      <c r="N492" s="1290"/>
      <c r="O492" s="1290"/>
      <c r="P492" s="1286"/>
      <c r="Q492" s="1283"/>
      <c r="R492" s="1286"/>
      <c r="S492" s="1286"/>
      <c r="T492" s="1290"/>
      <c r="U492" s="1290"/>
      <c r="V492" s="1285"/>
      <c r="W492" s="1293"/>
      <c r="X492" s="1293"/>
      <c r="Y492" s="1286"/>
      <c r="Z492" s="1286"/>
      <c r="AA492" s="1286"/>
      <c r="AB492" s="1286"/>
      <c r="AC492" s="1293"/>
      <c r="AD492" s="1249"/>
      <c r="AE492" s="1285"/>
      <c r="AF492" s="1293"/>
      <c r="AG492" s="1293"/>
      <c r="AH492" s="1293"/>
      <c r="AI492" s="1293"/>
      <c r="AJ492" s="1293"/>
      <c r="AK492" s="1285"/>
      <c r="AL492" s="1293"/>
      <c r="AM492" s="1293"/>
      <c r="AN492" s="1293"/>
      <c r="AO492" s="1293"/>
      <c r="AP492" s="1293"/>
      <c r="AQ492" s="1285"/>
      <c r="AR492" s="1293"/>
      <c r="AS492" s="1293"/>
      <c r="AT492" s="1293"/>
      <c r="AU492" s="1293"/>
      <c r="AV492" s="1293"/>
      <c r="AW492" s="1293"/>
      <c r="AX492" s="1294"/>
      <c r="AY492" s="1295"/>
      <c r="AZ492" s="1403" t="e">
        <f t="shared" si="218"/>
        <v>#REF!</v>
      </c>
      <c r="BA492" s="2"/>
    </row>
    <row r="493" spans="1:53" ht="15.75" hidden="1" customHeight="1" outlineLevel="1">
      <c r="A493" s="1027"/>
      <c r="B493" s="1406"/>
      <c r="C493" s="1031" t="s">
        <v>47</v>
      </c>
      <c r="D493" s="1122">
        <f>Parametres!$D$52</f>
        <v>2</v>
      </c>
      <c r="E493" s="1068" t="e">
        <f>COUNTIFS(#REF!,"&gt;0",#REF!,"&gt;="&amp;B448,#REF!,"&lt;="&amp;EOMONTH(B448,0))</f>
        <v>#REF!</v>
      </c>
      <c r="F493" s="1069" t="e">
        <f>SUMIFS(#REF!,#REF!,"&lt;&gt;0",#REF!,"&gt;="&amp;B448,#REF!,"&lt;="&amp;EOMONTH(B448,0))</f>
        <v>#REF!</v>
      </c>
      <c r="G493" s="1069" t="e">
        <f t="shared" si="223"/>
        <v>#REF!</v>
      </c>
      <c r="H493" s="1069" t="e">
        <f ca="1">MINIFS(#REF!,#REF!,"&lt;&gt;0",#REF!,"&gt;="&amp;B448,#REF!,"&lt;="&amp;EOMONTH(B448,0))</f>
        <v>#NAME?</v>
      </c>
      <c r="I493" s="1069" t="e">
        <f ca="1">MAXIFS(#REF!,#REF!,"&lt;&gt;0",#REF!,"&gt;="&amp;B448,#REF!,"&lt;="&amp;EOMONTH(B448,0))</f>
        <v>#NAME?</v>
      </c>
      <c r="J493" s="1072" t="e">
        <f>COUNTIFS(#REF!,"&gt;="&amp;D493,#REF!,"&gt;="&amp;B448,#REF!,"&lt;="&amp;EOMONTH(B448,0))</f>
        <v>#REF!</v>
      </c>
      <c r="K493" s="1341" t="e">
        <f t="shared" si="224"/>
        <v>#REF!</v>
      </c>
      <c r="L493" s="1281"/>
      <c r="M493" s="1289"/>
      <c r="N493" s="1144">
        <f>Parametres!$L$52</f>
        <v>90</v>
      </c>
      <c r="O493" s="1077">
        <f>COUNTIFS('Degrémont Entrée'!$AY$14:$AY$379,"&gt;0",'Degrémont Entrée'!$A$14:$A$379,"&gt;="&amp;B448,'Degrémont Entrée'!$A$14:$A$379,"&lt;="&amp;EOMONTH(B448,0))</f>
        <v>5</v>
      </c>
      <c r="P493" s="1078">
        <f>SUMIFS('Degrémont Entrée'!$AY$14:$AY$379,'Degrémont Entrée'!$AY$14:$AY$379,"&lt;&gt;0",'Degrémont Entrée'!$A$14:$A$379,"&gt;="&amp;B448,'Degrémont Entrée'!$A$14:$A$379,"&lt;="&amp;EOMONTH(B448,0))</f>
        <v>725.91000000000008</v>
      </c>
      <c r="Q493" s="1283">
        <f>IF(O493=0,0,P493/O493)</f>
        <v>145.18200000000002</v>
      </c>
      <c r="R493" s="1286" t="e">
        <f ca="1">MINIFS('Degrémont Entrée'!$AY$14:$AY$379,'Degrémont Entrée'!$AY$14:$AY$379,"&lt;&gt;0",'Degrémont Entrée'!$A$14:$A$379,"&gt;="&amp;B448,'Degrémont Entrée'!$A$14:$A$379,"&lt;="&amp;EOMONTH(B448,0))</f>
        <v>#NAME?</v>
      </c>
      <c r="S493" s="1286" t="e">
        <f ca="1">MAXIFS('Degrémont Entrée'!$AY$14:$AY$379,'Degrémont Entrée'!$AY$14:$AY$379,"&lt;&gt;0",'Degrémont Entrée'!$A$14:$A$379,"&gt;="&amp;B448,'Degrémont Entrée'!$A$14:$A$379,"&lt;="&amp;EOMONTH(B448,0))</f>
        <v>#NAME?</v>
      </c>
      <c r="T493" s="1141">
        <f>COUNTIFS('Degrémont Entrée'!$AY$14:$AY$379,"&gt;="&amp;N493,'Degrémont Entrée'!$A$14:$A$379,"&gt;="&amp;B448,'Degrémont Entrée'!$A$14:$A$379,"&lt;="&amp;EOMONTH(B448,0))</f>
        <v>5</v>
      </c>
      <c r="U493" s="1081">
        <f>T493/O493</f>
        <v>1</v>
      </c>
      <c r="V493" s="1285"/>
      <c r="W493" s="1083">
        <f>Parametres!$T$52</f>
        <v>0.64</v>
      </c>
      <c r="X493" s="1142">
        <f>COUNTIFS('Degrémont sortie'!$AS$14:$AS$379,"&gt;0",'Degrémont sortie'!$A$14:$A$379,"&gt;="&amp;B448,'Degrémont sortie'!$A$14:$A$379,"&lt;="&amp;EOMONTH(B448,0))</f>
        <v>5</v>
      </c>
      <c r="Y493" s="1085">
        <f>SUMIFS('Degrémont sortie'!$AS$14:$AS$379,'Degrémont sortie'!$AS$14:$AS$379,"&lt;&gt;0",'Degrémont sortie'!$A$14:$A$379,"&gt;="&amp;B448,'Degrémont sortie'!$A$14:$A$379,"&lt;="&amp;EOMONTH(B448,0))</f>
        <v>0.46</v>
      </c>
      <c r="Z493" s="1069">
        <f>IF(X493=0,0,Y493/X493)</f>
        <v>9.1999999999999998E-2</v>
      </c>
      <c r="AA493" s="1286" t="e">
        <f ca="1">MINIFS('Degrémont sortie'!$AS$14:$AS$379,'Degrémont sortie'!$AS$14:$AS$379,"&lt;&gt;0",'Degrémont sortie'!$A$14:$A$379,"&gt;="&amp;B448,'Degrémont sortie'!$A$14:$A$379,"&lt;="&amp;EOMONTH(B448,0))</f>
        <v>#NAME?</v>
      </c>
      <c r="AB493" s="1286" t="e">
        <f ca="1">MAXIFS('Degrémont sortie'!$AS$14:$AS$379,'Degrémont sortie'!$AS$14:$AS$379,"&lt;&gt;0",'Degrémont sortie'!$A$14:$A$379,"&gt;="&amp;B448,'Degrémont sortie'!$A$14:$A$379,"&lt;="&amp;EOMONTH(B448,0))</f>
        <v>#NAME?</v>
      </c>
      <c r="AC493" s="1141">
        <f>COUNTIFS('Degrémont sortie'!$AS$14:$AS$379,"&gt;="&amp;W493,'Degrémont sortie'!$A$14:$A$379,"&gt;="&amp;B448,'Degrémont sortie'!$A$14:$A$379,"&lt;="&amp;EOMONTH(B448,0))</f>
        <v>0</v>
      </c>
      <c r="AD493" s="1087">
        <f>AC493/X493</f>
        <v>0</v>
      </c>
      <c r="AE493" s="1285"/>
      <c r="AF493" s="1293"/>
      <c r="AG493" s="1293"/>
      <c r="AH493" s="1293"/>
      <c r="AI493" s="1293"/>
      <c r="AJ493" s="1293"/>
      <c r="AK493" s="1285"/>
      <c r="AL493" s="1293"/>
      <c r="AM493" s="1293"/>
      <c r="AN493" s="1293"/>
      <c r="AO493" s="1293"/>
      <c r="AP493" s="1293"/>
      <c r="AQ493" s="1285"/>
      <c r="AR493" s="1293"/>
      <c r="AS493" s="1293"/>
      <c r="AT493" s="1293"/>
      <c r="AU493" s="1293"/>
      <c r="AV493" s="1293"/>
      <c r="AW493" s="1293"/>
      <c r="AX493" s="1294"/>
      <c r="AY493" s="1295"/>
      <c r="AZ493" s="1403" t="e">
        <f t="shared" si="218"/>
        <v>#REF!</v>
      </c>
      <c r="BA493" s="2"/>
    </row>
    <row r="494" spans="1:53" ht="15.75" customHeight="1" collapsed="1">
      <c r="A494" s="1027"/>
      <c r="B494" s="1370"/>
      <c r="C494" s="13"/>
      <c r="D494" s="1371"/>
      <c r="E494" s="1357"/>
      <c r="F494" s="1358"/>
      <c r="G494" s="1358"/>
      <c r="H494" s="1358"/>
      <c r="I494" s="1358"/>
      <c r="J494" s="1076"/>
      <c r="K494" s="1076"/>
      <c r="L494" s="1076"/>
      <c r="M494" s="1289"/>
      <c r="N494" s="1076"/>
      <c r="O494" s="1076"/>
      <c r="P494" s="1358"/>
      <c r="Q494" s="1358"/>
      <c r="R494" s="1364"/>
      <c r="S494" s="1364"/>
      <c r="T494" s="13"/>
      <c r="U494" s="13"/>
      <c r="V494" s="1289"/>
      <c r="W494" s="1076"/>
      <c r="X494" s="1076"/>
      <c r="Y494" s="1358"/>
      <c r="Z494" s="1358"/>
      <c r="AA494" s="1364"/>
      <c r="AB494" s="1364"/>
      <c r="AC494" s="13"/>
      <c r="AD494" s="13"/>
      <c r="AE494" s="1289"/>
      <c r="AF494" s="1372"/>
      <c r="AG494" s="1372"/>
      <c r="AH494" s="1372"/>
      <c r="AI494" s="1372"/>
      <c r="AJ494" s="1372"/>
      <c r="AK494" s="1289"/>
      <c r="AL494" s="1372"/>
      <c r="AM494" s="1372"/>
      <c r="AN494" s="1372"/>
      <c r="AO494" s="1372"/>
      <c r="AP494" s="1372"/>
      <c r="AQ494" s="1289"/>
      <c r="AR494" s="1372"/>
      <c r="AS494" s="1372"/>
      <c r="AT494" s="1372"/>
      <c r="AU494" s="1372"/>
      <c r="AV494" s="1372"/>
      <c r="AW494" s="1372"/>
      <c r="AX494" s="1372"/>
      <c r="AY494" s="1372"/>
      <c r="AZ494" s="1095"/>
      <c r="BA494" s="2"/>
    </row>
    <row r="495" spans="1:53" ht="15.75" hidden="1" customHeight="1" outlineLevel="1">
      <c r="A495" s="1027"/>
      <c r="B495" s="1373"/>
      <c r="C495" s="1374"/>
      <c r="D495" s="1375"/>
      <c r="E495" s="1553" t="s">
        <v>283</v>
      </c>
      <c r="F495" s="1420"/>
      <c r="G495" s="1420"/>
      <c r="H495" s="1420"/>
      <c r="I495" s="1420"/>
      <c r="J495" s="1420"/>
      <c r="K495" s="1420"/>
      <c r="L495" s="1421"/>
      <c r="M495" s="1376"/>
      <c r="N495" s="1377"/>
      <c r="O495" s="1551" t="s">
        <v>288</v>
      </c>
      <c r="P495" s="1420"/>
      <c r="Q495" s="1420"/>
      <c r="R495" s="1420"/>
      <c r="S495" s="1420"/>
      <c r="T495" s="1421"/>
      <c r="U495" s="1377"/>
      <c r="V495" s="1376"/>
      <c r="W495" s="1378"/>
      <c r="X495" s="1552" t="s">
        <v>289</v>
      </c>
      <c r="Y495" s="1420"/>
      <c r="Z495" s="1420"/>
      <c r="AA495" s="1420"/>
      <c r="AB495" s="1420"/>
      <c r="AC495" s="1421"/>
      <c r="AD495" s="1378"/>
      <c r="AE495" s="1376"/>
      <c r="AF495" s="1552" t="s">
        <v>199</v>
      </c>
      <c r="AG495" s="1420"/>
      <c r="AH495" s="1420"/>
      <c r="AI495" s="1420"/>
      <c r="AJ495" s="1421"/>
      <c r="AK495" s="1376"/>
      <c r="AL495" s="1552" t="s">
        <v>200</v>
      </c>
      <c r="AM495" s="1420"/>
      <c r="AN495" s="1420"/>
      <c r="AO495" s="1420"/>
      <c r="AP495" s="1421"/>
      <c r="AQ495" s="1376"/>
      <c r="AR495" s="1378"/>
      <c r="AS495" s="1552" t="s">
        <v>290</v>
      </c>
      <c r="AT495" s="1420"/>
      <c r="AU495" s="1420"/>
      <c r="AV495" s="1420"/>
      <c r="AW495" s="1420"/>
      <c r="AX495" s="1421"/>
      <c r="AY495" s="1379"/>
      <c r="AZ495" s="1380"/>
      <c r="BA495" s="2"/>
    </row>
    <row r="496" spans="1:53" ht="15.75" hidden="1" customHeight="1" outlineLevel="1">
      <c r="A496" s="1027"/>
      <c r="B496" s="1381"/>
      <c r="C496" s="1032"/>
      <c r="D496" s="1382" t="s">
        <v>291</v>
      </c>
      <c r="E496" s="1383" t="s">
        <v>292</v>
      </c>
      <c r="F496" s="1384" t="s">
        <v>293</v>
      </c>
      <c r="G496" s="1384" t="s">
        <v>294</v>
      </c>
      <c r="H496" s="1384" t="s">
        <v>295</v>
      </c>
      <c r="I496" s="1385" t="s">
        <v>296</v>
      </c>
      <c r="J496" s="1386" t="s">
        <v>297</v>
      </c>
      <c r="K496" s="1387" t="s">
        <v>216</v>
      </c>
      <c r="L496" s="1388" t="s">
        <v>298</v>
      </c>
      <c r="M496" s="1389"/>
      <c r="N496" s="1390" t="s">
        <v>291</v>
      </c>
      <c r="O496" s="1391" t="s">
        <v>292</v>
      </c>
      <c r="P496" s="1385" t="s">
        <v>293</v>
      </c>
      <c r="Q496" s="1385" t="s">
        <v>294</v>
      </c>
      <c r="R496" s="1392" t="s">
        <v>295</v>
      </c>
      <c r="S496" s="1392" t="s">
        <v>296</v>
      </c>
      <c r="T496" s="1393" t="s">
        <v>299</v>
      </c>
      <c r="U496" s="1394" t="s">
        <v>216</v>
      </c>
      <c r="V496" s="1389"/>
      <c r="W496" s="1390" t="s">
        <v>291</v>
      </c>
      <c r="X496" s="1391" t="s">
        <v>292</v>
      </c>
      <c r="Y496" s="1385" t="s">
        <v>293</v>
      </c>
      <c r="Z496" s="1385" t="s">
        <v>294</v>
      </c>
      <c r="AA496" s="1392" t="s">
        <v>295</v>
      </c>
      <c r="AB496" s="1392" t="s">
        <v>296</v>
      </c>
      <c r="AC496" s="1393" t="s">
        <v>299</v>
      </c>
      <c r="AD496" s="1394" t="s">
        <v>216</v>
      </c>
      <c r="AE496" s="1389"/>
      <c r="AF496" s="1395" t="s">
        <v>292</v>
      </c>
      <c r="AG496" s="1396" t="s">
        <v>293</v>
      </c>
      <c r="AH496" s="1397" t="s">
        <v>294</v>
      </c>
      <c r="AI496" s="1396" t="s">
        <v>295</v>
      </c>
      <c r="AJ496" s="1396" t="s">
        <v>296</v>
      </c>
      <c r="AK496" s="1389"/>
      <c r="AL496" s="1395" t="s">
        <v>292</v>
      </c>
      <c r="AM496" s="1396" t="s">
        <v>293</v>
      </c>
      <c r="AN496" s="1397" t="s">
        <v>294</v>
      </c>
      <c r="AO496" s="1396" t="s">
        <v>295</v>
      </c>
      <c r="AP496" s="1396" t="s">
        <v>296</v>
      </c>
      <c r="AQ496" s="1389"/>
      <c r="AR496" s="1398" t="s">
        <v>291</v>
      </c>
      <c r="AS496" s="1395" t="s">
        <v>292</v>
      </c>
      <c r="AT496" s="1396" t="s">
        <v>293</v>
      </c>
      <c r="AU496" s="1397" t="s">
        <v>294</v>
      </c>
      <c r="AV496" s="1396" t="s">
        <v>295</v>
      </c>
      <c r="AW496" s="1396" t="s">
        <v>296</v>
      </c>
      <c r="AX496" s="1393" t="s">
        <v>299</v>
      </c>
      <c r="AY496" s="1399" t="s">
        <v>216</v>
      </c>
      <c r="AZ496" s="1400" t="s">
        <v>300</v>
      </c>
      <c r="BA496" s="2"/>
    </row>
    <row r="497" spans="1:53" ht="15.75" hidden="1" customHeight="1" outlineLevel="1">
      <c r="A497" s="1027"/>
      <c r="B497" s="1401">
        <v>43770</v>
      </c>
      <c r="C497" s="1402" t="s">
        <v>43</v>
      </c>
      <c r="D497" s="1067">
        <f>Parametres!$D$5</f>
        <v>5</v>
      </c>
      <c r="E497" s="1068" t="e">
        <f>COUNTIFS(#REF!,"&gt;0",#REF!,"&gt;="&amp;B497,#REF!,"&lt;="&amp;EOMONTH(B497,0))</f>
        <v>#REF!</v>
      </c>
      <c r="F497" s="1069" t="e">
        <f>SUMIFS(#REF!,#REF!,"&lt;&gt;0",#REF!,"&gt;="&amp;B497,#REF!,"&lt;="&amp;EOMONTH(B497,0))</f>
        <v>#REF!</v>
      </c>
      <c r="G497" s="1069" t="e">
        <f t="shared" ref="G497:G533" si="225">IF(E497=0,0,F497/E497)</f>
        <v>#REF!</v>
      </c>
      <c r="H497" s="1070" t="e">
        <f ca="1">MINIFS(#REF!,#REF!,"&lt;&gt;0",#REF!,"&gt;="&amp;B497,#REF!,"&lt;="&amp;EOMONTH(B497,0))</f>
        <v>#NAME?</v>
      </c>
      <c r="I497" s="1071" t="e">
        <f ca="1">MAXIFS(#REF!,#REF!,"&lt;&gt;0",#REF!,"&gt;="&amp;B497,#REF!,"&lt;="&amp;EOMONTH(B497,0))</f>
        <v>#NAME?</v>
      </c>
      <c r="J497" s="1072" t="e">
        <f>COUNTIFS(#REF!,"&gt;="&amp;D497,#REF!,"&gt;="&amp;B497,#REF!,"&lt;="&amp;EOMONTH(B497,0))</f>
        <v>#REF!</v>
      </c>
      <c r="K497" s="1341" t="e">
        <f t="shared" ref="K497:K510" si="226">J497/E497</f>
        <v>#REF!</v>
      </c>
      <c r="L497" s="1074"/>
      <c r="M497" s="1075"/>
      <c r="N497" s="1076">
        <f>Parametres!$L$5</f>
        <v>50</v>
      </c>
      <c r="O497" s="1077">
        <f>COUNTIFS('Degrémont Entrée'!$AM$14:$AM$379,"&gt;0",'Degrémont Entrée'!$A$14:$A$379,"&gt;="&amp;B497,'Degrémont Entrée'!$A$14:$A$379,"&lt;="&amp;EOMONTH(B497,0))</f>
        <v>4</v>
      </c>
      <c r="P497" s="1078">
        <f>SUMIFS('Degrémont Entrée'!$AM$14:$AM$379,'Degrémont Entrée'!$AM$14:$AM$379,"&lt;&gt;0",'Degrémont Entrée'!$A$14:$A$379,"&gt;="&amp;B497,'Degrémont Entrée'!$A$14:$A$379,"&lt;="&amp;EOMONTH(B497,0))</f>
        <v>593</v>
      </c>
      <c r="Q497" s="1078">
        <f>IF(O497=0,0,P497/O497)</f>
        <v>148.25</v>
      </c>
      <c r="R497" s="1079" t="e">
        <f ca="1">MINIFS('Degrémont Entrée'!$AM$14:$AM$379,'Degrémont Entrée'!$AM$14:$AM$379,"&lt;&gt;0",'Degrémont Entrée'!$A$14:$A$379,"&gt;="&amp;B497,'Degrémont Entrée'!$A$14:$A$379,"&lt;="&amp;EOMONTH(B497,0))</f>
        <v>#NAME?</v>
      </c>
      <c r="S497" s="1078" t="e">
        <f ca="1">MAXIFS('Degrémont Entrée'!$AM$14:$AM$379,'Degrémont Entrée'!$AM$14:$AM$379,"&lt;&gt;0",'Degrémont Entrée'!$A$14:$A$379,"&gt;="&amp;B497,'Degrémont Entrée'!$A$14:$A$379,"&lt;="&amp;EOMONTH(B497,0))</f>
        <v>#NAME?</v>
      </c>
      <c r="T497" s="1080">
        <f>COUNTIFS('Degrémont Entrée'!$AM$14:$AM$379,"&gt;="&amp;N497,'Degrémont Entrée'!$A$14:$A$379,"&gt;="&amp;B497,'Degrémont Entrée'!$A$14:$A$379,"&lt;="&amp;EOMONTH(B497,0))</f>
        <v>3</v>
      </c>
      <c r="U497" s="1081">
        <f>T497/O497</f>
        <v>0.75</v>
      </c>
      <c r="V497" s="1082"/>
      <c r="W497" s="1083">
        <f>Parametres!$T$5</f>
        <v>3</v>
      </c>
      <c r="X497" s="1084">
        <f>COUNTIFS('Degrémont sortie'!$AG$14:$AG$379,"&gt;0",'Degrémont sortie'!$A$14:$A$379,"&gt;="&amp;B497,'Degrémont sortie'!$A$14:$A$379,"&lt;="&amp;EOMONTH(B497,0))</f>
        <v>4</v>
      </c>
      <c r="Y497" s="1085">
        <f>SUMIFS('Degrémont sortie'!$AG$14:$AG$379,'Degrémont sortie'!$AG$14:$AG$379,"&lt;&gt;0",'Degrémont sortie'!$A$14:$A$379,"&gt;="&amp;B497,'Degrémont sortie'!$A$14:$A$379,"&lt;="&amp;EOMONTH(B497,0))</f>
        <v>1.6400000000000001</v>
      </c>
      <c r="Z497" s="1085">
        <f>IF(X497=0,0,Y497/X497)</f>
        <v>0.41000000000000003</v>
      </c>
      <c r="AA497" s="1085" t="e">
        <f ca="1">MINIFS('Degrémont sortie'!$AG$14:$AG$379,'Degrémont sortie'!$AG$14:$AG$379,"&lt;&gt;0",'Degrémont sortie'!$A$14:$A$379,"&gt;="&amp;B497,'Degrémont sortie'!$A$14:$A$379,"&lt;="&amp;EOMONTH(B497,0))</f>
        <v>#NAME?</v>
      </c>
      <c r="AB497" s="1085" t="e">
        <f ca="1">MAXIFS('Degrémont sortie'!$AG$14:$AG$379,'Degrémont sortie'!$AG$14:$AG$379,"&lt;&gt;0",'Degrémont sortie'!$A$14:$A$379,"&gt;="&amp;B497,'Degrémont sortie'!$A$14:$A$379,"&lt;="&amp;EOMONTH(B497,0))</f>
        <v>#NAME?</v>
      </c>
      <c r="AC497" s="1086">
        <f>COUNTIFS('Degrémont sortie'!$AG$14:$AG$379,"&gt;="&amp;W497,'Degrémont sortie'!$A$14:$A$379,"&gt;="&amp;B497,'Degrémont sortie'!$A$14:$A$379,"&lt;="&amp;EOMONTH(B497,0))</f>
        <v>0</v>
      </c>
      <c r="AD497" s="1087">
        <f>AC497/X497</f>
        <v>0</v>
      </c>
      <c r="AE497" s="1088"/>
      <c r="AF497" s="1089"/>
      <c r="AG497" s="1090"/>
      <c r="AH497" s="1090"/>
      <c r="AI497" s="1090"/>
      <c r="AJ497" s="1090"/>
      <c r="AK497" s="1088"/>
      <c r="AL497" s="1089"/>
      <c r="AM497" s="1090"/>
      <c r="AN497" s="1090"/>
      <c r="AO497" s="1090"/>
      <c r="AP497" s="1090"/>
      <c r="AQ497" s="1088"/>
      <c r="AR497" s="1091"/>
      <c r="AS497" s="1089"/>
      <c r="AT497" s="1090"/>
      <c r="AU497" s="1090"/>
      <c r="AV497" s="1090"/>
      <c r="AW497" s="1092"/>
      <c r="AX497" s="1093"/>
      <c r="AY497" s="1094"/>
      <c r="AZ497" s="1403" t="e">
        <f t="shared" ref="AZ497:AZ528" si="227">SUM(E497+O497+X497+AF497+AL497+AS497)</f>
        <v>#REF!</v>
      </c>
      <c r="BA497" s="2"/>
    </row>
    <row r="498" spans="1:53" ht="15.75" hidden="1" customHeight="1" outlineLevel="1">
      <c r="A498" s="1027"/>
      <c r="B498" s="1404"/>
      <c r="C498" s="1402" t="s">
        <v>16</v>
      </c>
      <c r="D498" s="1067">
        <f>Parametres!$D$6</f>
        <v>10000000</v>
      </c>
      <c r="E498" s="1068" t="e">
        <f>COUNTIFS(#REF!,"&gt;0",#REF!,"&gt;="&amp;B497,#REF!,"&lt;="&amp;EOMONTH(B497,0))</f>
        <v>#REF!</v>
      </c>
      <c r="F498" s="1069" t="e">
        <f>SUMIFS(#REF!,#REF!,"&lt;&gt;0",#REF!,"&gt;="&amp;B497,#REF!,"&lt;="&amp;EOMONTH(B497,0))</f>
        <v>#REF!</v>
      </c>
      <c r="G498" s="1098" t="e">
        <f t="shared" si="225"/>
        <v>#REF!</v>
      </c>
      <c r="H498" s="1070" t="e">
        <f ca="1">MINIFS(#REF!,#REF!,"&lt;&gt;0",#REF!,"&gt;="&amp;B497,#REF!,"&lt;="&amp;EOMONTH(B497,0))</f>
        <v>#NAME?</v>
      </c>
      <c r="I498" s="1069" t="e">
        <f ca="1">MAXIFS(#REF!,#REF!,"&lt;&gt;0",#REF!,"&gt;="&amp;B497,#REF!,"&lt;="&amp;EOMONTH(B497,0))</f>
        <v>#NAME?</v>
      </c>
      <c r="J498" s="1072" t="e">
        <f>COUNTIFS(#REF!,"&gt;="&amp;D498,#REF!,"&gt;="&amp;B497,#REF!,"&lt;="&amp;EOMONTH(B497,0))</f>
        <v>#REF!</v>
      </c>
      <c r="K498" s="1341" t="e">
        <f t="shared" si="226"/>
        <v>#REF!</v>
      </c>
      <c r="L498" s="1099"/>
      <c r="M498" s="1082"/>
      <c r="N498" s="1100"/>
      <c r="O498" s="1100"/>
      <c r="P498" s="1078"/>
      <c r="Q498" s="1078"/>
      <c r="R498" s="1078"/>
      <c r="S498" s="1078"/>
      <c r="T498" s="1101"/>
      <c r="U498" s="1101"/>
      <c r="V498" s="1082"/>
      <c r="W498" s="1102"/>
      <c r="X498" s="1102"/>
      <c r="Y498" s="1069"/>
      <c r="Z498" s="1069"/>
      <c r="AA498" s="1069"/>
      <c r="AB498" s="1069"/>
      <c r="AC498" s="1103"/>
      <c r="AD498" s="1104"/>
      <c r="AE498" s="1082"/>
      <c r="AF498" s="1105"/>
      <c r="AG498" s="1106"/>
      <c r="AH498" s="1106"/>
      <c r="AI498" s="1106"/>
      <c r="AJ498" s="1106"/>
      <c r="AK498" s="1107"/>
      <c r="AL498" s="1108"/>
      <c r="AM498" s="1109"/>
      <c r="AN498" s="1109"/>
      <c r="AO498" s="1109"/>
      <c r="AP498" s="1109"/>
      <c r="AQ498" s="1107"/>
      <c r="AR498" s="1110"/>
      <c r="AS498" s="1105"/>
      <c r="AT498" s="1109"/>
      <c r="AU498" s="1109"/>
      <c r="AV498" s="1109"/>
      <c r="AW498" s="1111"/>
      <c r="AX498" s="1112"/>
      <c r="AY498" s="1094"/>
      <c r="AZ498" s="1403" t="e">
        <f t="shared" si="227"/>
        <v>#REF!</v>
      </c>
      <c r="BA498" s="2"/>
    </row>
    <row r="499" spans="1:53" ht="15.75" hidden="1" customHeight="1" outlineLevel="1">
      <c r="A499" s="1027"/>
      <c r="B499" s="1404"/>
      <c r="C499" s="1402" t="s">
        <v>17</v>
      </c>
      <c r="D499" s="1067">
        <f>Parametres!$D$7</f>
        <v>0.8</v>
      </c>
      <c r="E499" s="1068" t="e">
        <f>COUNTIFS(#REF!,"&gt;0",#REF!,"&gt;="&amp;B497,#REF!,"&lt;="&amp;EOMONTH(B497,0))</f>
        <v>#REF!</v>
      </c>
      <c r="F499" s="1069" t="e">
        <f>SUMIFS(#REF!,#REF!,"&lt;&gt;0",#REF!,"&gt;="&amp;B497,#REF!,"&lt;="&amp;EOMONTH(B497,0))</f>
        <v>#REF!</v>
      </c>
      <c r="G499" s="1098" t="e">
        <f t="shared" si="225"/>
        <v>#REF!</v>
      </c>
      <c r="H499" s="1113" t="e">
        <f ca="1">MINIFS(#REF!,#REF!,"&lt;&gt;0",#REF!,"&gt;="&amp;B497,#REF!,"&lt;="&amp;EOMONTH(B497,0))</f>
        <v>#NAME?</v>
      </c>
      <c r="I499" s="1078" t="e">
        <f ca="1">MAXIFS(#REF!,#REF!,"&lt;&gt;0",#REF!,"&gt;="&amp;B497,#REF!,"&lt;="&amp;EOMONTH(B497,0))</f>
        <v>#NAME?</v>
      </c>
      <c r="J499" s="1114" t="e">
        <f>COUNTIFS(#REF!,"&gt;="&amp;D499,#REF!,"&gt;="&amp;B497,#REF!,"&lt;="&amp;EOMONTH(B497,0))</f>
        <v>#REF!</v>
      </c>
      <c r="K499" s="1341" t="e">
        <f t="shared" si="226"/>
        <v>#REF!</v>
      </c>
      <c r="L499" s="1115"/>
      <c r="M499" s="1082"/>
      <c r="N499" s="1100"/>
      <c r="O499" s="1100"/>
      <c r="P499" s="1078"/>
      <c r="Q499" s="1078"/>
      <c r="R499" s="1078"/>
      <c r="S499" s="1078"/>
      <c r="T499" s="1101"/>
      <c r="U499" s="1101"/>
      <c r="V499" s="1082"/>
      <c r="W499" s="1102"/>
      <c r="X499" s="1102"/>
      <c r="Y499" s="1069"/>
      <c r="Z499" s="1069"/>
      <c r="AA499" s="1069"/>
      <c r="AB499" s="1069"/>
      <c r="AC499" s="1103"/>
      <c r="AD499" s="1104"/>
      <c r="AE499" s="1082"/>
      <c r="AF499" s="1116"/>
      <c r="AG499" s="1117"/>
      <c r="AH499" s="1117"/>
      <c r="AI499" s="1117"/>
      <c r="AJ499" s="1117"/>
      <c r="AK499" s="1082"/>
      <c r="AL499" s="1105"/>
      <c r="AM499" s="1106"/>
      <c r="AN499" s="1106"/>
      <c r="AO499" s="1106"/>
      <c r="AP499" s="1106"/>
      <c r="AQ499" s="1082"/>
      <c r="AR499" s="1118"/>
      <c r="AS499" s="1116"/>
      <c r="AT499" s="1106"/>
      <c r="AU499" s="1106"/>
      <c r="AV499" s="1106"/>
      <c r="AW499" s="1119"/>
      <c r="AX499" s="1120"/>
      <c r="AY499" s="1094"/>
      <c r="AZ499" s="1403" t="e">
        <f t="shared" si="227"/>
        <v>#REF!</v>
      </c>
      <c r="BA499" s="2"/>
    </row>
    <row r="500" spans="1:53" ht="15.75" hidden="1" customHeight="1" outlineLevel="1">
      <c r="A500" s="1027"/>
      <c r="B500" s="1404"/>
      <c r="C500" s="1402" t="s">
        <v>18</v>
      </c>
      <c r="D500" s="1122">
        <f>Parametres!$D$8</f>
        <v>0.05</v>
      </c>
      <c r="E500" s="1068" t="e">
        <f>COUNTIFS(#REF!,"&gt;0",#REF!,"&gt;="&amp;B497,#REF!,"&lt;="&amp;EOMONTH(B497,0))</f>
        <v>#REF!</v>
      </c>
      <c r="F500" s="1069" t="e">
        <f>SUMIFS(#REF!,#REF!,"&lt;&gt;0",#REF!,"&gt;="&amp;B497,#REF!,"&lt;="&amp;EOMONTH(B497,0))</f>
        <v>#REF!</v>
      </c>
      <c r="G500" s="1098" t="e">
        <f t="shared" si="225"/>
        <v>#REF!</v>
      </c>
      <c r="H500" s="1113" t="e">
        <f ca="1">MINIFS(#REF!,#REF!,"&lt;&gt;0",#REF!,"&gt;="&amp;B497,#REF!,"&lt;="&amp;EOMONTH(B497,0))</f>
        <v>#NAME?</v>
      </c>
      <c r="I500" s="1078" t="e">
        <f ca="1">MAXIFS(#REF!,#REF!,"&lt;&gt;0",#REF!,"&gt;="&amp;B497,#REF!,"&lt;="&amp;EOMONTH(B497,0))</f>
        <v>#NAME?</v>
      </c>
      <c r="J500" s="1072" t="e">
        <f>COUNTIFS(#REF!,"&gt;="&amp;D500,#REF!,"&gt;="&amp;B497,#REF!,"&lt;="&amp;EOMONTH(B497,0))</f>
        <v>#REF!</v>
      </c>
      <c r="K500" s="1341" t="e">
        <f t="shared" si="226"/>
        <v>#REF!</v>
      </c>
      <c r="L500" s="1115"/>
      <c r="M500" s="1082"/>
      <c r="N500" s="1100"/>
      <c r="O500" s="1100"/>
      <c r="P500" s="1078"/>
      <c r="Q500" s="1078"/>
      <c r="R500" s="1078"/>
      <c r="S500" s="1078"/>
      <c r="T500" s="1101"/>
      <c r="U500" s="1101"/>
      <c r="V500" s="1082"/>
      <c r="W500" s="1102"/>
      <c r="X500" s="1102"/>
      <c r="Y500" s="1069"/>
      <c r="Z500" s="1069"/>
      <c r="AA500" s="1069"/>
      <c r="AB500" s="1069"/>
      <c r="AC500" s="1103"/>
      <c r="AD500" s="1104"/>
      <c r="AE500" s="1107"/>
      <c r="AF500" s="1108"/>
      <c r="AG500" s="1109"/>
      <c r="AH500" s="1109"/>
      <c r="AI500" s="1109"/>
      <c r="AJ500" s="1109"/>
      <c r="AK500" s="1123"/>
      <c r="AL500" s="1108"/>
      <c r="AM500" s="1109"/>
      <c r="AN500" s="1109"/>
      <c r="AO500" s="1109"/>
      <c r="AP500" s="1109"/>
      <c r="AQ500" s="1123"/>
      <c r="AR500" s="1124"/>
      <c r="AS500" s="1108"/>
      <c r="AT500" s="1109"/>
      <c r="AU500" s="1109"/>
      <c r="AV500" s="1109"/>
      <c r="AW500" s="1111"/>
      <c r="AX500" s="1112"/>
      <c r="AY500" s="1094"/>
      <c r="AZ500" s="1403" t="e">
        <f t="shared" si="227"/>
        <v>#REF!</v>
      </c>
      <c r="BA500" s="2"/>
    </row>
    <row r="501" spans="1:53" ht="15.75" hidden="1" customHeight="1" outlineLevel="1">
      <c r="A501" s="1027"/>
      <c r="B501" s="1404"/>
      <c r="C501" s="1402" t="s">
        <v>11</v>
      </c>
      <c r="D501" s="1067">
        <f>Parametres!$D$9</f>
        <v>0.2</v>
      </c>
      <c r="E501" s="1068" t="e">
        <f>COUNTIFS(#REF!,"&gt;0",#REF!,"&gt;="&amp;B497,#REF!,"&lt;="&amp;EOMONTH(B497,0))</f>
        <v>#REF!</v>
      </c>
      <c r="F501" s="1069" t="e">
        <f>SUMIFS(#REF!,#REF!,"&lt;&gt;0",#REF!,"&gt;="&amp;B497,#REF!,"&lt;="&amp;EOMONTH(B497,0))</f>
        <v>#REF!</v>
      </c>
      <c r="G501" s="1098" t="e">
        <f t="shared" si="225"/>
        <v>#REF!</v>
      </c>
      <c r="H501" s="1113" t="e">
        <f ca="1">MINIFS(#REF!,#REF!,"&lt;&gt;0",#REF!,"&gt;="&amp;B497,#REF!,"&lt;="&amp;EOMONTH(B497,0))</f>
        <v>#NAME?</v>
      </c>
      <c r="I501" s="1078" t="e">
        <f ca="1">MAXIFS(#REF!,#REF!,"&lt;&gt;0",#REF!,"&gt;="&amp;B497,#REF!,"&lt;="&amp;EOMONTH(B497,0))</f>
        <v>#NAME?</v>
      </c>
      <c r="J501" s="1072" t="e">
        <f>COUNTIFS(#REF!,"&gt;="&amp;D501,#REF!,"&gt;="&amp;B497,#REF!,"&lt;="&amp;EOMONTH(B497,0))</f>
        <v>#REF!</v>
      </c>
      <c r="K501" s="1341" t="e">
        <f t="shared" si="226"/>
        <v>#REF!</v>
      </c>
      <c r="L501" s="1115"/>
      <c r="M501" s="1082"/>
      <c r="N501" s="1100"/>
      <c r="O501" s="1100"/>
      <c r="P501" s="1078"/>
      <c r="Q501" s="1078"/>
      <c r="R501" s="1078"/>
      <c r="S501" s="1078"/>
      <c r="T501" s="1101"/>
      <c r="U501" s="1101"/>
      <c r="V501" s="1082"/>
      <c r="W501" s="1102"/>
      <c r="X501" s="1102"/>
      <c r="Y501" s="1069"/>
      <c r="Z501" s="1069"/>
      <c r="AA501" s="1069"/>
      <c r="AB501" s="1069"/>
      <c r="AC501" s="1103"/>
      <c r="AD501" s="1104"/>
      <c r="AE501" s="1075"/>
      <c r="AF501" s="1125"/>
      <c r="AG501" s="1126"/>
      <c r="AH501" s="1126"/>
      <c r="AI501" s="1126"/>
      <c r="AJ501" s="1126"/>
      <c r="AK501" s="1107"/>
      <c r="AL501" s="1125"/>
      <c r="AM501" s="1126"/>
      <c r="AN501" s="1126"/>
      <c r="AO501" s="1126"/>
      <c r="AP501" s="1126"/>
      <c r="AQ501" s="1107"/>
      <c r="AR501" s="1110"/>
      <c r="AS501" s="1125"/>
      <c r="AT501" s="1126"/>
      <c r="AU501" s="1126"/>
      <c r="AV501" s="1126"/>
      <c r="AW501" s="1127"/>
      <c r="AX501" s="1128"/>
      <c r="AY501" s="1094"/>
      <c r="AZ501" s="1403" t="e">
        <f t="shared" si="227"/>
        <v>#REF!</v>
      </c>
      <c r="BA501" s="2"/>
    </row>
    <row r="502" spans="1:53" ht="15.75" hidden="1" customHeight="1" outlineLevel="1">
      <c r="A502" s="1027"/>
      <c r="B502" s="1404"/>
      <c r="C502" s="1402" t="s">
        <v>12</v>
      </c>
      <c r="D502" s="1067">
        <f>Parametres!$D$10</f>
        <v>10000000</v>
      </c>
      <c r="E502" s="1068" t="e">
        <f>COUNTIFS(#REF!,"&gt;0",#REF!,"&gt;="&amp;B497,#REF!,"&lt;="&amp;EOMONTH(B497,0))</f>
        <v>#REF!</v>
      </c>
      <c r="F502" s="1069" t="e">
        <f>SUMIFS(#REF!,#REF!,"&lt;&gt;0",#REF!,"&gt;="&amp;B497,#REF!,"&lt;="&amp;EOMONTH(B497,0))</f>
        <v>#REF!</v>
      </c>
      <c r="G502" s="1098" t="e">
        <f t="shared" si="225"/>
        <v>#REF!</v>
      </c>
      <c r="H502" s="1113" t="e">
        <f ca="1">MINIFS(#REF!,#REF!,"&lt;&gt;0",#REF!,"&gt;="&amp;B497,#REF!,"&lt;="&amp;EOMONTH(B497,0))</f>
        <v>#NAME?</v>
      </c>
      <c r="I502" s="1078" t="e">
        <f ca="1">MAXIFS(#REF!,#REF!,"&lt;&gt;0",#REF!,"&gt;="&amp;B497,#REF!,"&lt;="&amp;EOMONTH(B497,0))</f>
        <v>#NAME?</v>
      </c>
      <c r="J502" s="1072" t="e">
        <f>COUNTIFS(#REF!,"&gt;="&amp;D502,#REF!,"&gt;="&amp;B497,#REF!,"&lt;="&amp;EOMONTH(B497,0))</f>
        <v>#REF!</v>
      </c>
      <c r="K502" s="1341" t="e">
        <f t="shared" si="226"/>
        <v>#REF!</v>
      </c>
      <c r="L502" s="1115"/>
      <c r="M502" s="1082"/>
      <c r="N502" s="1100"/>
      <c r="O502" s="1100"/>
      <c r="P502" s="1078"/>
      <c r="Q502" s="1078"/>
      <c r="R502" s="1078"/>
      <c r="S502" s="1078"/>
      <c r="T502" s="1101"/>
      <c r="U502" s="1101"/>
      <c r="V502" s="1082"/>
      <c r="W502" s="1129"/>
      <c r="X502" s="1129"/>
      <c r="Y502" s="1069"/>
      <c r="Z502" s="1069"/>
      <c r="AA502" s="1069"/>
      <c r="AB502" s="1069"/>
      <c r="AC502" s="1130"/>
      <c r="AD502" s="1131"/>
      <c r="AE502" s="1082"/>
      <c r="AF502" s="1105"/>
      <c r="AG502" s="1106"/>
      <c r="AH502" s="1106"/>
      <c r="AI502" s="1106"/>
      <c r="AJ502" s="1106"/>
      <c r="AK502" s="1132"/>
      <c r="AL502" s="1105"/>
      <c r="AM502" s="1106"/>
      <c r="AN502" s="1106"/>
      <c r="AO502" s="1106"/>
      <c r="AP502" s="1106"/>
      <c r="AQ502" s="1133"/>
      <c r="AR502" s="1134"/>
      <c r="AS502" s="1135"/>
      <c r="AT502" s="1106"/>
      <c r="AU502" s="1106"/>
      <c r="AV502" s="1106"/>
      <c r="AW502" s="1119"/>
      <c r="AX502" s="1120"/>
      <c r="AY502" s="1094"/>
      <c r="AZ502" s="1403" t="e">
        <f t="shared" si="227"/>
        <v>#REF!</v>
      </c>
      <c r="BA502" s="2"/>
    </row>
    <row r="503" spans="1:53" ht="15.75" hidden="1" customHeight="1" outlineLevel="1">
      <c r="A503" s="1027"/>
      <c r="B503" s="1404"/>
      <c r="C503" s="1402" t="s">
        <v>19</v>
      </c>
      <c r="D503" s="1067">
        <f>Parametres!$D$11</f>
        <v>1.5</v>
      </c>
      <c r="E503" s="1068" t="e">
        <f>COUNTIFS(#REF!,"&gt;0",#REF!,"&gt;="&amp;B497,#REF!,"&lt;="&amp;EOMONTH(B497,0))</f>
        <v>#REF!</v>
      </c>
      <c r="F503" s="1069" t="e">
        <f>SUMIFS(#REF!,#REF!,"&lt;&gt;0",#REF!,"&gt;="&amp;B497,#REF!,"&lt;="&amp;EOMONTH(B497,0))</f>
        <v>#REF!</v>
      </c>
      <c r="G503" s="1098" t="e">
        <f t="shared" si="225"/>
        <v>#REF!</v>
      </c>
      <c r="H503" s="1113" t="e">
        <f ca="1">MINIFS(#REF!,#REF!,"&lt;&gt;0",#REF!,"&gt;="&amp;B497,#REF!,"&lt;="&amp;EOMONTH(B497,0))</f>
        <v>#NAME?</v>
      </c>
      <c r="I503" s="1078" t="e">
        <f ca="1">MAXIFS(#REF!,#REF!,"&lt;&gt;0",#REF!,"&gt;="&amp;B497,#REF!,"&lt;="&amp;EOMONTH(B497,0))</f>
        <v>#NAME?</v>
      </c>
      <c r="J503" s="1072" t="e">
        <f>COUNTIFS(#REF!,"&gt;="&amp;D503,#REF!,"&gt;="&amp;B497,#REF!,"&lt;="&amp;EOMONTH(B497,0))</f>
        <v>#REF!</v>
      </c>
      <c r="K503" s="1341" t="e">
        <f t="shared" si="226"/>
        <v>#REF!</v>
      </c>
      <c r="L503" s="1115"/>
      <c r="M503" s="1082"/>
      <c r="N503" s="1100"/>
      <c r="O503" s="1100"/>
      <c r="P503" s="1078"/>
      <c r="Q503" s="1078"/>
      <c r="R503" s="1078"/>
      <c r="S503" s="1078"/>
      <c r="T503" s="1101"/>
      <c r="U503" s="1101"/>
      <c r="V503" s="1082"/>
      <c r="W503" s="1129"/>
      <c r="X503" s="1129"/>
      <c r="Y503" s="1069"/>
      <c r="Z503" s="1069"/>
      <c r="AA503" s="1069"/>
      <c r="AB503" s="1069"/>
      <c r="AC503" s="1130"/>
      <c r="AD503" s="1131"/>
      <c r="AE503" s="1082"/>
      <c r="AF503" s="1105"/>
      <c r="AG503" s="1106"/>
      <c r="AH503" s="1106"/>
      <c r="AI503" s="1106"/>
      <c r="AJ503" s="1106"/>
      <c r="AK503" s="1082"/>
      <c r="AL503" s="1136"/>
      <c r="AM503" s="1137"/>
      <c r="AN503" s="1137"/>
      <c r="AO503" s="1137"/>
      <c r="AP503" s="1137"/>
      <c r="AQ503" s="1082"/>
      <c r="AR503" s="1118"/>
      <c r="AS503" s="1105"/>
      <c r="AT503" s="1106"/>
      <c r="AU503" s="1106"/>
      <c r="AV503" s="1106"/>
      <c r="AW503" s="1138"/>
      <c r="AX503" s="1120"/>
      <c r="AY503" s="1094"/>
      <c r="AZ503" s="1403" t="e">
        <f t="shared" si="227"/>
        <v>#REF!</v>
      </c>
      <c r="BA503" s="2"/>
    </row>
    <row r="504" spans="1:53" ht="15.75" hidden="1" customHeight="1" outlineLevel="1">
      <c r="A504" s="1027"/>
      <c r="B504" s="1404"/>
      <c r="C504" s="1031" t="s">
        <v>42</v>
      </c>
      <c r="D504" s="1122">
        <f>Parametres!$D$12</f>
        <v>0.1</v>
      </c>
      <c r="E504" s="1068" t="e">
        <f>COUNTIFS(#REF!,"&gt;0",#REF!,"&gt;="&amp;B497,#REF!,"&lt;="&amp;EOMONTH(B497,0))</f>
        <v>#REF!</v>
      </c>
      <c r="F504" s="1069" t="e">
        <f>SUMIFS(#REF!,#REF!,"&lt;&gt;0",#REF!,"&gt;="&amp;B497,#REF!,"&lt;="&amp;EOMONTH(B497,0))</f>
        <v>#REF!</v>
      </c>
      <c r="G504" s="1098" t="e">
        <f t="shared" si="225"/>
        <v>#REF!</v>
      </c>
      <c r="H504" s="1113" t="e">
        <f ca="1">MINIFS(#REF!,#REF!,"&lt;&gt;0",#REF!,"&gt;="&amp;B497,#REF!,"&lt;="&amp;EOMONTH(B497,0))</f>
        <v>#NAME?</v>
      </c>
      <c r="I504" s="1078" t="e">
        <f ca="1">MAXIFS(#REF!,#REF!,"&lt;&gt;0",#REF!,"&gt;="&amp;B497,#REF!,"&lt;="&amp;EOMONTH(B497,0))</f>
        <v>#NAME?</v>
      </c>
      <c r="J504" s="1114" t="e">
        <f>COUNTIFS(#REF!,"&gt;="&amp;D504,#REF!,"&gt;="&amp;B497,#REF!,"&lt;="&amp;EOMONTH(B497,0))</f>
        <v>#REF!</v>
      </c>
      <c r="K504" s="1341" t="e">
        <f t="shared" si="226"/>
        <v>#REF!</v>
      </c>
      <c r="L504" s="1115"/>
      <c r="M504" s="1082"/>
      <c r="N504" s="1076">
        <f>Parametres!$L$12</f>
        <v>100000</v>
      </c>
      <c r="O504" s="1077">
        <f>COUNTIFS('Degrémont Entrée'!$AG$14:$AG$379,"&gt;0",'Degrémont Entrée'!$A$14:$A$379,"&gt;="&amp;B497,'Degrémont Entrée'!$A$14:$A$379,"&lt;="&amp;EOMONTH(B497,0))</f>
        <v>19</v>
      </c>
      <c r="P504" s="1078">
        <f>SUMIFS('Degrémont Entrée'!$AG$14:$AG$379,'Degrémont Entrée'!$AG$14:$AG$379,"&lt;&gt;0",'Degrémont Entrée'!$A$14:$A$379,"&gt;="&amp;B497,'Degrémont Entrée'!$A$14:$A$379,"&lt;="&amp;EOMONTH(B497,0))</f>
        <v>0.28400000000000003</v>
      </c>
      <c r="Q504" s="1078">
        <f>IF(O504=0,0,P504/O504)</f>
        <v>1.4947368421052633E-2</v>
      </c>
      <c r="R504" s="1078" t="e">
        <f ca="1">MINIFS('Degrémont Entrée'!$AG$14:$AG$379,'Degrémont Entrée'!$AG$14:$AG$379,"&lt;&gt;0",'Degrémont Entrée'!$A$14:$A$379,"&gt;="&amp;B497,'Degrémont Entrée'!$A$14:$A$379,"&lt;="&amp;EOMONTH(B497,0))</f>
        <v>#NAME?</v>
      </c>
      <c r="S504" s="1078" t="e">
        <f ca="1">MAXIFS('Degrémont Entrée'!$AG$14:$AG$379,'Degrémont Entrée'!$AG$14:$AG$379,"&lt;&gt;0",'Degrémont Entrée'!$A$14:$A$379,"&gt;="&amp;B497,'Degrémont Entrée'!$A$14:$A$379,"&lt;="&amp;EOMONTH(B497,0))</f>
        <v>#NAME?</v>
      </c>
      <c r="T504" s="1140" t="s">
        <v>153</v>
      </c>
      <c r="U504" s="1140" t="s">
        <v>153</v>
      </c>
      <c r="V504" s="1082"/>
      <c r="W504" s="1083">
        <f>Parametres!$T$12</f>
        <v>0.1</v>
      </c>
      <c r="X504" s="1142">
        <f>COUNTIFS('Degrémont sortie'!$AA$14:$AA$379,"&gt;0",'Degrémont sortie'!$A$14:$A$379,"&gt;="&amp;B497,'Degrémont sortie'!$A$14:$A$379,"&lt;="&amp;EOMONTH(B497,0))</f>
        <v>19</v>
      </c>
      <c r="Y504" s="1085">
        <f>SUMIFS('Degrémont sortie'!$AA$14:$AA$379,'Degrémont sortie'!$AA$14:$AA$379,"&lt;&gt;0",'Degrémont sortie'!$A$14:$A$379,"&gt;="&amp;B497,'Degrémont sortie'!$A$14:$A$379,"&lt;="&amp;EOMONTH(B497,0))</f>
        <v>0.19000000000000003</v>
      </c>
      <c r="Z504" s="1069">
        <f t="shared" ref="Z504:Z506" si="228">IF(X504=0,0,Y504/X504)</f>
        <v>1.0000000000000002E-2</v>
      </c>
      <c r="AA504" s="1069" t="e">
        <f ca="1">MINIFS('Degrémont sortie'!$AA$14:$AA$379,'Degrémont sortie'!$AA$14:$AA$379,"&lt;&gt;0",'Degrémont sortie'!$A$14:$A$379,"&gt;="&amp;B497,'Degrémont sortie'!$A$14:$A$379,"&lt;="&amp;EOMONTH(B497,0))</f>
        <v>#NAME?</v>
      </c>
      <c r="AB504" s="1069" t="e">
        <f ca="1">MAXIFS('Degrémont sortie'!$AA$14:$AA$379,'Degrémont sortie'!$AA$14:$AA$379,"&lt;&gt;0",'Degrémont sortie'!$A$14:$A$379,"&gt;="&amp;B497,'Degrémont sortie'!$A$14:$A$379,"&lt;="&amp;EOMONTH(B497,0))</f>
        <v>#NAME?</v>
      </c>
      <c r="AC504" s="1142">
        <f>COUNTIFS('Degrémont sortie'!$AA$14:$AA$379,"&gt;="&amp;W504,'Degrémont sortie'!$A$14:$A$379,"&gt;="&amp;B497,'Degrémont sortie'!$A$14:$A$379,"&lt;="&amp;EOMONTH(B497,0))</f>
        <v>0</v>
      </c>
      <c r="AD504" s="1087">
        <f t="shared" ref="AD504:AD506" si="229">AC504/X504</f>
        <v>0</v>
      </c>
      <c r="AE504" s="1082"/>
      <c r="AF504" s="1105"/>
      <c r="AG504" s="1106"/>
      <c r="AH504" s="1106"/>
      <c r="AI504" s="1106"/>
      <c r="AJ504" s="1106"/>
      <c r="AK504" s="1082"/>
      <c r="AL504" s="1116"/>
      <c r="AM504" s="1117"/>
      <c r="AN504" s="1117"/>
      <c r="AO504" s="1117"/>
      <c r="AP504" s="1117"/>
      <c r="AQ504" s="1082"/>
      <c r="AR504" s="1118"/>
      <c r="AS504" s="1105"/>
      <c r="AT504" s="1106"/>
      <c r="AU504" s="1106"/>
      <c r="AV504" s="1106"/>
      <c r="AW504" s="1119"/>
      <c r="AX504" s="1120"/>
      <c r="AY504" s="1094"/>
      <c r="AZ504" s="1403" t="e">
        <f t="shared" si="227"/>
        <v>#REF!</v>
      </c>
      <c r="BA504" s="2"/>
    </row>
    <row r="505" spans="1:53" ht="15.75" hidden="1" customHeight="1" outlineLevel="1">
      <c r="A505" s="1027"/>
      <c r="B505" s="1404"/>
      <c r="C505" s="1031" t="s">
        <v>286</v>
      </c>
      <c r="D505" s="1122">
        <f>Parametres!$D$13</f>
        <v>0.5</v>
      </c>
      <c r="E505" s="1068" t="e">
        <f>COUNTIFS(#REF!,"&gt;0",#REF!,"&gt;="&amp;B497,#REF!,"&lt;="&amp;EOMONTH(B497,0))</f>
        <v>#REF!</v>
      </c>
      <c r="F505" s="1069" t="e">
        <f>SUMIFS(#REF!,#REF!,"&lt;&gt;0",#REF!,"&gt;="&amp;B497,#REF!,"&lt;="&amp;EOMONTH(B497,0))</f>
        <v>#REF!</v>
      </c>
      <c r="G505" s="1098" t="e">
        <f t="shared" si="225"/>
        <v>#REF!</v>
      </c>
      <c r="H505" s="1113" t="e">
        <f ca="1">MINIFS(#REF!,#REF!,"&lt;&gt;0",#REF!,"&gt;="&amp;B497,#REF!,"&lt;="&amp;EOMONTH(B497,0))</f>
        <v>#NAME?</v>
      </c>
      <c r="I505" s="1078" t="e">
        <f ca="1">MAXIFS(#REF!,#REF!,"&lt;&gt;0",#REF!,"&gt;="&amp;B497,#REF!,"&lt;="&amp;EOMONTH(B497,0))</f>
        <v>#NAME?</v>
      </c>
      <c r="J505" s="1114" t="e">
        <f>COUNTIFS(#REF!,"&gt;="&amp;D505,#REF!,"&gt;="&amp;B497,#REF!,"&lt;="&amp;EOMONTH(B497,0))</f>
        <v>#REF!</v>
      </c>
      <c r="K505" s="1341" t="e">
        <f t="shared" si="226"/>
        <v>#REF!</v>
      </c>
      <c r="L505" s="1115"/>
      <c r="M505" s="1082"/>
      <c r="N505" s="1129"/>
      <c r="O505" s="1129"/>
      <c r="P505" s="1069"/>
      <c r="Q505" s="1069"/>
      <c r="R505" s="1069"/>
      <c r="S505" s="1069"/>
      <c r="T505" s="1143"/>
      <c r="U505" s="1143"/>
      <c r="V505" s="1132"/>
      <c r="W505" s="1083">
        <f>Parametres!$T$13</f>
        <v>0.08</v>
      </c>
      <c r="X505" s="1142">
        <f>COUNTIFS('Degrémont sortie'!$AD$14:$AD$379,"&gt;0",'Degrémont sortie'!$A$14:$A$379,"&gt;="&amp;B497,'Degrémont sortie'!$A$14:$A$379,"&lt;="&amp;EOMONTH(B497,0))</f>
        <v>4</v>
      </c>
      <c r="Y505" s="1085">
        <f>SUMIFS('Degrémont sortie'!$AD$14:$AD$379,'Degrémont sortie'!$AD$14:$AD$379,"&lt;&gt;0",'Degrémont sortie'!$A$14:$A$379,"&gt;="&amp;B497,'Degrémont sortie'!$A$14:$A$379,"&lt;="&amp;EOMONTH(B497,0))</f>
        <v>0.03</v>
      </c>
      <c r="Z505" s="1069">
        <f t="shared" si="228"/>
        <v>7.4999999999999997E-3</v>
      </c>
      <c r="AA505" s="1069" t="e">
        <f ca="1">MINIFS('Degrémont sortie'!$AD$14:$AD$379,'Degrémont sortie'!$AD$14:$AD$379,"&lt;&gt;0",'Degrémont sortie'!$A$14:$A$379,"&gt;="&amp;B497,'Degrémont sortie'!$A$14:$A$379,"&lt;="&amp;EOMONTH(B497,0))</f>
        <v>#NAME?</v>
      </c>
      <c r="AB505" s="1069" t="e">
        <f ca="1">MAXIFS('Degrémont sortie'!$AD$14:$AD$379,'Degrémont sortie'!$AD$14:$AD$379,"&lt;&gt;0",'Degrémont sortie'!$A$14:$A$379,"&gt;="&amp;B497,'Degrémont sortie'!$A$14:$A$379,"&lt;="&amp;EOMONTH(B497,0))</f>
        <v>#NAME?</v>
      </c>
      <c r="AC505" s="1142">
        <f>COUNTIFS('Degrémont sortie'!$AD$14:$AD$379,"&gt;="&amp;W505,'Degrémont sortie'!$A$14:$A$379,"&gt;="&amp;B497,'Degrémont sortie'!$A$14:$A$379,"&lt;="&amp;EOMONTH(B497,0))</f>
        <v>0</v>
      </c>
      <c r="AD505" s="1087">
        <f t="shared" si="229"/>
        <v>0</v>
      </c>
      <c r="AE505" s="1132"/>
      <c r="AF505" s="1105"/>
      <c r="AG505" s="1106"/>
      <c r="AH505" s="1106"/>
      <c r="AI505" s="1106"/>
      <c r="AJ505" s="1106"/>
      <c r="AK505" s="1132"/>
      <c r="AL505" s="1105"/>
      <c r="AM505" s="1106"/>
      <c r="AN505" s="1106"/>
      <c r="AO505" s="1106"/>
      <c r="AP505" s="1106"/>
      <c r="AQ505" s="1133"/>
      <c r="AR505" s="1134"/>
      <c r="AS505" s="1135"/>
      <c r="AT505" s="1106"/>
      <c r="AU505" s="1106"/>
      <c r="AV505" s="1106"/>
      <c r="AW505" s="1119"/>
      <c r="AX505" s="1120"/>
      <c r="AY505" s="1094"/>
      <c r="AZ505" s="1403" t="e">
        <f t="shared" si="227"/>
        <v>#REF!</v>
      </c>
      <c r="BA505" s="2"/>
    </row>
    <row r="506" spans="1:53" ht="15.75" hidden="1" customHeight="1" outlineLevel="1">
      <c r="A506" s="1027"/>
      <c r="B506" s="1404"/>
      <c r="C506" s="1031" t="s">
        <v>45</v>
      </c>
      <c r="D506" s="1122">
        <f>Parametres!$D$14</f>
        <v>0.5</v>
      </c>
      <c r="E506" s="1068" t="e">
        <f>COUNTIFS(#REF!,"&gt;0",#REF!,"&gt;="&amp;B497,#REF!,"&lt;="&amp;EOMONTH(B497,0))</f>
        <v>#REF!</v>
      </c>
      <c r="F506" s="1069" t="e">
        <f>SUMIFS(#REF!,#REF!,"&lt;&gt;0",#REF!,"&gt;="&amp;B497,#REF!,"&lt;="&amp;EOMONTH(B497,0))</f>
        <v>#REF!</v>
      </c>
      <c r="G506" s="1098" t="e">
        <f t="shared" si="225"/>
        <v>#REF!</v>
      </c>
      <c r="H506" s="1070" t="e">
        <f ca="1">MINIFS(#REF!,#REF!,"&lt;&gt;0",#REF!,"&gt;="&amp;B497,#REF!,"&lt;="&amp;EOMONTH(B497,0))</f>
        <v>#NAME?</v>
      </c>
      <c r="I506" s="1078" t="e">
        <f ca="1">MAXIFS(#REF!,#REF!,"&lt;&gt;0",#REF!,"&gt;="&amp;B497,#REF!,"&lt;="&amp;EOMONTH(B497,0))</f>
        <v>#NAME?</v>
      </c>
      <c r="J506" s="1114" t="e">
        <f>COUNTIFS(#REF!,"&gt;="&amp;D506,#REF!,"&gt;="&amp;B497,#REF!,"&lt;="&amp;EOMONTH(B497,0))</f>
        <v>#REF!</v>
      </c>
      <c r="K506" s="1341" t="e">
        <f t="shared" si="226"/>
        <v>#REF!</v>
      </c>
      <c r="L506" s="1115"/>
      <c r="M506" s="1082"/>
      <c r="N506" s="1144">
        <f>Parametres!$L$14</f>
        <v>3</v>
      </c>
      <c r="O506" s="1077">
        <f>COUNTIFS('Degrémont Entrée'!$AS$14:$AS$379,"&gt;0",'Degrémont Entrée'!$A$14:$A$379,"&gt;="&amp;B497,'Degrémont Entrée'!$A$14:$A$379,"&lt;="&amp;EOMONTH(B497,0))</f>
        <v>4</v>
      </c>
      <c r="P506" s="1078">
        <f>SUMIFS('Degrémont Entrée'!$AS$14:$AS$379,'Degrémont Entrée'!$AS$14:$AS$379,"&lt;&gt;0",'Degrémont Entrée'!$A$14:$A$379,"&gt;="&amp;B497,'Degrémont Entrée'!$A$14:$A$379,"&lt;="&amp;EOMONTH(B497,0))</f>
        <v>6.04</v>
      </c>
      <c r="Q506" s="1078">
        <f>IF(O506=0,0,P506/O506)</f>
        <v>1.51</v>
      </c>
      <c r="R506" s="1069" t="e">
        <f ca="1">MINIFS('Degrémont Entrée'!$AS$14:$AS$379,'Degrémont Entrée'!$AS$14:$AS$379,"&lt;&gt;0",'Degrémont Entrée'!$A$14:$A$379,"&gt;="&amp;B497,'Degrémont Entrée'!$A$14:$A$379,"&lt;="&amp;EOMONTH(B497,0))</f>
        <v>#NAME?</v>
      </c>
      <c r="S506" s="1069" t="e">
        <f ca="1">MAXIFS('Degrémont Entrée'!$AS$14:$AS$379,'Degrémont Entrée'!$AS$14:$AS$379,"&lt;&gt;0",'Degrémont Entrée'!$A$14:$A$379,"&gt;="&amp;B497,'Degrémont Entrée'!$A$14:$A$379,"&lt;="&amp;EOMONTH(B497,0))</f>
        <v>#NAME?</v>
      </c>
      <c r="T506" s="1145">
        <f>COUNTIFS('Degrémont Entrée'!$AS$14:$AS$379,"&gt;="&amp;N506,'Degrémont Entrée'!$A$14:$A$379,"&gt;="&amp;B497,'Degrémont Entrée'!$A$14:$A$379,"&lt;="&amp;EOMONTH(B497,0))</f>
        <v>1</v>
      </c>
      <c r="U506" s="1081">
        <f>T506/O506</f>
        <v>0.25</v>
      </c>
      <c r="V506" s="1132"/>
      <c r="W506" s="1083">
        <f>Parametres!$T$14</f>
        <v>0.12</v>
      </c>
      <c r="X506" s="1142">
        <f>COUNTIFS('Degrémont sortie'!$AM$14:$AM$379,"&gt;0",'Degrémont sortie'!$A$14:$A$379,"&gt;="&amp;B497,'Degrémont sortie'!$A$14:$A$379,"&lt;="&amp;EOMONTH(B497,0))</f>
        <v>4</v>
      </c>
      <c r="Y506" s="1085">
        <f>SUMIFS('Degrémont sortie'!$AM$14:$AM$379,'Degrémont sortie'!$AM$14:$AM$379,"&lt;&gt;0",'Degrémont sortie'!$A$14:$A$379,"&gt;="&amp;B497,'Degrémont sortie'!$A$14:$A$379,"&lt;="&amp;EOMONTH(B497,0))</f>
        <v>0.11</v>
      </c>
      <c r="Z506" s="1069">
        <f t="shared" si="228"/>
        <v>2.75E-2</v>
      </c>
      <c r="AA506" s="1069" t="e">
        <f ca="1">MINIFS('Degrémont sortie'!$AM$14:$AM$379,'Degrémont sortie'!$AM$14:$AM$379,"&lt;&gt;0",'Degrémont sortie'!$A$14:$A$379,"&gt;="&amp;B497,'Degrémont sortie'!$A$14:$A$379,"&lt;="&amp;EOMONTH(B497,0))</f>
        <v>#NAME?</v>
      </c>
      <c r="AB506" s="1069" t="e">
        <f ca="1">MAXIFS('Degrémont sortie'!$AM$14:$AM$379,'Degrémont sortie'!$AM$14:$AM$379,"&lt;&gt;0",'Degrémont sortie'!$A$14:$A$379,"&gt;="&amp;B497,'Degrémont sortie'!$A$14:$A$379,"&lt;="&amp;EOMONTH(B497,0))</f>
        <v>#NAME?</v>
      </c>
      <c r="AC506" s="1142">
        <f>COUNTIFS('Degrémont sortie'!$AM$14:$AM$379,"&gt;="&amp;W506,'Degrémont sortie'!$A$14:$A$379,"&gt;="&amp;B497,'Degrémont sortie'!$A$14:$A$379,"&lt;="&amp;EOMONTH(B497,0))</f>
        <v>0</v>
      </c>
      <c r="AD506" s="1087">
        <f t="shared" si="229"/>
        <v>0</v>
      </c>
      <c r="AE506" s="1132"/>
      <c r="AF506" s="1105"/>
      <c r="AG506" s="1106"/>
      <c r="AH506" s="1106"/>
      <c r="AI506" s="1106"/>
      <c r="AJ506" s="1106"/>
      <c r="AK506" s="1132"/>
      <c r="AL506" s="1105"/>
      <c r="AM506" s="1106"/>
      <c r="AN506" s="1106"/>
      <c r="AO506" s="1106"/>
      <c r="AP506" s="1106"/>
      <c r="AQ506" s="1132"/>
      <c r="AR506" s="1148"/>
      <c r="AS506" s="1105"/>
      <c r="AT506" s="1106"/>
      <c r="AU506" s="1106"/>
      <c r="AV506" s="1106"/>
      <c r="AW506" s="1138"/>
      <c r="AX506" s="1120"/>
      <c r="AY506" s="1094"/>
      <c r="AZ506" s="1403" t="e">
        <f t="shared" si="227"/>
        <v>#REF!</v>
      </c>
      <c r="BA506" s="2"/>
    </row>
    <row r="507" spans="1:53" ht="15.75" hidden="1" customHeight="1" outlineLevel="1">
      <c r="A507" s="1027"/>
      <c r="B507" s="1404"/>
      <c r="C507" s="1402" t="s">
        <v>20</v>
      </c>
      <c r="D507" s="1122">
        <f>Parametres!$D$15</f>
        <v>0.1</v>
      </c>
      <c r="E507" s="1068" t="e">
        <f>COUNTIFS(#REF!,"&gt;0",#REF!,"&gt;="&amp;B497,#REF!,"&lt;="&amp;EOMONTH(B497,0))</f>
        <v>#REF!</v>
      </c>
      <c r="F507" s="1069" t="e">
        <f>SUMIFS(#REF!,#REF!,"&lt;&gt;0",#REF!,"&gt;="&amp;B497,#REF!,"&lt;="&amp;EOMONTH(B497,0))</f>
        <v>#REF!</v>
      </c>
      <c r="G507" s="1098" t="e">
        <f t="shared" si="225"/>
        <v>#REF!</v>
      </c>
      <c r="H507" s="1070" t="e">
        <f ca="1">MINIFS(#REF!,#REF!,"&lt;&gt;0",#REF!,"&gt;="&amp;B497,#REF!,"&lt;="&amp;EOMONTH(B497,0))</f>
        <v>#NAME?</v>
      </c>
      <c r="I507" s="1078" t="e">
        <f ca="1">MAXIFS(#REF!,#REF!,"&lt;&gt;0",#REF!,"&gt;="&amp;B497,#REF!,"&lt;="&amp;EOMONTH(B497,0))</f>
        <v>#NAME?</v>
      </c>
      <c r="J507" s="1072" t="e">
        <f>COUNTIFS(#REF!,"&gt;="&amp;D507,#REF!,"&gt;="&amp;B497,#REF!,"&lt;="&amp;EOMONTH(B497,0))</f>
        <v>#REF!</v>
      </c>
      <c r="K507" s="1341" t="e">
        <f t="shared" si="226"/>
        <v>#REF!</v>
      </c>
      <c r="L507" s="1115"/>
      <c r="M507" s="1082"/>
      <c r="N507" s="1129"/>
      <c r="O507" s="1129"/>
      <c r="P507" s="1069"/>
      <c r="Q507" s="1069"/>
      <c r="R507" s="1069"/>
      <c r="S507" s="1069"/>
      <c r="T507" s="1143"/>
      <c r="U507" s="1143"/>
      <c r="V507" s="1132"/>
      <c r="W507" s="1129"/>
      <c r="X507" s="1129"/>
      <c r="Y507" s="1069"/>
      <c r="Z507" s="1069"/>
      <c r="AA507" s="1069"/>
      <c r="AB507" s="1069"/>
      <c r="AC507" s="1130"/>
      <c r="AD507" s="1131"/>
      <c r="AE507" s="1132"/>
      <c r="AF507" s="1105"/>
      <c r="AG507" s="1106"/>
      <c r="AH507" s="1106"/>
      <c r="AI507" s="1106"/>
      <c r="AJ507" s="1106"/>
      <c r="AK507" s="1132"/>
      <c r="AL507" s="1105"/>
      <c r="AM507" s="1106"/>
      <c r="AN507" s="1106"/>
      <c r="AO507" s="1106"/>
      <c r="AP507" s="1106"/>
      <c r="AQ507" s="1132"/>
      <c r="AR507" s="1148"/>
      <c r="AS507" s="1105"/>
      <c r="AT507" s="1106"/>
      <c r="AU507" s="1106"/>
      <c r="AV507" s="1106"/>
      <c r="AW507" s="1119"/>
      <c r="AX507" s="1120"/>
      <c r="AY507" s="1094"/>
      <c r="AZ507" s="1403" t="e">
        <f t="shared" si="227"/>
        <v>#REF!</v>
      </c>
      <c r="BA507" s="2"/>
    </row>
    <row r="508" spans="1:53" ht="15.75" hidden="1" customHeight="1" outlineLevel="1">
      <c r="A508" s="1027"/>
      <c r="B508" s="1404"/>
      <c r="C508" s="1402" t="s">
        <v>14</v>
      </c>
      <c r="D508" s="1122">
        <f>Parametres!$D$16</f>
        <v>10000000</v>
      </c>
      <c r="E508" s="1068" t="e">
        <f>COUNTIFS(#REF!,"&gt;0",#REF!,"&gt;="&amp;B497,#REF!,"&lt;="&amp;EOMONTH(B497,0))</f>
        <v>#REF!</v>
      </c>
      <c r="F508" s="1069" t="e">
        <f>SUMIFS(#REF!,#REF!,"&lt;&gt;0",#REF!,"&gt;="&amp;B497,#REF!,"&lt;="&amp;EOMONTH(B497,0))</f>
        <v>#REF!</v>
      </c>
      <c r="G508" s="1098" t="e">
        <f t="shared" si="225"/>
        <v>#REF!</v>
      </c>
      <c r="H508" s="1070" t="e">
        <f ca="1">MINIFS(#REF!,#REF!,"&lt;&gt;0",#REF!,"&gt;="&amp;B497,#REF!,"&lt;="&amp;EOMONTH(B497,0))</f>
        <v>#NAME?</v>
      </c>
      <c r="I508" s="1078" t="e">
        <f ca="1">MAXIFS(#REF!,#REF!,"&lt;&gt;0",#REF!,"&gt;="&amp;B497,#REF!,"&lt;="&amp;EOMONTH(B497,0))</f>
        <v>#NAME?</v>
      </c>
      <c r="J508" s="1072" t="e">
        <f>COUNTIFS(#REF!,"&gt;="&amp;D508,#REF!,"&gt;="&amp;B497,#REF!,"&lt;="&amp;EOMONTH(B497,0))</f>
        <v>#REF!</v>
      </c>
      <c r="K508" s="1341" t="e">
        <f t="shared" si="226"/>
        <v>#REF!</v>
      </c>
      <c r="L508" s="1115"/>
      <c r="M508" s="1082"/>
      <c r="N508" s="1129"/>
      <c r="O508" s="1129"/>
      <c r="P508" s="1069"/>
      <c r="Q508" s="1069"/>
      <c r="R508" s="1069"/>
      <c r="S508" s="1069"/>
      <c r="T508" s="1143"/>
      <c r="U508" s="1143"/>
      <c r="V508" s="1132"/>
      <c r="W508" s="1129"/>
      <c r="X508" s="1129"/>
      <c r="Y508" s="1069"/>
      <c r="Z508" s="1069"/>
      <c r="AA508" s="1069"/>
      <c r="AB508" s="1069"/>
      <c r="AC508" s="1130"/>
      <c r="AD508" s="1131"/>
      <c r="AE508" s="1132"/>
      <c r="AF508" s="1105"/>
      <c r="AG508" s="1106"/>
      <c r="AH508" s="1106"/>
      <c r="AI508" s="1106"/>
      <c r="AJ508" s="1106"/>
      <c r="AK508" s="1082"/>
      <c r="AL508" s="1136"/>
      <c r="AM508" s="1137"/>
      <c r="AN508" s="1137"/>
      <c r="AO508" s="1137"/>
      <c r="AP508" s="1137"/>
      <c r="AQ508" s="1082"/>
      <c r="AR508" s="1118"/>
      <c r="AS508" s="1105"/>
      <c r="AT508" s="1106"/>
      <c r="AU508" s="1106"/>
      <c r="AV508" s="1106"/>
      <c r="AW508" s="1138"/>
      <c r="AX508" s="1120"/>
      <c r="AY508" s="1094"/>
      <c r="AZ508" s="1403" t="e">
        <f t="shared" si="227"/>
        <v>#REF!</v>
      </c>
      <c r="BA508" s="2"/>
    </row>
    <row r="509" spans="1:53" ht="15.75" hidden="1" customHeight="1" outlineLevel="1">
      <c r="A509" s="1027"/>
      <c r="B509" s="1404"/>
      <c r="C509" s="1031" t="s">
        <v>284</v>
      </c>
      <c r="D509" s="1122">
        <f>Parametres!$D$17</f>
        <v>450</v>
      </c>
      <c r="E509" s="1068" t="e">
        <f>COUNTIFS(#REF!,"&gt;0",#REF!,"&gt;="&amp;B497,#REF!,"&lt;="&amp;EOMONTH(B497,0))</f>
        <v>#REF!</v>
      </c>
      <c r="F509" s="1069" t="e">
        <f>SUMIFS(#REF!,#REF!,"&lt;&gt;0",#REF!,"&gt;="&amp;B497,#REF!,"&lt;="&amp;EOMONTH(B497,0))</f>
        <v>#REF!</v>
      </c>
      <c r="G509" s="1069" t="e">
        <f t="shared" si="225"/>
        <v>#REF!</v>
      </c>
      <c r="H509" s="1070" t="e">
        <f ca="1">MINIFS(#REF!,#REF!,"&lt;&gt;0",#REF!,"&gt;="&amp;B497,#REF!,"&lt;="&amp;EOMONTH(B497,0))</f>
        <v>#NAME?</v>
      </c>
      <c r="I509" s="1078" t="e">
        <f ca="1">MAXIFS(#REF!,#REF!,"&lt;&gt;0",#REF!,"&gt;="&amp;B497,#REF!,"&lt;="&amp;EOMONTH(B497,0))</f>
        <v>#NAME?</v>
      </c>
      <c r="J509" s="1114" t="e">
        <f>COUNTIFS(#REF!,"&gt;="&amp;D509,#REF!,"&gt;="&amp;B497,#REF!,"&lt;="&amp;EOMONTH(B497,0))</f>
        <v>#REF!</v>
      </c>
      <c r="K509" s="1341" t="e">
        <f t="shared" si="226"/>
        <v>#REF!</v>
      </c>
      <c r="L509" s="1115"/>
      <c r="M509" s="1082"/>
      <c r="N509" s="1171"/>
      <c r="O509" s="1171"/>
      <c r="P509" s="1173"/>
      <c r="Q509" s="1173"/>
      <c r="R509" s="1173"/>
      <c r="S509" s="1173"/>
      <c r="T509" s="1175"/>
      <c r="U509" s="1175"/>
      <c r="V509" s="1177"/>
      <c r="W509" s="1129"/>
      <c r="X509" s="1129"/>
      <c r="Y509" s="1069"/>
      <c r="Z509" s="1069"/>
      <c r="AA509" s="1069"/>
      <c r="AB509" s="1069"/>
      <c r="AC509" s="1130"/>
      <c r="AD509" s="1131"/>
      <c r="AE509" s="1082"/>
      <c r="AF509" s="1105"/>
      <c r="AG509" s="1106"/>
      <c r="AH509" s="1106"/>
      <c r="AI509" s="1106"/>
      <c r="AJ509" s="1106"/>
      <c r="AK509" s="1132"/>
      <c r="AL509" s="1105"/>
      <c r="AM509" s="1106"/>
      <c r="AN509" s="1106"/>
      <c r="AO509" s="1106"/>
      <c r="AP509" s="1119"/>
      <c r="AQ509" s="1132"/>
      <c r="AR509" s="1148"/>
      <c r="AS509" s="1105"/>
      <c r="AT509" s="1106"/>
      <c r="AU509" s="1106"/>
      <c r="AV509" s="1106"/>
      <c r="AW509" s="1119"/>
      <c r="AX509" s="1120"/>
      <c r="AY509" s="1094"/>
      <c r="AZ509" s="1403" t="e">
        <f t="shared" si="227"/>
        <v>#REF!</v>
      </c>
      <c r="BA509" s="2"/>
    </row>
    <row r="510" spans="1:53" ht="15.75" hidden="1" customHeight="1" outlineLevel="1">
      <c r="A510" s="1027"/>
      <c r="B510" s="1404"/>
      <c r="C510" s="1405" t="s">
        <v>35</v>
      </c>
      <c r="D510" s="1122">
        <f>Parametres!$D$18</f>
        <v>1750</v>
      </c>
      <c r="E510" s="1068" t="e">
        <f>COUNTIFS(#REF!,"&gt;0",#REF!,"&gt;="&amp;B497,#REF!,"&lt;="&amp;EOMONTH(B497,0))</f>
        <v>#REF!</v>
      </c>
      <c r="F510" s="1069" t="e">
        <f>SUMIFS(#REF!,#REF!,"&lt;&gt;0",#REF!,"&gt;="&amp;B497,#REF!,"&lt;="&amp;EOMONTH(B497,0))</f>
        <v>#REF!</v>
      </c>
      <c r="G510" s="1069" t="e">
        <f t="shared" si="225"/>
        <v>#REF!</v>
      </c>
      <c r="H510" s="1070" t="e">
        <f ca="1">MINIFS(#REF!,#REF!,"&lt;&gt;0",#REF!,"&gt;="&amp;B497,#REF!,"&lt;="&amp;EOMONTH(B497,0))</f>
        <v>#NAME?</v>
      </c>
      <c r="I510" s="1078" t="e">
        <f ca="1">MAXIFS(#REF!,#REF!,"&lt;&gt;0",#REF!,"&gt;="&amp;B497,#REF!,"&lt;="&amp;EOMONTH(B497,0))</f>
        <v>#NAME?</v>
      </c>
      <c r="J510" s="1114" t="e">
        <f>COUNTIFS(#REF!,"&gt;="&amp;D510,#REF!,"&gt;="&amp;B497,#REF!,"&lt;="&amp;EOMONTH(B497,0))</f>
        <v>#REF!</v>
      </c>
      <c r="K510" s="1341" t="e">
        <f t="shared" si="226"/>
        <v>#REF!</v>
      </c>
      <c r="L510" s="1115"/>
      <c r="M510" s="1082"/>
      <c r="N510" s="1144">
        <f>Parametres!$L$18</f>
        <v>5000</v>
      </c>
      <c r="O510" s="1077">
        <f>COUNTIFS('Degrémont Entrée'!$K$14:$K$379,"&gt;0",'Degrémont Entrée'!$A$14:$A$379,"&gt;="&amp;B497,'Degrémont Entrée'!$A$14:$A$379,"&lt;="&amp;EOMONTH(B497,0))</f>
        <v>19</v>
      </c>
      <c r="P510" s="1078">
        <f>SUMIFS('Degrémont Entrée'!$K$14:$K$379,'Degrémont Entrée'!$K$14:$K$379,"&lt;&gt;0",'Degrémont Entrée'!$A$14:$A$379,"&gt;="&amp;B497,'Degrémont Entrée'!$A$14:$A$379,"&lt;="&amp;EOMONTH(B497,0))</f>
        <v>273256</v>
      </c>
      <c r="Q510" s="1078">
        <f t="shared" ref="Q510:Q512" si="230">IF(O510=0,0,P510/O510)</f>
        <v>14381.894736842105</v>
      </c>
      <c r="R510" s="1078" t="e">
        <f ca="1">MINIFS('Degrémont Entrée'!$K$14:$K$379,'Degrémont Entrée'!$K$14:$K$379,"&lt;&gt;0",'Degrémont Entrée'!$A$14:$A$379,"&gt;="&amp;B497,'Degrémont Entrée'!$A$14:$A$379,"&lt;="&amp;EOMONTH(B497,0))</f>
        <v>#NAME?</v>
      </c>
      <c r="S510" s="1078" t="e">
        <f ca="1">MAXIFS('Degrémont Entrée'!$K$14:$K$379,'Degrémont Entrée'!$K$14:$K$379,"&lt;&gt;0",'Degrémont Entrée'!$A$14:$A$379,"&gt;="&amp;B497,'Degrémont Entrée'!$A$14:$A$379,"&lt;="&amp;EOMONTH(B497,0))</f>
        <v>#NAME?</v>
      </c>
      <c r="T510" s="1080">
        <f>COUNTIFS('Degrémont Entrée'!$K$14:$K$379,"&gt;="&amp;N510,'Degrémont Entrée'!$A$14:$A$379,"&gt;="&amp;B497,'Degrémont Entrée'!$A$14:$A$379,"&lt;="&amp;EOMONTH(B497,0))</f>
        <v>16</v>
      </c>
      <c r="U510" s="1081">
        <f>T510/O510</f>
        <v>0.84210526315789469</v>
      </c>
      <c r="V510" s="1082"/>
      <c r="W510" s="1083">
        <f>Parametres!$T$18</f>
        <v>2000</v>
      </c>
      <c r="X510" s="1142">
        <f>COUNTIFS('Degrémont sortie'!$I$14:$I$379,"&gt;0",'Degrémont sortie'!$A$14:$A$379,"&gt;="&amp;B497,'Degrémont sortie'!$A$14:$A$379,"&lt;="&amp;EOMONTH(B497,0))</f>
        <v>19</v>
      </c>
      <c r="Y510" s="1085">
        <f>SUMIFS('Degrémont sortie'!$I$14:$I$379,'Degrémont sortie'!$I$14:$I$379,"&lt;&gt;0",'Degrémont sortie'!$A$14:$A$379,"&gt;="&amp;B497,'Degrémont sortie'!$A$14:$A$379,"&lt;="&amp;EOMONTH(B497,0))</f>
        <v>7574</v>
      </c>
      <c r="Z510" s="1069">
        <f>IF(X510=0,0,Y510/X510)</f>
        <v>398.63157894736844</v>
      </c>
      <c r="AA510" s="1069" t="e">
        <f ca="1">MINIFS('Degrémont sortie'!$I$14:$I$379,'Degrémont sortie'!$I$14:$I$379,"&lt;&gt;0",'Degrémont sortie'!$A$14:$A$379,"&gt;="&amp;B497,'Degrémont sortie'!$A$14:$A$379,"&lt;="&amp;EOMONTH(B497,0))</f>
        <v>#NAME?</v>
      </c>
      <c r="AB510" s="1069" t="e">
        <f ca="1">MAXIFS('Degrémont sortie'!$I$14:$I$379,'Degrémont sortie'!$I$14:$I$379,"&lt;&gt;0",'Degrémont sortie'!$A$14:$A$379,"&gt;="&amp;B497,'Degrémont sortie'!$A$14:$A$379,"&lt;="&amp;EOMONTH(B497,0))</f>
        <v>#NAME?</v>
      </c>
      <c r="AC510" s="1142">
        <f>COUNTIFS('Degrémont sortie'!$I$14:$I$379,"&gt;="&amp;W510,'Degrémont sortie'!$A$14:$A$379,"&gt;="&amp;B497,'Degrémont sortie'!$A$14:$A$379,"&lt;="&amp;EOMONTH(B497,0))</f>
        <v>0</v>
      </c>
      <c r="AD510" s="1087">
        <f>AC510/X510</f>
        <v>0</v>
      </c>
      <c r="AE510" s="1082"/>
      <c r="AF510" s="1205" t="e">
        <f>COUNTIFS(#REF!,"&gt;0",#REF!,"&gt;="&amp;B497,#REF!,"&lt;="&amp;EOMONTH(B497,0))</f>
        <v>#REF!</v>
      </c>
      <c r="AG510" s="1208" t="e">
        <f>SUMIFS(#REF!,#REF!,"&lt;&gt;0",#REF!,"&gt;="&amp;B497,#REF!,"&lt;="&amp;EOMONTH(B497,0))</f>
        <v>#REF!</v>
      </c>
      <c r="AH510" s="1208" t="e">
        <f>IF(AF510=0,0,AG510/AF510)</f>
        <v>#REF!</v>
      </c>
      <c r="AI510" s="1208" t="e">
        <f ca="1">MINIFS(#REF!,#REF!,"&lt;&gt;0",#REF!,"&gt;="&amp;B497,#REF!,"&lt;="&amp;EOMONTH(B497,0))</f>
        <v>#NAME?</v>
      </c>
      <c r="AJ510" s="1211" t="e">
        <f ca="1">MAXIFS(#REF!,#REF!,"&lt;&gt;0",#REF!,"&gt;="&amp;B497,#REF!,"&lt;="&amp;EOMONTH(B497,0))</f>
        <v>#NAME?</v>
      </c>
      <c r="AK510" s="1132"/>
      <c r="AL510" s="1205" t="e">
        <f>COUNTIFS(#REF!,"&gt;0",#REF!,"&gt;="&amp;B497,#REF!,"&lt;="&amp;EOMONTH(B497,0))</f>
        <v>#REF!</v>
      </c>
      <c r="AM510" s="1208" t="e">
        <f>SUMIFS(#REF!,#REF!,"&lt;&gt;0",#REF!,"&gt;="&amp;B497,#REF!,"&lt;="&amp;EOMONTH(B497,0))</f>
        <v>#REF!</v>
      </c>
      <c r="AN510" s="1208" t="e">
        <f>IF(AL510=0,0,AM510/AL510)</f>
        <v>#REF!</v>
      </c>
      <c r="AO510" s="1208" t="e">
        <f ca="1">MINIFS(#REF!,#REF!,"&lt;&gt;0",#REF!,"&gt;="&amp;B497,#REF!,"&lt;="&amp;EOMONTH(B497,0))</f>
        <v>#NAME?</v>
      </c>
      <c r="AP510" s="1218" t="e">
        <f ca="1">MAXIFS(#REF!,#REF!,"&lt;&gt;0",#REF!,"&gt;="&amp;B497,#REF!,"&lt;="&amp;EOMONTH(B497,0))</f>
        <v>#NAME?</v>
      </c>
      <c r="AQ510" s="1132"/>
      <c r="AR510" s="1220">
        <f>Parametres!$AM$18</f>
        <v>17000</v>
      </c>
      <c r="AS510" s="1205" t="e">
        <f>COUNTIFS(#REF!,"&gt;0",#REF!,"&gt;="&amp;B497,#REF!,"&lt;="&amp;EOMONTH(B497,0))</f>
        <v>#REF!</v>
      </c>
      <c r="AT510" s="1208" t="e">
        <f>SUMIFS(#REF!,#REF!,"&lt;&gt;0",#REF!,"&gt;="&amp;B497,#REF!,"&lt;="&amp;EOMONTH(B497,0))</f>
        <v>#REF!</v>
      </c>
      <c r="AU510" s="1208" t="e">
        <f>IF(AS510=0,0,AT510/AS510)</f>
        <v>#REF!</v>
      </c>
      <c r="AV510" s="1208" t="e">
        <f ca="1">MINIFS(#REF!,#REF!,"&lt;&gt;0",#REF!,"&gt;="&amp;B497,#REF!,"&lt;="&amp;EOMONTH(B497,0))</f>
        <v>#NAME?</v>
      </c>
      <c r="AW510" s="1222" t="e">
        <f ca="1">MAXIFS(#REF!,#REF!,"&lt;&gt;0",#REF!,"&gt;="&amp;B497,#REF!,"&lt;="&amp;EOMONTH(B497,0))</f>
        <v>#NAME?</v>
      </c>
      <c r="AX510" s="1223" t="e">
        <f>COUNTIFS(#REF!,"&gt;="&amp;AR510,#REF!,"&gt;="&amp;B497,#REF!,"&lt;="&amp;EOMONTH(B497,0))</f>
        <v>#REF!</v>
      </c>
      <c r="AY510" s="1224" t="e">
        <f>AX510/AS510</f>
        <v>#REF!</v>
      </c>
      <c r="AZ510" s="1403" t="e">
        <f t="shared" si="227"/>
        <v>#REF!</v>
      </c>
      <c r="BA510" s="2"/>
    </row>
    <row r="511" spans="1:53" ht="15.75" hidden="1" customHeight="1" outlineLevel="1">
      <c r="A511" s="1027"/>
      <c r="B511" s="1404"/>
      <c r="C511" s="1031" t="s">
        <v>36</v>
      </c>
      <c r="D511" s="1122">
        <f>Parametres!$D$19</f>
        <v>100000</v>
      </c>
      <c r="E511" s="1068" t="e">
        <f>COUNTIFS(#REF!,"&gt;0",#REF!,"&gt;="&amp;B497,#REF!,"&lt;="&amp;EOMONTH(B497,0))</f>
        <v>#REF!</v>
      </c>
      <c r="F511" s="1069" t="e">
        <f>SUMIFS(#REF!,#REF!,"&lt;&gt;0",#REF!,"&gt;="&amp;B497,#REF!,"&lt;="&amp;EOMONTH(B497,0))</f>
        <v>#REF!</v>
      </c>
      <c r="G511" s="1069" t="e">
        <f t="shared" si="225"/>
        <v>#REF!</v>
      </c>
      <c r="H511" s="1070" t="e">
        <f ca="1">MINIFS(#REF!,#REF!,"&lt;&gt;0",#REF!,"&gt;="&amp;B497,#REF!,"&lt;="&amp;EOMONTH(B497,0))</f>
        <v>#NAME?</v>
      </c>
      <c r="I511" s="1078" t="e">
        <f ca="1">MAXIFS(#REF!,#REF!,"&lt;&gt;0",#REF!,"&gt;="&amp;B497,#REF!,"&lt;="&amp;EOMONTH(B497,0))</f>
        <v>#NAME?</v>
      </c>
      <c r="J511" s="1072" t="s">
        <v>153</v>
      </c>
      <c r="K511" s="1072" t="s">
        <v>153</v>
      </c>
      <c r="L511" s="1115"/>
      <c r="M511" s="1082"/>
      <c r="N511" s="1144">
        <f>Parametres!$L$19</f>
        <v>100000</v>
      </c>
      <c r="O511" s="1077">
        <f>COUNTIFS('Degrémont Entrée'!$O$14:$O$379,"&gt;0",'Degrémont Entrée'!$A$14:$A$379,"&gt;="&amp;B497,'Degrémont Entrée'!$A$14:$A$379,"&lt;="&amp;EOMONTH(B497,0))</f>
        <v>19</v>
      </c>
      <c r="P511" s="1078">
        <f>SUMIFS('Degrémont Entrée'!$O$14:$O$379,'Degrémont Entrée'!$O$14:$O$379,"&lt;&gt;0",'Degrémont Entrée'!$A$14:$A$379,"&gt;="&amp;B497,'Degrémont Entrée'!$A$14:$A$379,"&lt;="&amp;EOMONTH(B497,0))</f>
        <v>10251</v>
      </c>
      <c r="Q511" s="1078">
        <f t="shared" si="230"/>
        <v>539.52631578947364</v>
      </c>
      <c r="R511" s="1173" t="e">
        <f ca="1">MINIFS('Degrémont Entrée'!$O$14:$O$379,'Degrémont Entrée'!$O$14:$O$379,"&lt;&gt;0",'Degrémont Entrée'!$A$14:$A$379,"&gt;="&amp;B497,'Degrémont Entrée'!$A$14:$A$379,"&lt;="&amp;EOMONTH(B497,0))</f>
        <v>#NAME?</v>
      </c>
      <c r="S511" s="1227" t="e">
        <f ca="1">MAXIFS('Degrémont Entrée'!$O$14:$O$379,'Degrémont Entrée'!$O$14:$O$379,"&lt;&gt;0",'Degrémont Entrée'!$A$14:$A$379,"&gt;="&amp;B497,'Degrémont Entrée'!$A$14:$A$379,"&lt;="&amp;EOMONTH(B497,0))</f>
        <v>#NAME?</v>
      </c>
      <c r="T511" s="1228" t="s">
        <v>153</v>
      </c>
      <c r="U511" s="1228" t="s">
        <v>153</v>
      </c>
      <c r="V511" s="1177"/>
      <c r="W511" s="1129"/>
      <c r="X511" s="1129"/>
      <c r="Y511" s="1069"/>
      <c r="Z511" s="1069"/>
      <c r="AA511" s="1069"/>
      <c r="AB511" s="1069"/>
      <c r="AC511" s="1130"/>
      <c r="AD511" s="1131"/>
      <c r="AE511" s="1082"/>
      <c r="AF511" s="1106"/>
      <c r="AG511" s="1106"/>
      <c r="AH511" s="1106"/>
      <c r="AI511" s="1106"/>
      <c r="AJ511" s="1106"/>
      <c r="AK511" s="1132"/>
      <c r="AL511" s="1106"/>
      <c r="AM511" s="1106"/>
      <c r="AN511" s="1106"/>
      <c r="AO511" s="1106"/>
      <c r="AP511" s="1119"/>
      <c r="AQ511" s="1132"/>
      <c r="AR511" s="1106"/>
      <c r="AS511" s="1106"/>
      <c r="AT511" s="1106"/>
      <c r="AU511" s="1106"/>
      <c r="AV511" s="1106"/>
      <c r="AW511" s="1119"/>
      <c r="AX511" s="1120"/>
      <c r="AY511" s="1094"/>
      <c r="AZ511" s="1403" t="e">
        <f t="shared" si="227"/>
        <v>#REF!</v>
      </c>
      <c r="BA511" s="2"/>
    </row>
    <row r="512" spans="1:53" ht="15.75" hidden="1" customHeight="1" outlineLevel="1">
      <c r="A512" s="1027"/>
      <c r="B512" s="1404"/>
      <c r="C512" s="1031" t="s">
        <v>32</v>
      </c>
      <c r="D512" s="1122">
        <f>Parametres!$D$20</f>
        <v>4800</v>
      </c>
      <c r="E512" s="1068" t="e">
        <f>COUNTIFS(#REF!,"&gt;0",#REF!,"&gt;="&amp;B497,#REF!,"&lt;="&amp;EOMONTH(B497,0))</f>
        <v>#REF!</v>
      </c>
      <c r="F512" s="1069" t="e">
        <f>SUMIFS(#REF!,#REF!,"&lt;&gt;0",#REF!,"&gt;="&amp;B497,#REF!,"&lt;="&amp;EOMONTH(B497,0))</f>
        <v>#REF!</v>
      </c>
      <c r="G512" s="1069" t="e">
        <f t="shared" si="225"/>
        <v>#REF!</v>
      </c>
      <c r="H512" s="1070" t="e">
        <f ca="1">MINIFS(#REF!,#REF!,"&lt;&gt;0",#REF!,"&gt;="&amp;B497,#REF!,"&lt;="&amp;EOMONTH(B497,0))</f>
        <v>#NAME?</v>
      </c>
      <c r="I512" s="1078" t="e">
        <f ca="1">MAXIFS(#REF!,#REF!,"&lt;&gt;0",#REF!,"&gt;="&amp;B497,#REF!,"&lt;="&amp;EOMONTH(B497,0))</f>
        <v>#NAME?</v>
      </c>
      <c r="J512" s="1072" t="e">
        <f>COUNTIFS(#REF!,"&gt;="&amp;D512,#REF!,"&gt;="&amp;B497,#REF!,"&lt;="&amp;EOMONTH(B497,0))</f>
        <v>#REF!</v>
      </c>
      <c r="K512" s="1341" t="e">
        <f t="shared" ref="K512:K513" si="231">J512/E512</f>
        <v>#REF!</v>
      </c>
      <c r="L512" s="1115"/>
      <c r="M512" s="1082"/>
      <c r="N512" s="1144">
        <f>Parametres!$L$20</f>
        <v>1000</v>
      </c>
      <c r="O512" s="1077">
        <f>COUNTIFS('Degrémont Entrée'!$B$14:$B$379,"&gt;0",'Degrémont Entrée'!$A$14:$A$379,"&gt;="&amp;B497,'Degrémont Entrée'!$A$14:$A$379,"&lt;="&amp;EOMONTH(B497,0))</f>
        <v>21</v>
      </c>
      <c r="P512" s="1078">
        <f>SUMIFS('Degrémont Entrée'!$B$14:$B$379,'Degrémont Entrée'!$B$14:$B$379,"&lt;&gt;0",'Degrémont Entrée'!$A$14:$A$379,"&gt;="&amp;B497,'Degrémont Entrée'!$A$14:$A$379,"&lt;="&amp;EOMONTH(B497,0))</f>
        <v>13472</v>
      </c>
      <c r="Q512" s="1078">
        <f t="shared" si="230"/>
        <v>641.52380952380952</v>
      </c>
      <c r="R512" s="1173" t="e">
        <f ca="1">MINIFS('Degrémont Entrée'!$B$14:$B$379,'Degrémont Entrée'!$B$14:$B$379,"&lt;&gt;0",'Degrémont Entrée'!$A$14:$A$379,"&gt;="&amp;B497,'Degrémont Entrée'!$A$14:$A$379,"&lt;="&amp;EOMONTH(B497,0))</f>
        <v>#NAME?</v>
      </c>
      <c r="S512" s="1078" t="e">
        <f ca="1">MAXIFS('Degrémont Entrée'!$B$14:$B$379,'Degrémont Entrée'!$B$14:$B$379,"&lt;&gt;0",'Degrémont Entrée'!$A$14:$A$379,"&gt;="&amp;B497,'Degrémont Entrée'!$A$14:$A$379,"&lt;="&amp;EOMONTH(B497,0))</f>
        <v>#NAME?</v>
      </c>
      <c r="T512" s="1236">
        <f>COUNTIFS('Degrémont Entrée'!$B$14:$B$379,"&gt;="&amp;N512,'Degrémont Entrée'!$A$14:$A$379,"&gt;="&amp;B497,'Degrémont Entrée'!$A$14:$A$379,"&lt;="&amp;EOMONTH(B497,0))</f>
        <v>0</v>
      </c>
      <c r="U512" s="1081">
        <f>T512/O512</f>
        <v>0</v>
      </c>
      <c r="V512" s="1177"/>
      <c r="W512" s="1083">
        <f>Parametres!$T$20</f>
        <v>1000</v>
      </c>
      <c r="X512" s="1142">
        <f>COUNTIFS('Degrémont sortie'!$B$14:$B$379,"&gt;0",'Degrémont sortie'!$A$14:$A$379,"&gt;="&amp;B497,'Degrémont sortie'!$A$14:$A$379,"&lt;="&amp;EOMONTH(B497,0))</f>
        <v>21</v>
      </c>
      <c r="Y512" s="1085">
        <f>SUMIFS('Degrémont sortie'!$B$14:$B$379,'Degrémont sortie'!$B$14:$B$379,"&lt;&gt;0",'Degrémont sortie'!$A$14:$A$379,"&gt;="&amp;B497,'Degrémont sortie'!$A$14:$A$379,"&lt;="&amp;EOMONTH(B497,0))</f>
        <v>13472</v>
      </c>
      <c r="Z512" s="1069">
        <f>IF(X512=0,0,Y512/X512)</f>
        <v>641.52380952380952</v>
      </c>
      <c r="AA512" s="1069" t="e">
        <f ca="1">MINIFS('Degrémont sortie'!$B$14:$B$379,'Degrémont sortie'!$B$14:$B$379,"&lt;&gt;0",'Degrémont sortie'!$A$14:$A$379,"&gt;="&amp;B497,'Degrémont sortie'!$A$14:$A$379,"&lt;="&amp;EOMONTH(B497,0))</f>
        <v>#NAME?</v>
      </c>
      <c r="AB512" s="1069" t="e">
        <f ca="1">MAXIFS('Degrémont sortie'!$B$14:$B$379,'Degrémont sortie'!$B$14:$B$379,"&lt;&gt;0",'Degrémont sortie'!$A$14:$A$379,"&gt;="&amp;B497,'Degrémont sortie'!$A$14:$A$379,"&lt;="&amp;EOMONTH(B497,0))</f>
        <v>#NAME?</v>
      </c>
      <c r="AC512" s="1142">
        <f>COUNTIFS('Degrémont sortie'!$B$14:$B$379,"&gt;="&amp;W512,'Degrémont sortie'!$A$14:$A$379,"&gt;="&amp;B497,'Degrémont sortie'!$A$14:$A$379,"&lt;="&amp;EOMONTH(B497,0))</f>
        <v>0</v>
      </c>
      <c r="AD512" s="1087">
        <f>AC512/X512</f>
        <v>0</v>
      </c>
      <c r="AE512" s="1082"/>
      <c r="AF512" s="1205" t="e">
        <f>COUNTIFS(#REF!,"&gt;0",#REF!,"&gt;="&amp;B497,#REF!,"&lt;="&amp;EOMONTH(B497,0))</f>
        <v>#REF!</v>
      </c>
      <c r="AG512" s="1208" t="e">
        <f>SUMIFS(#REF!,#REF!,"&lt;&gt;0",#REF!,"&gt;="&amp;B497,#REF!,"&lt;="&amp;EOMONTH(B497,0))</f>
        <v>#REF!</v>
      </c>
      <c r="AH512" s="1208" t="e">
        <f>IF(AF512=0,0,AG512/AF512)</f>
        <v>#REF!</v>
      </c>
      <c r="AI512" s="1208" t="e">
        <f ca="1">MINIFS(#REF!,#REF!,"&lt;&gt;0",#REF!,"&gt;="&amp;B497,#REF!,"&lt;="&amp;EOMONTH(B497,0))</f>
        <v>#NAME?</v>
      </c>
      <c r="AJ512" s="1208" t="e">
        <f ca="1">MAXIFS(#REF!,#REF!,"&lt;&gt;0",#REF!,"&gt;="&amp;B497,#REF!,"&lt;="&amp;EOMONTH(B497,0))</f>
        <v>#NAME?</v>
      </c>
      <c r="AK512" s="1132"/>
      <c r="AL512" s="1106"/>
      <c r="AM512" s="1106"/>
      <c r="AN512" s="1106"/>
      <c r="AO512" s="1106"/>
      <c r="AP512" s="1119"/>
      <c r="AQ512" s="1132"/>
      <c r="AR512" s="1220">
        <f>Parametres!$AM$20</f>
        <v>1000000</v>
      </c>
      <c r="AS512" s="1205" t="e">
        <f>COUNTIFS(#REF!,"&gt;0",#REF!,"&gt;="&amp;B497,#REF!,"&lt;="&amp;EOMONTH(B497,0))</f>
        <v>#REF!</v>
      </c>
      <c r="AT512" s="1208" t="e">
        <f>SUMIFS(#REF!,#REF!,"&lt;&gt;0",#REF!,"&gt;="&amp;B497,#REF!,"&lt;="&amp;EOMONTH(B497,0))</f>
        <v>#REF!</v>
      </c>
      <c r="AU512" s="1208" t="e">
        <f>IF(AS512=0,0,AT512/AS512)</f>
        <v>#REF!</v>
      </c>
      <c r="AV512" s="1208" t="e">
        <f ca="1">MINIFS(#REF!,#REF!,"&lt;&gt;0",#REF!,"&gt;="&amp;B497,#REF!,"&lt;="&amp;EOMONTH(B497,0))</f>
        <v>#NAME?</v>
      </c>
      <c r="AW512" s="1222" t="e">
        <f ca="1">MAXIFS(#REF!,#REF!,"&lt;&gt;0",#REF!,"&gt;="&amp;B497,#REF!,"&lt;="&amp;EOMONTH(B497,0))</f>
        <v>#NAME?</v>
      </c>
      <c r="AX512" s="1243" t="s">
        <v>153</v>
      </c>
      <c r="AY512" s="1224" t="e">
        <f>AX512/AS512</f>
        <v>#VALUE!</v>
      </c>
      <c r="AZ512" s="1403" t="e">
        <f t="shared" si="227"/>
        <v>#REF!</v>
      </c>
      <c r="BA512" s="2"/>
    </row>
    <row r="513" spans="1:53" ht="15.75" hidden="1" customHeight="1" outlineLevel="1">
      <c r="A513" s="1027"/>
      <c r="B513" s="1404"/>
      <c r="C513" s="1402" t="s">
        <v>21</v>
      </c>
      <c r="D513" s="1122">
        <f>Parametres!$D$22</f>
        <v>2</v>
      </c>
      <c r="E513" s="1068" t="e">
        <f>COUNTIFS(#REF!,"&gt;0",#REF!,"&gt;="&amp;B497,#REF!,"&lt;="&amp;EOMONTH(B497,0))</f>
        <v>#REF!</v>
      </c>
      <c r="F513" s="1069" t="e">
        <f>SUMIFS(#REF!,#REF!,"&lt;&gt;0",#REF!,"&gt;="&amp;B497,#REF!,"&lt;="&amp;EOMONTH(B497,0))</f>
        <v>#REF!</v>
      </c>
      <c r="G513" s="1069" t="e">
        <f t="shared" si="225"/>
        <v>#REF!</v>
      </c>
      <c r="H513" s="1070" t="e">
        <f ca="1">MINIFS(#REF!,#REF!,"&lt;&gt;0",#REF!,"&gt;="&amp;B497,#REF!,"&lt;="&amp;EOMONTH(B497,0))</f>
        <v>#NAME?</v>
      </c>
      <c r="I513" s="1078" t="e">
        <f ca="1">MAXIFS(#REF!,#REF!,"&lt;&gt;0",#REF!,"&gt;="&amp;B497,#REF!,"&lt;="&amp;EOMONTH(B497,0))</f>
        <v>#NAME?</v>
      </c>
      <c r="J513" s="1072" t="e">
        <f>COUNTIFS(#REF!,"&gt;="&amp;D513,#REF!,"&gt;="&amp;B497,#REF!,"&lt;="&amp;EOMONTH(B497,0))</f>
        <v>#REF!</v>
      </c>
      <c r="K513" s="1341" t="e">
        <f t="shared" si="231"/>
        <v>#REF!</v>
      </c>
      <c r="L513" s="1115"/>
      <c r="M513" s="1082"/>
      <c r="N513" s="1171"/>
      <c r="O513" s="1171"/>
      <c r="P513" s="1173"/>
      <c r="Q513" s="1173"/>
      <c r="R513" s="1173"/>
      <c r="S513" s="1173"/>
      <c r="T513" s="1175"/>
      <c r="U513" s="1175"/>
      <c r="V513" s="1082"/>
      <c r="W513" s="1106"/>
      <c r="X513" s="1106"/>
      <c r="Y513" s="1069"/>
      <c r="Z513" s="1069"/>
      <c r="AA513" s="1069"/>
      <c r="AB513" s="1069"/>
      <c r="AC513" s="1248"/>
      <c r="AD513" s="1249"/>
      <c r="AE513" s="1082"/>
      <c r="AF513" s="1106"/>
      <c r="AG513" s="1106"/>
      <c r="AH513" s="1106"/>
      <c r="AI513" s="1106"/>
      <c r="AJ513" s="1106"/>
      <c r="AK513" s="1132"/>
      <c r="AL513" s="1106"/>
      <c r="AM513" s="1106"/>
      <c r="AN513" s="1106"/>
      <c r="AO513" s="1106"/>
      <c r="AP513" s="1119"/>
      <c r="AQ513" s="1132"/>
      <c r="AR513" s="1106"/>
      <c r="AS513" s="1106"/>
      <c r="AT513" s="1106"/>
      <c r="AU513" s="1106"/>
      <c r="AV513" s="1106"/>
      <c r="AW513" s="1119"/>
      <c r="AX513" s="1120"/>
      <c r="AY513" s="1094"/>
      <c r="AZ513" s="1403" t="e">
        <f t="shared" si="227"/>
        <v>#REF!</v>
      </c>
      <c r="BA513" s="2"/>
    </row>
    <row r="514" spans="1:53" ht="15.75" hidden="1" customHeight="1" outlineLevel="1">
      <c r="A514" s="1027"/>
      <c r="B514" s="1404"/>
      <c r="C514" s="1402" t="s">
        <v>22</v>
      </c>
      <c r="D514" s="1122">
        <f>Parametres!$D$23</f>
        <v>1000000</v>
      </c>
      <c r="E514" s="1068" t="e">
        <f>COUNTIFS(#REF!,"&gt;0",#REF!,"&gt;="&amp;B497,#REF!,"&lt;="&amp;EOMONTH(B497,0))</f>
        <v>#REF!</v>
      </c>
      <c r="F514" s="1069" t="e">
        <f>SUMIFS(#REF!,#REF!,"&lt;&gt;0",#REF!,"&gt;="&amp;B497,#REF!,"&lt;="&amp;EOMONTH(B497,0))</f>
        <v>#REF!</v>
      </c>
      <c r="G514" s="1069" t="e">
        <f t="shared" si="225"/>
        <v>#REF!</v>
      </c>
      <c r="H514" s="1070" t="e">
        <f ca="1">MINIFS(#REF!,#REF!,"&lt;&gt;0",#REF!,"&gt;="&amp;B497,#REF!,"&lt;="&amp;EOMONTH(B497,0))</f>
        <v>#NAME?</v>
      </c>
      <c r="I514" s="1078" t="e">
        <f ca="1">MAXIFS(#REF!,#REF!,"&lt;&gt;0",#REF!,"&gt;="&amp;B497,#REF!,"&lt;="&amp;EOMONTH(B497,0))</f>
        <v>#NAME?</v>
      </c>
      <c r="J514" s="1072" t="s">
        <v>153</v>
      </c>
      <c r="K514" s="1072" t="s">
        <v>153</v>
      </c>
      <c r="L514" s="1115"/>
      <c r="M514" s="1082"/>
      <c r="N514" s="1171"/>
      <c r="O514" s="1171"/>
      <c r="P514" s="1173"/>
      <c r="Q514" s="1173"/>
      <c r="R514" s="1173"/>
      <c r="S514" s="1173"/>
      <c r="T514" s="1175"/>
      <c r="U514" s="1175"/>
      <c r="V514" s="1082"/>
      <c r="W514" s="1106"/>
      <c r="X514" s="1106"/>
      <c r="Y514" s="1069"/>
      <c r="Z514" s="1069"/>
      <c r="AA514" s="1069"/>
      <c r="AB514" s="1069"/>
      <c r="AC514" s="1248"/>
      <c r="AD514" s="1249"/>
      <c r="AE514" s="1082"/>
      <c r="AF514" s="1106"/>
      <c r="AG514" s="1106"/>
      <c r="AH514" s="1106"/>
      <c r="AI514" s="1106"/>
      <c r="AJ514" s="1106"/>
      <c r="AK514" s="1132"/>
      <c r="AL514" s="1106"/>
      <c r="AM514" s="1106"/>
      <c r="AN514" s="1106"/>
      <c r="AO514" s="1106"/>
      <c r="AP514" s="1119"/>
      <c r="AQ514" s="1132"/>
      <c r="AR514" s="1106"/>
      <c r="AS514" s="1106"/>
      <c r="AT514" s="1106"/>
      <c r="AU514" s="1106"/>
      <c r="AV514" s="1106"/>
      <c r="AW514" s="1119"/>
      <c r="AX514" s="1120"/>
      <c r="AY514" s="1094"/>
      <c r="AZ514" s="1403" t="e">
        <f t="shared" si="227"/>
        <v>#REF!</v>
      </c>
      <c r="BA514" s="2"/>
    </row>
    <row r="515" spans="1:53" ht="15.75" hidden="1" customHeight="1" outlineLevel="1">
      <c r="A515" s="1027"/>
      <c r="B515" s="1404"/>
      <c r="C515" s="1031" t="s">
        <v>44</v>
      </c>
      <c r="D515" s="1122">
        <f>Parametres!$D$24</f>
        <v>5</v>
      </c>
      <c r="E515" s="1068" t="e">
        <f>COUNTIFS(#REF!,"&gt;0",#REF!,"&gt;="&amp;B497,#REF!,"&lt;="&amp;EOMONTH(B497,0))</f>
        <v>#REF!</v>
      </c>
      <c r="F515" s="1069" t="e">
        <f>SUMIFS(#REF!,#REF!,"&lt;&gt;0",#REF!,"&gt;="&amp;B497,#REF!,"&lt;="&amp;EOMONTH(B497,0))</f>
        <v>#REF!</v>
      </c>
      <c r="G515" s="1069" t="e">
        <f t="shared" si="225"/>
        <v>#REF!</v>
      </c>
      <c r="H515" s="1070" t="e">
        <f ca="1">MINIFS(#REF!,#REF!,"&lt;&gt;0",#REF!,"&gt;="&amp;B497,#REF!,"&lt;="&amp;EOMONTH(B497,0))</f>
        <v>#NAME?</v>
      </c>
      <c r="I515" s="1078" t="e">
        <f ca="1">MAXIFS(#REF!,#REF!,"&lt;&gt;0",#REF!,"&gt;="&amp;B497,#REF!,"&lt;="&amp;EOMONTH(B497,0))</f>
        <v>#NAME?</v>
      </c>
      <c r="J515" s="1072" t="e">
        <f>COUNTIFS(#REF!,"&gt;="&amp;D515,#REF!,"&gt;="&amp;B497,#REF!,"&lt;="&amp;EOMONTH(B497,0))</f>
        <v>#REF!</v>
      </c>
      <c r="K515" s="1341" t="e">
        <f t="shared" ref="K515:K523" si="232">J515/E515</f>
        <v>#REF!</v>
      </c>
      <c r="L515" s="1115"/>
      <c r="M515" s="1082"/>
      <c r="N515" s="1144">
        <f>Parametres!$L$24</f>
        <v>60</v>
      </c>
      <c r="O515" s="1077">
        <f>COUNTIFS('Degrémont Entrée'!$AP$14:$AP$379,"&gt;0",'Degrémont Entrée'!$A$14:$A$379,"&gt;="&amp;B497,'Degrémont Entrée'!$A$14:$A$379,"&lt;="&amp;EOMONTH(B497,0))</f>
        <v>4</v>
      </c>
      <c r="P515" s="1078">
        <f>SUMIFS('Degrémont Entrée'!$AP$14:$AP$379,'Degrémont Entrée'!$AP$14:$AP$379,"&lt;&gt;0",'Degrémont Entrée'!$A$14:$A$379,"&gt;="&amp;B497,'Degrémont Entrée'!$A$14:$A$379,"&lt;="&amp;EOMONTH(B497,0))</f>
        <v>964.37</v>
      </c>
      <c r="Q515" s="1078">
        <f>IF(O515=0,0,P515/O515)</f>
        <v>241.0925</v>
      </c>
      <c r="R515" s="1078" t="e">
        <f ca="1">MINIFS('Degrémont Entrée'!$AP$14:$AP$379,'Degrémont Entrée'!$AP$14:$AP$379,"&lt;&gt;0",'Degrémont Entrée'!$A$14:$A$379,"&gt;="&amp;B497,'Degrémont Entrée'!$A$14:$A$379,"&lt;="&amp;EOMONTH(B497,0))</f>
        <v>#NAME?</v>
      </c>
      <c r="S515" s="1078" t="e">
        <f ca="1">MAXIFS('Degrémont Entrée'!$AP$14:$AP$379,'Degrémont Entrée'!$AP$14:$AP$379,"&lt;&gt;0",'Degrémont Entrée'!$A$14:$A$379,"&gt;="&amp;B497,'Degrémont Entrée'!$A$14:$A$379,"&lt;="&amp;EOMONTH(B497,0))</f>
        <v>#NAME?</v>
      </c>
      <c r="T515" s="1080">
        <f>COUNTIFS('Degrémont Entrée'!$AP$14:$AP$379,"&gt;="&amp;N515,'Degrémont Entrée'!$A$14:$A$379,"&gt;="&amp;B497,'Degrémont Entrée'!$A$14:$A$379,"&lt;="&amp;EOMONTH(B497,0))</f>
        <v>2</v>
      </c>
      <c r="U515" s="1081">
        <f>T515/O515</f>
        <v>0.5</v>
      </c>
      <c r="V515" s="1082"/>
      <c r="W515" s="1083">
        <f>Parametres!$T$24</f>
        <v>1.6</v>
      </c>
      <c r="X515" s="1142">
        <f>COUNTIFS('Degrémont sortie'!$AJ$14:$AJ$379,"&gt;0",'Degrémont sortie'!$A$14:$A$379,"&gt;="&amp;B497,'Degrémont sortie'!$A$14:$A$379,"&lt;="&amp;EOMONTH(B497,0))</f>
        <v>4</v>
      </c>
      <c r="Y515" s="1085">
        <f>SUMIFS('Degrémont sortie'!$AJ$14:$AJ$379,'Degrémont sortie'!$AJ$14:$AJ$379,"&lt;&gt;0",'Degrémont sortie'!$A$14:$A$379,"&gt;="&amp;B497,'Degrémont sortie'!$A$14:$A$379,"&lt;="&amp;EOMONTH(B497,0))</f>
        <v>0.92</v>
      </c>
      <c r="Z515" s="1069">
        <f>IF(X515=0,0,Y515/X515)</f>
        <v>0.23</v>
      </c>
      <c r="AA515" s="1069" t="e">
        <f ca="1">MINIFS('Degrémont sortie'!$AJ$14:$AJ$379,'Degrémont sortie'!$AJ$14:$AJ$379,"&lt;&gt;0",'Degrémont sortie'!$A$14:$A$379,"&gt;="&amp;B497,'Degrémont sortie'!$A$14:$A$379,"&lt;="&amp;EOMONTH(B497,0))</f>
        <v>#NAME?</v>
      </c>
      <c r="AB515" s="1069" t="e">
        <f ca="1">MAXIFS('Degrémont sortie'!$AJ$14:$AJ$379,'Degrémont sortie'!$AJ$14:$AJ$379,"&lt;&gt;0",'Degrémont sortie'!$A$14:$A$379,"&gt;="&amp;B497,'Degrémont sortie'!$A$14:$A$379,"&lt;="&amp;EOMONTH(B497,0))</f>
        <v>#NAME?</v>
      </c>
      <c r="AC515" s="1142">
        <f>COUNTIFS('Degrémont sortie'!$AJ$14:$AJ$379,"&gt;="&amp;W515,'Degrémont sortie'!$A$14:$A$379,"&gt;="&amp;B497,'Degrémont sortie'!$A$14:$A$379,"&lt;="&amp;EOMONTH(B497,0))</f>
        <v>0</v>
      </c>
      <c r="AD515" s="1087">
        <f>AC515/X515</f>
        <v>0</v>
      </c>
      <c r="AE515" s="1082"/>
      <c r="AF515" s="1106"/>
      <c r="AG515" s="1106"/>
      <c r="AH515" s="1106"/>
      <c r="AI515" s="1106"/>
      <c r="AJ515" s="1106"/>
      <c r="AK515" s="1132"/>
      <c r="AL515" s="1106"/>
      <c r="AM515" s="1106"/>
      <c r="AN515" s="1106"/>
      <c r="AO515" s="1106"/>
      <c r="AP515" s="1119"/>
      <c r="AQ515" s="1132"/>
      <c r="AR515" s="1106"/>
      <c r="AS515" s="1106"/>
      <c r="AT515" s="1106"/>
      <c r="AU515" s="1106"/>
      <c r="AV515" s="1106"/>
      <c r="AW515" s="1119"/>
      <c r="AX515" s="1120"/>
      <c r="AY515" s="1094"/>
      <c r="AZ515" s="1403" t="e">
        <f t="shared" si="227"/>
        <v>#REF!</v>
      </c>
      <c r="BA515" s="2"/>
    </row>
    <row r="516" spans="1:53" ht="15.75" hidden="1" customHeight="1" outlineLevel="1">
      <c r="A516" s="1027"/>
      <c r="B516" s="1404"/>
      <c r="C516" s="1402" t="s">
        <v>169</v>
      </c>
      <c r="D516" s="1122">
        <f>Parametres!$D$25</f>
        <v>4</v>
      </c>
      <c r="E516" s="1068" t="e">
        <f>COUNTIFS(#REF!,"&gt;0",#REF!,"&gt;="&amp;B497,#REF!,"&lt;="&amp;EOMONTH(B497,0))</f>
        <v>#REF!</v>
      </c>
      <c r="F516" s="1069" t="e">
        <f>SUMIFS(#REF!,#REF!,"&lt;&gt;0",#REF!,"&gt;="&amp;B497,#REF!,"&lt;="&amp;EOMONTH(B497,0))</f>
        <v>#REF!</v>
      </c>
      <c r="G516" s="1069" t="e">
        <f t="shared" si="225"/>
        <v>#REF!</v>
      </c>
      <c r="H516" s="1070" t="e">
        <f ca="1">MINIFS(#REF!,#REF!,"&lt;&gt;0",#REF!,"&gt;="&amp;B497,#REF!,"&lt;="&amp;EOMONTH(B497,0))</f>
        <v>#NAME?</v>
      </c>
      <c r="I516" s="1078" t="e">
        <f ca="1">MAXIFS(#REF!,#REF!,"&lt;&gt;0",#REF!,"&gt;="&amp;B497,#REF!,"&lt;="&amp;EOMONTH(B497,0))</f>
        <v>#NAME?</v>
      </c>
      <c r="J516" s="1072" t="e">
        <f>COUNTIFS(#REF!,"&gt;="&amp;D516,#REF!,"&gt;="&amp;B497,#REF!,"&lt;="&amp;EOMONTH(B497,0))</f>
        <v>#REF!</v>
      </c>
      <c r="K516" s="1341" t="e">
        <f t="shared" si="232"/>
        <v>#REF!</v>
      </c>
      <c r="L516" s="1115"/>
      <c r="M516" s="1082"/>
      <c r="N516" s="1263"/>
      <c r="O516" s="1263"/>
      <c r="P516" s="1078"/>
      <c r="Q516" s="1078"/>
      <c r="R516" s="1078"/>
      <c r="S516" s="1078"/>
      <c r="T516" s="1264"/>
      <c r="U516" s="1264"/>
      <c r="V516" s="1082"/>
      <c r="W516" s="1106"/>
      <c r="X516" s="1106"/>
      <c r="Y516" s="1069"/>
      <c r="Z516" s="1069"/>
      <c r="AA516" s="1069"/>
      <c r="AB516" s="1069"/>
      <c r="AC516" s="1248"/>
      <c r="AD516" s="1249"/>
      <c r="AE516" s="1082"/>
      <c r="AF516" s="1106"/>
      <c r="AG516" s="1106"/>
      <c r="AH516" s="1106"/>
      <c r="AI516" s="1106"/>
      <c r="AJ516" s="1106"/>
      <c r="AK516" s="1132"/>
      <c r="AL516" s="1106"/>
      <c r="AM516" s="1106"/>
      <c r="AN516" s="1106"/>
      <c r="AO516" s="1106"/>
      <c r="AP516" s="1138"/>
      <c r="AQ516" s="1132"/>
      <c r="AR516" s="1106"/>
      <c r="AS516" s="1106"/>
      <c r="AT516" s="1106"/>
      <c r="AU516" s="1106"/>
      <c r="AV516" s="1106"/>
      <c r="AW516" s="1119"/>
      <c r="AX516" s="1120"/>
      <c r="AY516" s="1094"/>
      <c r="AZ516" s="1403" t="e">
        <f t="shared" si="227"/>
        <v>#REF!</v>
      </c>
      <c r="BA516" s="2"/>
    </row>
    <row r="517" spans="1:53" ht="15.75" hidden="1" customHeight="1" outlineLevel="1">
      <c r="A517" s="1027"/>
      <c r="B517" s="1404"/>
      <c r="C517" s="1031" t="s">
        <v>165</v>
      </c>
      <c r="D517" s="1122">
        <f>Parametres!$D$26</f>
        <v>10</v>
      </c>
      <c r="E517" s="1068" t="e">
        <f>COUNTIFS(#REF!,"&gt;0",#REF!,"&gt;="&amp;B497,#REF!,"&lt;="&amp;EOMONTH(B497,0))</f>
        <v>#REF!</v>
      </c>
      <c r="F517" s="1069" t="e">
        <f>SUMIFS(#REF!,#REF!,"&lt;&gt;0",#REF!,"&gt;="&amp;B497,#REF!,"&lt;="&amp;EOMONTH(B497,0))</f>
        <v>#REF!</v>
      </c>
      <c r="G517" s="1069" t="e">
        <f t="shared" si="225"/>
        <v>#REF!</v>
      </c>
      <c r="H517" s="1070" t="e">
        <f ca="1">MINIFS(#REF!,#REF!,"&lt;&gt;0",#REF!,"&gt;="&amp;B497,#REF!,"&lt;="&amp;EOMONTH(B497,0))</f>
        <v>#NAME?</v>
      </c>
      <c r="I517" s="1078" t="e">
        <f ca="1">MAXIFS(#REF!,#REF!,"&lt;&gt;0",#REF!,"&gt;="&amp;B497,#REF!,"&lt;="&amp;EOMONTH(B497,0))</f>
        <v>#NAME?</v>
      </c>
      <c r="J517" s="1114" t="e">
        <f>COUNTIFS(#REF!,"&gt;="&amp;D517,#REF!,"&gt;="&amp;B497,#REF!,"&lt;="&amp;EOMONTH(B497,0))</f>
        <v>#REF!</v>
      </c>
      <c r="K517" s="1341" t="e">
        <f t="shared" si="232"/>
        <v>#REF!</v>
      </c>
      <c r="L517" s="1115"/>
      <c r="M517" s="1075"/>
      <c r="N517" s="1265"/>
      <c r="O517" s="1265"/>
      <c r="P517" s="1266"/>
      <c r="Q517" s="1266"/>
      <c r="R517" s="1266"/>
      <c r="S517" s="1266"/>
      <c r="T517" s="1267"/>
      <c r="U517" s="1267"/>
      <c r="V517" s="1075"/>
      <c r="W517" s="1106"/>
      <c r="X517" s="1106"/>
      <c r="Y517" s="1069"/>
      <c r="Z517" s="1069"/>
      <c r="AA517" s="1069"/>
      <c r="AB517" s="1069"/>
      <c r="AC517" s="1248"/>
      <c r="AD517" s="1249"/>
      <c r="AE517" s="1082"/>
      <c r="AF517" s="1106"/>
      <c r="AG517" s="1106"/>
      <c r="AH517" s="1106"/>
      <c r="AI517" s="1106"/>
      <c r="AJ517" s="1106"/>
      <c r="AK517" s="1132"/>
      <c r="AL517" s="1106"/>
      <c r="AM517" s="1106"/>
      <c r="AN517" s="1106"/>
      <c r="AO517" s="1106"/>
      <c r="AP517" s="1138"/>
      <c r="AQ517" s="1132"/>
      <c r="AR517" s="1106"/>
      <c r="AS517" s="1106"/>
      <c r="AT517" s="1106"/>
      <c r="AU517" s="1106"/>
      <c r="AV517" s="1106"/>
      <c r="AW517" s="1119"/>
      <c r="AX517" s="1120"/>
      <c r="AY517" s="1094"/>
      <c r="AZ517" s="1403" t="e">
        <f t="shared" si="227"/>
        <v>#REF!</v>
      </c>
      <c r="BA517" s="2"/>
    </row>
    <row r="518" spans="1:53" ht="15.75" hidden="1" customHeight="1" outlineLevel="1">
      <c r="A518" s="1027"/>
      <c r="B518" s="1404"/>
      <c r="C518" s="1402" t="s">
        <v>23</v>
      </c>
      <c r="D518" s="1122">
        <f>Parametres!$D$27</f>
        <v>0.05</v>
      </c>
      <c r="E518" s="1068" t="e">
        <f>COUNTIFS(#REF!,"&gt;0",#REF!,"&gt;="&amp;B497,#REF!,"&lt;="&amp;EOMONTH(B497,0))</f>
        <v>#REF!</v>
      </c>
      <c r="F518" s="1069" t="e">
        <f>SUMIFS(#REF!,#REF!,"&lt;&gt;0",#REF!,"&gt;="&amp;B497,#REF!,"&lt;="&amp;EOMONTH(B497,0))</f>
        <v>#REF!</v>
      </c>
      <c r="G518" s="1069" t="e">
        <f t="shared" si="225"/>
        <v>#REF!</v>
      </c>
      <c r="H518" s="1070" t="e">
        <f ca="1">MINIFS(#REF!,#REF!,"&lt;&gt;0",#REF!,"&gt;="&amp;B497,#REF!,"&lt;="&amp;EOMONTH(B497,0))</f>
        <v>#NAME?</v>
      </c>
      <c r="I518" s="1078" t="e">
        <f ca="1">MAXIFS(#REF!,#REF!,"&lt;&gt;0",#REF!,"&gt;="&amp;B497,#REF!,"&lt;="&amp;EOMONTH(B497,0))</f>
        <v>#NAME?</v>
      </c>
      <c r="J518" s="1072" t="e">
        <f>COUNTIFS(#REF!,"&gt;="&amp;D518,#REF!,"&gt;="&amp;B497,#REF!,"&lt;="&amp;EOMONTH(B497,0))</f>
        <v>#REF!</v>
      </c>
      <c r="K518" s="1341" t="e">
        <f t="shared" si="232"/>
        <v>#REF!</v>
      </c>
      <c r="L518" s="1115"/>
      <c r="M518" s="1082"/>
      <c r="N518" s="1129"/>
      <c r="O518" s="1129"/>
      <c r="P518" s="1069"/>
      <c r="Q518" s="1069"/>
      <c r="R518" s="1069"/>
      <c r="S518" s="1069"/>
      <c r="T518" s="1143"/>
      <c r="U518" s="1143"/>
      <c r="V518" s="1132"/>
      <c r="W518" s="1106"/>
      <c r="X518" s="1106"/>
      <c r="Y518" s="1069"/>
      <c r="Z518" s="1069"/>
      <c r="AA518" s="1069"/>
      <c r="AB518" s="1069"/>
      <c r="AC518" s="1248"/>
      <c r="AD518" s="1249"/>
      <c r="AE518" s="1132"/>
      <c r="AF518" s="1106"/>
      <c r="AG518" s="1106"/>
      <c r="AH518" s="1106"/>
      <c r="AI518" s="1106"/>
      <c r="AJ518" s="1106"/>
      <c r="AK518" s="1132"/>
      <c r="AL518" s="1106"/>
      <c r="AM518" s="1106"/>
      <c r="AN518" s="1106"/>
      <c r="AO518" s="1106"/>
      <c r="AP518" s="1138"/>
      <c r="AQ518" s="1132"/>
      <c r="AR518" s="1106"/>
      <c r="AS518" s="1106"/>
      <c r="AT518" s="1106"/>
      <c r="AU518" s="1106"/>
      <c r="AV518" s="1106"/>
      <c r="AW518" s="1119"/>
      <c r="AX518" s="1120"/>
      <c r="AY518" s="1094"/>
      <c r="AZ518" s="1403" t="e">
        <f t="shared" si="227"/>
        <v>#REF!</v>
      </c>
      <c r="BA518" s="2"/>
    </row>
    <row r="519" spans="1:53" ht="15.75" hidden="1" customHeight="1" outlineLevel="1">
      <c r="A519" s="1027"/>
      <c r="B519" s="1404"/>
      <c r="C519" s="1031" t="s">
        <v>201</v>
      </c>
      <c r="D519" s="1122">
        <f>Parametres!$D$28</f>
        <v>8</v>
      </c>
      <c r="E519" s="1068" t="e">
        <f>COUNTIFS(#REF!,"&gt;0",#REF!,"&gt;="&amp;B497,#REF!,"&lt;="&amp;EOMONTH(B497,0))</f>
        <v>#REF!</v>
      </c>
      <c r="F519" s="1069" t="e">
        <f>SUMIFS(#REF!,#REF!,"&lt;&gt;0",#REF!,"&gt;="&amp;B497,#REF!,"&lt;="&amp;EOMONTH(B497,0))</f>
        <v>#REF!</v>
      </c>
      <c r="G519" s="1069" t="e">
        <f t="shared" si="225"/>
        <v>#REF!</v>
      </c>
      <c r="H519" s="1070" t="e">
        <f ca="1">MINIFS(#REF!,#REF!,"&lt;&gt;0",#REF!,"&gt;="&amp;B497,#REF!,"&lt;="&amp;EOMONTH(B497,0))</f>
        <v>#NAME?</v>
      </c>
      <c r="I519" s="1078" t="e">
        <f ca="1">MAXIFS(#REF!,#REF!,"&lt;&gt;0",#REF!,"&gt;="&amp;B497,#REF!,"&lt;="&amp;EOMONTH(B497,0))</f>
        <v>#NAME?</v>
      </c>
      <c r="J519" s="1114" t="e">
        <f>COUNTIFS(#REF!,"&gt;="&amp;D519,#REF!,"&gt;="&amp;B497,#REF!,"&lt;="&amp;EOMONTH(B497,0))</f>
        <v>#REF!</v>
      </c>
      <c r="K519" s="1341" t="e">
        <f t="shared" si="232"/>
        <v>#REF!</v>
      </c>
      <c r="L519" s="1115"/>
      <c r="M519" s="1082"/>
      <c r="N519" s="1171"/>
      <c r="O519" s="1171"/>
      <c r="P519" s="1173"/>
      <c r="Q519" s="1173"/>
      <c r="R519" s="1173"/>
      <c r="S519" s="1173"/>
      <c r="T519" s="1175"/>
      <c r="U519" s="1175"/>
      <c r="V519" s="1177"/>
      <c r="W519" s="1106"/>
      <c r="X519" s="1106"/>
      <c r="Y519" s="1069"/>
      <c r="Z519" s="1069"/>
      <c r="AA519" s="1069"/>
      <c r="AB519" s="1069"/>
      <c r="AC519" s="1248"/>
      <c r="AD519" s="1249"/>
      <c r="AE519" s="1082"/>
      <c r="AF519" s="1106"/>
      <c r="AG519" s="1106"/>
      <c r="AH519" s="1106"/>
      <c r="AI519" s="1106"/>
      <c r="AJ519" s="1106"/>
      <c r="AK519" s="1082"/>
      <c r="AL519" s="1205" t="e">
        <f>COUNTIFS(#REF!,"&gt;0",#REF!,"&gt;="&amp;B497,#REF!,"&lt;="&amp;EOMONTH(B497,0))</f>
        <v>#REF!</v>
      </c>
      <c r="AM519" s="1208" t="e">
        <f>SUMIFS(#REF!,#REF!,"&lt;&gt;0",#REF!,"&gt;="&amp;B497,#REF!,"&lt;="&amp;EOMONTH(B497,0))</f>
        <v>#REF!</v>
      </c>
      <c r="AN519" s="1208" t="e">
        <f>IF(AL519=0,0,AM519/AL519)</f>
        <v>#REF!</v>
      </c>
      <c r="AO519" s="1269" t="e">
        <f ca="1">MINIFS(#REF!,#REF!,"&lt;&gt;0",#REF!,"&gt;="&amp;B497,#REF!,"&lt;="&amp;EOMONTH(B497,0))</f>
        <v>#NAME?</v>
      </c>
      <c r="AP519" s="1269" t="e">
        <f ca="1">MAXIFS(#REF!,#REF!,"&lt;&gt;0",#REF!,"&gt;="&amp;B497,#REF!,"&lt;="&amp;EOMONTH(B497,0))</f>
        <v>#NAME?</v>
      </c>
      <c r="AQ519" s="1082"/>
      <c r="AR519" s="1220">
        <f>Parametres!$AM$28</f>
        <v>500</v>
      </c>
      <c r="AS519" s="1205" t="e">
        <f>COUNTIFS(#REF!,"&gt;0",#REF!,"&gt;="&amp;B497,#REF!,"&lt;="&amp;EOMONTH(B497,0))</f>
        <v>#REF!</v>
      </c>
      <c r="AT519" s="1208" t="e">
        <f>SUMIFS(#REF!,#REF!,"&lt;&gt;0",#REF!,"&gt;="&amp;B497,#REF!,"&lt;="&amp;EOMONTH(B497,0))</f>
        <v>#REF!</v>
      </c>
      <c r="AU519" s="1208" t="e">
        <f>IF(AS519=0,0,AT519/AS519)</f>
        <v>#REF!</v>
      </c>
      <c r="AV519" s="1208" t="e">
        <f ca="1">MINIFS(#REF!,#REF!,"&lt;&gt;0",#REF!,"&gt;="&amp;B497,#REF!,"&lt;="&amp;EOMONTH(B497,0))</f>
        <v>#NAME?</v>
      </c>
      <c r="AW519" s="1222" t="e">
        <f ca="1">MAXIFS(#REF!,#REF!,"&lt;&gt;0",#REF!,"&gt;="&amp;B497,#REF!,"&lt;="&amp;EOMONTH(B497,0))</f>
        <v>#NAME?</v>
      </c>
      <c r="AX519" s="1223" t="e">
        <f>COUNTIFS(#REF!,"&gt;="&amp;AR519,#REF!,"&gt;="&amp;B497,#REF!,"&lt;="&amp;EOMONTH(B497,0))</f>
        <v>#REF!</v>
      </c>
      <c r="AY519" s="1224" t="e">
        <f>AX519/AS519</f>
        <v>#REF!</v>
      </c>
      <c r="AZ519" s="1403" t="e">
        <f t="shared" si="227"/>
        <v>#REF!</v>
      </c>
      <c r="BA519" s="2"/>
    </row>
    <row r="520" spans="1:53" ht="15.75" hidden="1" customHeight="1" outlineLevel="1">
      <c r="A520" s="1027"/>
      <c r="B520" s="1404"/>
      <c r="C520" s="1402" t="s">
        <v>333</v>
      </c>
      <c r="D520" s="1122">
        <f>Parametres!$D$29</f>
        <v>0.3</v>
      </c>
      <c r="E520" s="1068" t="e">
        <f>COUNTIFS(#REF!,"&gt;0",#REF!,"&gt;="&amp;B497,#REF!,"&lt;="&amp;EOMONTH(B497,0))</f>
        <v>#REF!</v>
      </c>
      <c r="F520" s="1069" t="e">
        <f>SUMIFS(#REF!,#REF!,"&lt;&gt;0",#REF!,"&gt;="&amp;B497,#REF!,"&lt;="&amp;EOMONTH(B497,0))</f>
        <v>#REF!</v>
      </c>
      <c r="G520" s="1069" t="e">
        <f t="shared" si="225"/>
        <v>#REF!</v>
      </c>
      <c r="H520" s="1070" t="e">
        <f ca="1">MINIFS(#REF!,#REF!,"&lt;&gt;0",#REF!,"&gt;="&amp;B497,#REF!,"&lt;="&amp;EOMONTH(B497,0))</f>
        <v>#NAME?</v>
      </c>
      <c r="I520" s="1069" t="e">
        <f ca="1">MAXIFS(#REF!,#REF!,"&lt;&gt;0",#REF!,"&gt;="&amp;B497,#REF!,"&lt;="&amp;EOMONTH(B497,0))</f>
        <v>#NAME?</v>
      </c>
      <c r="J520" s="1072" t="e">
        <f>COUNTIFS(#REF!,"&gt;="&amp;D520,#REF!,"&gt;="&amp;B497,#REF!,"&lt;="&amp;EOMONTH(B497,0))</f>
        <v>#REF!</v>
      </c>
      <c r="K520" s="1341" t="e">
        <f t="shared" si="232"/>
        <v>#REF!</v>
      </c>
      <c r="L520" s="1099"/>
      <c r="M520" s="1132"/>
      <c r="N520" s="1102"/>
      <c r="O520" s="1102"/>
      <c r="P520" s="1069"/>
      <c r="Q520" s="1069"/>
      <c r="R520" s="1069"/>
      <c r="S520" s="1069"/>
      <c r="T520" s="1270"/>
      <c r="U520" s="1270"/>
      <c r="V520" s="1132"/>
      <c r="W520" s="1106"/>
      <c r="X520" s="1106"/>
      <c r="Y520" s="1069"/>
      <c r="Z520" s="1069"/>
      <c r="AA520" s="1069"/>
      <c r="AB520" s="1069"/>
      <c r="AC520" s="1248"/>
      <c r="AD520" s="1249"/>
      <c r="AE520" s="1132"/>
      <c r="AF520" s="1106"/>
      <c r="AG520" s="1106"/>
      <c r="AH520" s="1106"/>
      <c r="AI520" s="1106"/>
      <c r="AJ520" s="1106"/>
      <c r="AK520" s="1082"/>
      <c r="AL520" s="1117"/>
      <c r="AM520" s="1117"/>
      <c r="AN520" s="1117"/>
      <c r="AO520" s="1117"/>
      <c r="AP520" s="1117"/>
      <c r="AQ520" s="1082"/>
      <c r="AR520" s="1106"/>
      <c r="AS520" s="1106"/>
      <c r="AT520" s="1106"/>
      <c r="AU520" s="1106"/>
      <c r="AV520" s="1106"/>
      <c r="AW520" s="1119"/>
      <c r="AX520" s="1120"/>
      <c r="AY520" s="1094"/>
      <c r="AZ520" s="1403" t="e">
        <f t="shared" si="227"/>
        <v>#REF!</v>
      </c>
      <c r="BA520" s="2"/>
    </row>
    <row r="521" spans="1:53" ht="15.75" hidden="1" customHeight="1" outlineLevel="1">
      <c r="A521" s="1027"/>
      <c r="B521" s="1404"/>
      <c r="C521" s="1031" t="s">
        <v>46</v>
      </c>
      <c r="D521" s="1122">
        <f>Parametres!$D$30</f>
        <v>1</v>
      </c>
      <c r="E521" s="1068" t="e">
        <f>COUNTIFS(#REF!,"&gt;0",#REF!,"&gt;="&amp;B497,#REF!,"&lt;="&amp;EOMONTH(B497,0))</f>
        <v>#REF!</v>
      </c>
      <c r="F521" s="1069" t="e">
        <f>SUMIFS(#REF!,#REF!,"&lt;&gt;0",#REF!,"&gt;="&amp;B497,#REF!,"&lt;="&amp;EOMONTH(B497,0))</f>
        <v>#REF!</v>
      </c>
      <c r="G521" s="1069" t="e">
        <f t="shared" si="225"/>
        <v>#REF!</v>
      </c>
      <c r="H521" s="1070" t="e">
        <f ca="1">MINIFS(#REF!,#REF!,"&lt;&gt;0",#REF!,"&gt;="&amp;B497,#REF!,"&lt;="&amp;EOMONTH(B497,0))</f>
        <v>#NAME?</v>
      </c>
      <c r="I521" s="1266" t="e">
        <f ca="1">MAXIFS(#REF!,#REF!,"&lt;&gt;0",#REF!,"&gt;="&amp;B497,#REF!,"&lt;="&amp;EOMONTH(B497,0))</f>
        <v>#NAME?</v>
      </c>
      <c r="J521" s="1072" t="e">
        <f>COUNTIFS(#REF!,"&gt;="&amp;D521,#REF!,"&gt;="&amp;B497,#REF!,"&lt;="&amp;EOMONTH(B497,0))</f>
        <v>#REF!</v>
      </c>
      <c r="K521" s="1341" t="e">
        <f t="shared" si="232"/>
        <v>#REF!</v>
      </c>
      <c r="L521" s="1273"/>
      <c r="M521" s="1274"/>
      <c r="N521" s="1144">
        <f>Parametres!$L$30</f>
        <v>40</v>
      </c>
      <c r="O521" s="1077">
        <f>COUNTIFS('Degrémont Entrée'!$AV$14:$AV$379,"&gt;0",'Degrémont Entrée'!$A$14:$A$379,"&gt;="&amp;B497,'Degrémont Entrée'!$A$14:$A$379,"&lt;="&amp;EOMONTH(B497,0))</f>
        <v>4</v>
      </c>
      <c r="P521" s="1078">
        <f>SUMIFS('Degrémont Entrée'!$AV$14:$AV$379,'Degrémont Entrée'!$AV$14:$AV$379,"&lt;&gt;0",'Degrémont Entrée'!$A$14:$A$379,"&gt;="&amp;B497,'Degrémont Entrée'!$A$14:$A$379,"&lt;="&amp;EOMONTH(B497,0))</f>
        <v>98.03</v>
      </c>
      <c r="Q521" s="1266">
        <f t="shared" ref="Q521:Q522" si="233">IF(O521=0,0,P521/O521)</f>
        <v>24.5075</v>
      </c>
      <c r="R521" s="1266" t="e">
        <f ca="1">MINIFS('Degrémont Entrée'!$AV$14:$AV$379,'Degrémont Entrée'!$AV$14:$AV$379,"&lt;&gt;0",'Degrémont Entrée'!$A$14:$A$379,"&gt;="&amp;B497,'Degrémont Entrée'!$A$14:$A$379,"&lt;="&amp;EOMONTH(B497,0))</f>
        <v>#NAME?</v>
      </c>
      <c r="S521" s="1266" t="e">
        <f ca="1">MAXIFS('Degrémont Entrée'!$AV$14:$AV$379,'Degrémont Entrée'!$AV$14:$AV$379,"&lt;&gt;0",'Degrémont Entrée'!$A$14:$A$379,"&gt;="&amp;B497,'Degrémont Entrée'!$A$14:$A$379,"&lt;="&amp;EOMONTH(B497,0))</f>
        <v>#NAME?</v>
      </c>
      <c r="T521" s="1276">
        <f>COUNTIFS('Degrémont Entrée'!$AV$14:$AV$379,"&gt;="&amp;N521,'Degrémont Entrée'!$A$14:$A$379,"&gt;="&amp;B497,'Degrémont Entrée'!$A$14:$A$379,"&lt;="&amp;EOMONTH(B497,0))</f>
        <v>0</v>
      </c>
      <c r="U521" s="1081">
        <f t="shared" ref="U521:U522" si="234">T521/O521</f>
        <v>0</v>
      </c>
      <c r="V521" s="1075"/>
      <c r="W521" s="1083">
        <f>Parametres!$T$30</f>
        <v>0.8</v>
      </c>
      <c r="X521" s="1142">
        <f>COUNTIFS('Degrémont sortie'!$AP$14:$AP$379,"&gt;0",'Degrémont sortie'!$A$14:$A$379,"&gt;="&amp;B497,'Degrémont sortie'!$A$14:$A$379,"&lt;="&amp;EOMONTH(B497,0))</f>
        <v>4</v>
      </c>
      <c r="Y521" s="1085">
        <f>SUMIFS('Degrémont sortie'!$AP$14:$AP$379,'Degrémont sortie'!$AP$14:$AP$379,"&lt;&gt;0",'Degrémont sortie'!$A$14:$A$379,"&gt;="&amp;B497,'Degrémont sortie'!$A$14:$A$379,"&lt;="&amp;EOMONTH(B497,0))</f>
        <v>0.36000000000000004</v>
      </c>
      <c r="Z521" s="1069">
        <f t="shared" ref="Z521:Z523" si="235">IF(X521=0,0,Y521/X521)</f>
        <v>9.0000000000000011E-2</v>
      </c>
      <c r="AA521" s="1277" t="e">
        <f ca="1">MINIFS('Degrémont sortie'!$AP$14:$AP$379,'Degrémont sortie'!$AP$14:$AP$379,"&lt;&gt;0",'Degrémont sortie'!$A$14:$A$379,"&gt;="&amp;B497,'Degrémont sortie'!$A$14:$A$379,"&lt;="&amp;EOMONTH(B497,0))</f>
        <v>#NAME?</v>
      </c>
      <c r="AB521" s="1069" t="e">
        <f ca="1">MAXIFS('Degrémont sortie'!$AP$14:$AP$379,'Degrémont sortie'!$AP$14:$AP$379,"&lt;&gt;0",'Degrémont sortie'!$A$14:$A$379,"&gt;="&amp;B497,'Degrémont sortie'!$A$14:$A$379,"&lt;="&amp;EOMONTH(B497,0))</f>
        <v>#NAME?</v>
      </c>
      <c r="AC521" s="1142">
        <f>COUNTIFS('Degrémont sortie'!$AP$14:$AP$379,"&gt;="&amp;W521,'Degrémont sortie'!$A$14:$A$379,"&gt;="&amp;B497,'Degrémont sortie'!$A$14:$A$379,"&lt;="&amp;EOMONTH(B497,0))</f>
        <v>0</v>
      </c>
      <c r="AD521" s="1087">
        <f t="shared" ref="AD521:AD522" si="236">AC521/X521</f>
        <v>0</v>
      </c>
      <c r="AE521" s="1075"/>
      <c r="AF521" s="1278"/>
      <c r="AG521" s="1278"/>
      <c r="AH521" s="1278"/>
      <c r="AI521" s="1278"/>
      <c r="AJ521" s="1278"/>
      <c r="AK521" s="1279"/>
      <c r="AL521" s="1278"/>
      <c r="AM521" s="1278"/>
      <c r="AN521" s="1278"/>
      <c r="AO521" s="1278"/>
      <c r="AP521" s="1278"/>
      <c r="AQ521" s="1279"/>
      <c r="AR521" s="1278"/>
      <c r="AS521" s="1278"/>
      <c r="AT521" s="1278"/>
      <c r="AU521" s="1278"/>
      <c r="AV521" s="1278"/>
      <c r="AW521" s="1278"/>
      <c r="AX521" s="1280"/>
      <c r="AY521" s="1094"/>
      <c r="AZ521" s="1403" t="e">
        <f t="shared" si="227"/>
        <v>#REF!</v>
      </c>
      <c r="BA521" s="2"/>
    </row>
    <row r="522" spans="1:53" ht="15.75" hidden="1" customHeight="1" outlineLevel="1">
      <c r="A522" s="1027"/>
      <c r="B522" s="1404"/>
      <c r="C522" s="1031" t="s">
        <v>34</v>
      </c>
      <c r="D522" s="1122">
        <f>Parametres!$D$32</f>
        <v>400</v>
      </c>
      <c r="E522" s="1068" t="e">
        <f>COUNTIFS(#REF!,"&gt;0",#REF!,"&gt;="&amp;B497,#REF!,"&lt;="&amp;EOMONTH(B497,0))</f>
        <v>#REF!</v>
      </c>
      <c r="F522" s="1069" t="e">
        <f>SUMIFS(#REF!,#REF!,"&lt;&gt;0",#REF!,"&gt;="&amp;B497,#REF!,"&lt;="&amp;EOMONTH(B497,0))</f>
        <v>#REF!</v>
      </c>
      <c r="G522" s="1069" t="e">
        <f t="shared" si="225"/>
        <v>#REF!</v>
      </c>
      <c r="H522" s="1070" t="e">
        <f ca="1">MINIFS(#REF!,#REF!,"&lt;&gt;0",#REF!,"&gt;="&amp;B497,#REF!,"&lt;="&amp;EOMONTH(B497,0))</f>
        <v>#NAME?</v>
      </c>
      <c r="I522" s="1069" t="e">
        <f ca="1">MAXIFS(#REF!,#REF!,"&lt;&gt;0",#REF!,"&gt;="&amp;B497,#REF!,"&lt;="&amp;EOMONTH(B497,0))</f>
        <v>#NAME?</v>
      </c>
      <c r="J522" s="1114" t="e">
        <f>COUNTIFS(#REF!,"&gt;="&amp;D522,#REF!,"&gt;="&amp;B497,#REF!,"&lt;="&amp;EOMONTH(B497,0))</f>
        <v>#REF!</v>
      </c>
      <c r="K522" s="1341" t="e">
        <f t="shared" si="232"/>
        <v>#REF!</v>
      </c>
      <c r="L522" s="1281"/>
      <c r="M522" s="1282"/>
      <c r="N522" s="1144">
        <f>Parametres!$L$32</f>
        <v>4000</v>
      </c>
      <c r="O522" s="1077">
        <f>COUNTIFS('Degrémont Entrée'!$G$14:$G$379,"&gt;0",'Degrémont Entrée'!$A$14:$A$379,"&gt;="&amp;B497,'Degrémont Entrée'!$A$14:$A$379,"&lt;="&amp;EOMONTH(B497,0))</f>
        <v>19</v>
      </c>
      <c r="P522" s="1078">
        <f>SUMIFS('Degrémont Entrée'!$G$14:$G$379,'Degrémont Entrée'!$G$14:$G$379,"&lt;&gt;0",'Degrémont Entrée'!$A$14:$A$379,"&gt;="&amp;B497,'Degrémont Entrée'!$A$14:$A$379,"&lt;="&amp;EOMONTH(B497,0))</f>
        <v>218513.74860956619</v>
      </c>
      <c r="Q522" s="1283">
        <f t="shared" si="233"/>
        <v>11500.7236110298</v>
      </c>
      <c r="R522" s="1069" t="e">
        <f ca="1">MINIFS('Degrémont Entrée'!$G$14:$G$379,'Degrémont Entrée'!$G$14:$G$379,"&lt;&gt;0",'Degrémont Entrée'!$A$14:$A$379,"&gt;="&amp;B497,'Degrémont Entrée'!$A$14:$A$379,"&lt;="&amp;EOMONTH(B497,0))</f>
        <v>#NAME?</v>
      </c>
      <c r="S522" s="1284" t="e">
        <f ca="1">MAXIFS('Degrémont Entrée'!$G$14:$G$379,'Degrémont Entrée'!$G$14:$G$379,"&lt;&gt;0",'Degrémont Entrée'!$A$14:$A$379,"&gt;="&amp;B497,'Degrémont Entrée'!$A$14:$A$379,"&lt;="&amp;EOMONTH(B497,0))</f>
        <v>#NAME?</v>
      </c>
      <c r="T522" s="1141">
        <f>COUNTIFS('Degrémont Entrée'!$G$14:$G$379,"&gt;="&amp;N522,'Degrémont Entrée'!$A$14:$A$379,"&gt;="&amp;B497,'Degrémont Entrée'!$A$14:$A$379,"&lt;="&amp;EOMONTH(B497,0))</f>
        <v>16</v>
      </c>
      <c r="U522" s="1081">
        <f t="shared" si="234"/>
        <v>0.84210526315789469</v>
      </c>
      <c r="V522" s="1285"/>
      <c r="W522" s="1083">
        <f>Parametres!$T$32</f>
        <v>55</v>
      </c>
      <c r="X522" s="1142">
        <f>COUNTIFS('Degrémont sortie'!$G$14:$G$379,"&gt;0",'Degrémont sortie'!$A$14:$A$379,"&gt;="&amp;B497,'Degrémont sortie'!$A$14:$A$379,"&lt;="&amp;EOMONTH(B497,0))</f>
        <v>19</v>
      </c>
      <c r="Y522" s="1085">
        <f>SUMIFS('Degrémont sortie'!$G$14:$G$379,'Degrémont sortie'!$G$14:$G$379,"&lt;&gt;0",'Degrémont sortie'!$A$14:$A$379,"&gt;="&amp;B497,'Degrémont sortie'!$A$14:$A$379,"&lt;="&amp;EOMONTH(B497,0))</f>
        <v>450.23809523809513</v>
      </c>
      <c r="Z522" s="1069">
        <f t="shared" si="235"/>
        <v>23.696741854636585</v>
      </c>
      <c r="AA522" s="1286" t="e">
        <f ca="1">MINIFS('Degrémont sortie'!$G$14:$G$379,'Degrémont sortie'!$G$14:G$379,"&lt;&gt;0",'Degrémont sortie'!$A$14:$A$379,"&gt;="&amp;B497,'Degrémont sortie'!$A$14:$A$379,"&lt;="&amp;EOMONTH(B497,0))</f>
        <v>#NAME?</v>
      </c>
      <c r="AB522" s="1286" t="e">
        <f ca="1">MAXIFS('Degrémont sortie'!$G$14:$G$379,'Degrémont sortie'!$G$14:$G$379,"&lt;&gt;0",'Degrémont sortie'!$A$14:$A$379,"&gt;="&amp;B497,'Degrémont sortie'!$A$14:$A$379,"&lt;="&amp;EOMONTH(B497,0))</f>
        <v>#NAME?</v>
      </c>
      <c r="AC522" s="1141">
        <f>COUNTIFS('Degrémont sortie'!$G$14:$G$379,"&gt;="&amp;W522,'Degrémont sortie'!$A$14:$A$379,"&gt;="&amp;B497,'Degrémont sortie'!$A$14:$A$379,"&lt;="&amp;EOMONTH(B497,0))</f>
        <v>1</v>
      </c>
      <c r="AD522" s="1087">
        <f t="shared" si="236"/>
        <v>5.2631578947368418E-2</v>
      </c>
      <c r="AE522" s="1285"/>
      <c r="AF522" s="1205" t="e">
        <f>COUNTIFS(#REF!,"&gt;0",#REF!,"&gt;="&amp;B497,#REF!,"&lt;="&amp;EOMONTH(B497,0))</f>
        <v>#REF!</v>
      </c>
      <c r="AG522" s="1208" t="e">
        <f>SUMIFS(#REF!,#REF!,"&lt;&gt;0",#REF!,"&gt;="&amp;B497,#REF!,"&lt;="&amp;EOMONTH(B497,0))</f>
        <v>#REF!</v>
      </c>
      <c r="AH522" s="1208" t="e">
        <f>IF(AF522=0,0,AG522/AF522)</f>
        <v>#REF!</v>
      </c>
      <c r="AI522" s="1208" t="e">
        <f ca="1">MINIFS(#REF!,#REF!,"&lt;&gt;0",#REF!,"&gt;="&amp;B497,#REF!,"&lt;="&amp;EOMONTH(B497,0))</f>
        <v>#NAME?</v>
      </c>
      <c r="AJ522" s="1208" t="e">
        <f ca="1">MAXIFS(#REF!,#REF!,"&lt;&gt;0",#REF!,"&gt;="&amp;B497,#REF!,"&lt;="&amp;EOMONTH(B497,0))</f>
        <v>#NAME?</v>
      </c>
      <c r="AK522" s="1285"/>
      <c r="AL522" s="1205" t="e">
        <f>COUNTIFS(#REF!,"&gt;0",#REF!,"&gt;="&amp;B497,#REF!,"&lt;="&amp;EOMONTH(B497,0))</f>
        <v>#REF!</v>
      </c>
      <c r="AM522" s="1208" t="e">
        <f>SUMIFS(#REF!,#REF!,"&lt;&gt;0",#REF!,"&gt;="&amp;B497,#REF!,"&lt;="&amp;EOMONTH(B497,0))</f>
        <v>#REF!</v>
      </c>
      <c r="AN522" s="1208" t="e">
        <f>IF(AL522=0,0,AM522/AL522)</f>
        <v>#REF!</v>
      </c>
      <c r="AO522" s="1141" t="e">
        <f ca="1">MINIFS(#REF!,#REF!,"&lt;&gt;0",#REF!,"&gt;="&amp;B497,#REF!,"&lt;="&amp;EOMONTH(B497,0))</f>
        <v>#NAME?</v>
      </c>
      <c r="AP522" s="1141" t="e">
        <f ca="1">MAXIFS(#REF!,#REF!,"&lt;&gt;0",#REF!,"&gt;="&amp;B497,#REF!,"&lt;="&amp;EOMONTH(B497,0))</f>
        <v>#NAME?</v>
      </c>
      <c r="AQ522" s="1285"/>
      <c r="AR522" s="1220">
        <f>Parametres!$AM$32</f>
        <v>2600</v>
      </c>
      <c r="AS522" s="1205" t="e">
        <f>COUNTIFS(#REF!,"&gt;0",#REF!,"&gt;="&amp;B497,#REF!,"&lt;="&amp;EOMONTH(B497,0))</f>
        <v>#REF!</v>
      </c>
      <c r="AT522" s="1208" t="e">
        <f>SUMIFS(#REF!,#REF!,"&lt;&gt;0",#REF!,"&gt;="&amp;B497,#REF!,"&lt;="&amp;EOMONTH(B497,0))</f>
        <v>#REF!</v>
      </c>
      <c r="AU522" s="1208" t="e">
        <f>IF(AS522=0,0,AT522/AS522)</f>
        <v>#REF!</v>
      </c>
      <c r="AV522" s="1287" t="e">
        <f ca="1">MINIFS(#REF!,#REF!,"&lt;&gt;0",#REF!,"&gt;="&amp;B497,#REF!,"&lt;="&amp;EOMONTH(B497,0))</f>
        <v>#NAME?</v>
      </c>
      <c r="AW522" s="1141" t="e">
        <f ca="1">MAXIFS(#REF!,#REF!,"&lt;&gt;0",#REF!,"&gt;="&amp;B497,#REF!,"&lt;="&amp;EOMONTH(B497,0))</f>
        <v>#NAME?</v>
      </c>
      <c r="AX522" s="1288" t="e">
        <f>COUNTIFS(#REF!,"&gt;="&amp;AR522,#REF!,"&gt;="&amp;B497,#REF!,"&lt;="&amp;EOMONTH(B497,0))</f>
        <v>#REF!</v>
      </c>
      <c r="AY522" s="1224" t="e">
        <f>AX522/AS522</f>
        <v>#REF!</v>
      </c>
      <c r="AZ522" s="1403" t="e">
        <f t="shared" si="227"/>
        <v>#REF!</v>
      </c>
      <c r="BA522" s="2"/>
    </row>
    <row r="523" spans="1:53" ht="15.75" hidden="1" customHeight="1" outlineLevel="1">
      <c r="A523" s="1027"/>
      <c r="B523" s="1404"/>
      <c r="C523" s="1031" t="s">
        <v>118</v>
      </c>
      <c r="D523" s="1122">
        <f>Parametres!$D$33</f>
        <v>75</v>
      </c>
      <c r="E523" s="1068" t="e">
        <f>COUNTIFS(#REF!,"&gt;0",#REF!,"&gt;="&amp;B497,#REF!,"&lt;="&amp;EOMONTH(B497,0))</f>
        <v>#REF!</v>
      </c>
      <c r="F523" s="1069" t="e">
        <f>SUMIFS(#REF!,#REF!,"&lt;&gt;0",#REF!,"&gt;="&amp;B497,#REF!,"&lt;="&amp;EOMONTH(B497,0))</f>
        <v>#REF!</v>
      </c>
      <c r="G523" s="1069" t="e">
        <f t="shared" si="225"/>
        <v>#REF!</v>
      </c>
      <c r="H523" s="1070" t="e">
        <f ca="1">MINIFS(#REF!,#REF!,"&lt;&gt;0",#REF!,"&gt;="&amp;B497,#REF!,"&lt;="&amp;EOMONTH(B497,0))</f>
        <v>#NAME?</v>
      </c>
      <c r="I523" s="1069" t="e">
        <f ca="1">MAXIFS(#REF!,#REF!,"&lt;&gt;0",#REF!,"&gt;="&amp;B497,#REF!,"&lt;="&amp;EOMONTH(B497,0))</f>
        <v>#NAME?</v>
      </c>
      <c r="J523" s="1114" t="e">
        <f>COUNTIFS(#REF!,"&gt;="&amp;D523,#REF!,"&gt;="&amp;B497,#REF!,"&lt;="&amp;EOMONTH(B497,0))</f>
        <v>#REF!</v>
      </c>
      <c r="K523" s="1341" t="e">
        <f t="shared" si="232"/>
        <v>#REF!</v>
      </c>
      <c r="L523" s="1281"/>
      <c r="M523" s="1289"/>
      <c r="N523" s="1290"/>
      <c r="O523" s="1290"/>
      <c r="P523" s="1286"/>
      <c r="Q523" s="1283"/>
      <c r="R523" s="1286"/>
      <c r="S523" s="1286"/>
      <c r="T523" s="1290"/>
      <c r="U523" s="1290"/>
      <c r="V523" s="1285"/>
      <c r="W523" s="1083">
        <f>Parametres!$T$33</f>
        <v>150</v>
      </c>
      <c r="X523" s="1142">
        <f>COUNTIFS('Degrémont sortie'!$X$14:$X$379,"&gt;0",'Degrémont sortie'!$A$14:$A$379,"&gt;="&amp;B497,'Degrémont sortie'!$A$14:$A$379,"&lt;="&amp;EOMONTH(B497,0))</f>
        <v>4</v>
      </c>
      <c r="Y523" s="1085">
        <f>SUMIFS('Degrémont sortie'!$X$14:$X$379,'Degrémont sortie'!$X$14:$X$379,"&lt;&gt;0",'Degrémont sortie'!$A$14:$A$379,"&gt;="&amp;B497,'Degrémont sortie'!$A$14:$A$379,"&lt;="&amp;EOMONTH(B497,0))</f>
        <v>48.1</v>
      </c>
      <c r="Z523" s="1069">
        <f t="shared" si="235"/>
        <v>12.025</v>
      </c>
      <c r="AA523" s="1286" t="e">
        <f ca="1">MINIFS('Degrémont sortie'!$X$14:$X$379,'Degrémont sortie'!$X$14:$X$379,"&lt;&gt;0",'Degrémont sortie'!$A$14:$A$379,"&gt;="&amp;B497,'Degrémont sortie'!$A$14:$A$379,"&lt;="&amp;EOMONTH(B497,0))</f>
        <v>#NAME?</v>
      </c>
      <c r="AB523" s="1286" t="e">
        <f ca="1">MAXIFS('Degrémont sortie'!$X$14:$X$379,'Degrémont sortie'!$X$14:$X$379,"&lt;&gt;0",'Degrémont sortie'!$A$14:$A$379,"&gt;="&amp;B497,'Degrémont sortie'!$A$14:$A$379,"&lt;="&amp;EOMONTH(B497,0))</f>
        <v>#NAME?</v>
      </c>
      <c r="AC523" s="1291" t="s">
        <v>153</v>
      </c>
      <c r="AD523" s="1292" t="s">
        <v>153</v>
      </c>
      <c r="AE523" s="1285"/>
      <c r="AF523" s="1293"/>
      <c r="AG523" s="1293"/>
      <c r="AH523" s="1293"/>
      <c r="AI523" s="1293"/>
      <c r="AJ523" s="1293"/>
      <c r="AK523" s="1285"/>
      <c r="AL523" s="1293"/>
      <c r="AM523" s="1293"/>
      <c r="AN523" s="1293"/>
      <c r="AO523" s="1293"/>
      <c r="AP523" s="1293"/>
      <c r="AQ523" s="1285"/>
      <c r="AR523" s="1293"/>
      <c r="AS523" s="1293"/>
      <c r="AT523" s="1293"/>
      <c r="AU523" s="1293"/>
      <c r="AV523" s="1293"/>
      <c r="AW523" s="1293"/>
      <c r="AX523" s="1294"/>
      <c r="AY523" s="1295"/>
      <c r="AZ523" s="1403" t="e">
        <f t="shared" si="227"/>
        <v>#REF!</v>
      </c>
      <c r="BA523" s="2"/>
    </row>
    <row r="524" spans="1:53" ht="15.75" hidden="1" customHeight="1" outlineLevel="1">
      <c r="A524" s="1027"/>
      <c r="B524" s="1404"/>
      <c r="C524" s="1031" t="s">
        <v>285</v>
      </c>
      <c r="D524" s="1122">
        <f>Parametres!$D$34</f>
        <v>10000000</v>
      </c>
      <c r="E524" s="1068" t="e">
        <f>COUNTIFS(#REF!,"&gt;0",#REF!,"&gt;="&amp;B497,#REF!,"&lt;="&amp;EOMONTH(B497,0))</f>
        <v>#REF!</v>
      </c>
      <c r="F524" s="1069" t="e">
        <f>SUMIFS(#REF!,#REF!,"&lt;&gt;0",#REF!,"&gt;="&amp;B497,#REF!,"&lt;="&amp;EOMONTH(B497,0))</f>
        <v>#REF!</v>
      </c>
      <c r="G524" s="1069" t="e">
        <f t="shared" si="225"/>
        <v>#REF!</v>
      </c>
      <c r="H524" s="1070" t="e">
        <f ca="1">MINIFS(#REF!,#REF!,"&lt;&gt;0",#REF!,"&gt;="&amp;B497,#REF!,"&lt;="&amp;EOMONTH(B497,0))</f>
        <v>#NAME?</v>
      </c>
      <c r="I524" s="1069" t="e">
        <f ca="1">MAXIFS(#REF!,#REF!,"&lt;&gt;0",#REF!,"&gt;="&amp;B497,#REF!,"&lt;="&amp;EOMONTH(B497,0))</f>
        <v>#NAME?</v>
      </c>
      <c r="J524" s="1072" t="s">
        <v>153</v>
      </c>
      <c r="K524" s="1072" t="s">
        <v>153</v>
      </c>
      <c r="L524" s="1281"/>
      <c r="M524" s="1289"/>
      <c r="N524" s="1290"/>
      <c r="O524" s="1290"/>
      <c r="P524" s="1286"/>
      <c r="Q524" s="1283"/>
      <c r="R524" s="1286"/>
      <c r="S524" s="1286"/>
      <c r="T524" s="1290"/>
      <c r="U524" s="1290"/>
      <c r="V524" s="1285"/>
      <c r="W524" s="1293"/>
      <c r="X524" s="1293"/>
      <c r="Y524" s="1286"/>
      <c r="Z524" s="1286"/>
      <c r="AA524" s="1286"/>
      <c r="AB524" s="1286"/>
      <c r="AC524" s="1293"/>
      <c r="AD524" s="1249"/>
      <c r="AE524" s="1285"/>
      <c r="AF524" s="1293"/>
      <c r="AG524" s="1293"/>
      <c r="AH524" s="1293"/>
      <c r="AI524" s="1293"/>
      <c r="AJ524" s="1293"/>
      <c r="AK524" s="1285"/>
      <c r="AL524" s="1293"/>
      <c r="AM524" s="1293"/>
      <c r="AN524" s="1293"/>
      <c r="AO524" s="1293"/>
      <c r="AP524" s="1293"/>
      <c r="AQ524" s="1285"/>
      <c r="AR524" s="1293"/>
      <c r="AS524" s="1293"/>
      <c r="AT524" s="1293"/>
      <c r="AU524" s="1293"/>
      <c r="AV524" s="1293"/>
      <c r="AW524" s="1293"/>
      <c r="AX524" s="1294"/>
      <c r="AY524" s="1295"/>
      <c r="AZ524" s="1403" t="e">
        <f t="shared" si="227"/>
        <v>#REF!</v>
      </c>
      <c r="BA524" s="2"/>
    </row>
    <row r="525" spans="1:53" ht="15.75" hidden="1" customHeight="1" outlineLevel="1">
      <c r="A525" s="1027"/>
      <c r="B525" s="1404"/>
      <c r="C525" s="1031" t="s">
        <v>48</v>
      </c>
      <c r="D525" s="1122">
        <f>Parametres!$D$35</f>
        <v>0.5</v>
      </c>
      <c r="E525" s="1068" t="e">
        <f>COUNTIFS(#REF!,"&gt;0",#REF!,"&gt;="&amp;B497,#REF!,"&lt;="&amp;EOMONTH(B497,0))</f>
        <v>#REF!</v>
      </c>
      <c r="F525" s="1069" t="e">
        <f>SUMIFS(#REF!,#REF!,"&lt;&gt;0",#REF!,"&gt;="&amp;B497,#REF!,"&lt;="&amp;EOMONTH(B497,0))</f>
        <v>#REF!</v>
      </c>
      <c r="G525" s="1069" t="e">
        <f t="shared" si="225"/>
        <v>#REF!</v>
      </c>
      <c r="H525" s="1070" t="e">
        <f ca="1">MINIFS(#REF!,#REF!,"&lt;&gt;0",#REF!,"&gt;="&amp;B497,#REF!,"&lt;="&amp;EOMONTH(B497,0))</f>
        <v>#NAME?</v>
      </c>
      <c r="I525" s="1069" t="e">
        <f ca="1">MAXIFS(#REF!,#REF!,"&lt;&gt;0",#REF!,"&gt;="&amp;B497,#REF!,"&lt;="&amp;EOMONTH(B497,0))</f>
        <v>#NAME?</v>
      </c>
      <c r="J525" s="1114" t="e">
        <f>COUNTIFS(#REF!,"&gt;="&amp;D525,#REF!,"&gt;="&amp;B497,#REF!,"&lt;="&amp;EOMONTH(B497,0))</f>
        <v>#REF!</v>
      </c>
      <c r="K525" s="1341" t="e">
        <f>J525/E525</f>
        <v>#REF!</v>
      </c>
      <c r="L525" s="1281"/>
      <c r="M525" s="1289"/>
      <c r="N525" s="1144">
        <f>Parametres!$L$35</f>
        <v>30</v>
      </c>
      <c r="O525" s="1077">
        <f>COUNTIFS('Degrémont Entrée'!$BB$14:$BB$379,"&gt;0",'Degrémont Entrée'!$A$14:$A$379,"&gt;="&amp;B497,'Degrémont Entrée'!$A$14:$A$379,"&lt;="&amp;EOMONTH(B497,0))</f>
        <v>4</v>
      </c>
      <c r="P525" s="1078">
        <f>SUMIFS('Degrémont Entrée'!$BB$14:$BB$379,'Degrémont Entrée'!$BB$14:$BB$379,"&lt;&gt;0",'Degrémont Entrée'!$A$14:$A$379,"&gt;="&amp;B497,'Degrémont Entrée'!$A$14:$A$379,"&lt;="&amp;EOMONTH(B497,0))</f>
        <v>2.6500000000000004</v>
      </c>
      <c r="Q525" s="1283">
        <f>IF(O525=0,0,P525/O525)</f>
        <v>0.66250000000000009</v>
      </c>
      <c r="R525" s="1286" t="e">
        <f ca="1">MINIFS('Degrémont Entrée'!$BB$14:$BB$379,'Degrémont Entrée'!$BB$14:$BB$379,"&lt;&gt;0",'Degrémont Entrée'!$A$14:$A$379,"&gt;="&amp;B497,'Degrémont Entrée'!$A$14:$A$379,"&lt;="&amp;EOMONTH(B497,0))</f>
        <v>#NAME?</v>
      </c>
      <c r="S525" s="1286" t="e">
        <f ca="1">MAXIFS('Degrémont Entrée'!$BB$14:$BB$379,'Degrémont Entrée'!$BB$14:$BB$379,"&lt;&gt;0",'Degrémont Entrée'!$A$14:$A$379,"&gt;="&amp;B497,'Degrémont Entrée'!$A$14:$A$379,"&lt;="&amp;EOMONTH(B497,0))</f>
        <v>#NAME?</v>
      </c>
      <c r="T525" s="1141">
        <f>COUNTIFS('Degrémont Entrée'!$BB$14:$BB$379,"&gt;="&amp;N525,'Degrémont Entrée'!$A$14:$A$379,"&gt;="&amp;B497,'Degrémont Entrée'!$A$14:$A$379,"&lt;="&amp;EOMONTH(B497,0))</f>
        <v>0</v>
      </c>
      <c r="U525" s="1081">
        <f>T525/O525</f>
        <v>0</v>
      </c>
      <c r="V525" s="1285"/>
      <c r="W525" s="1083">
        <f>Parametres!$T$35</f>
        <v>0.16</v>
      </c>
      <c r="X525" s="1142">
        <f>COUNTIFS('Degrémont sortie'!$AV$14:$AV$379,"&gt;0",'Degrémont sortie'!$A$14:$A$379,"&gt;="&amp;B497,'Degrémont sortie'!$A$14:$A$379,"&lt;="&amp;EOMONTH(B497,0))</f>
        <v>4</v>
      </c>
      <c r="Y525" s="1085">
        <f>SUMIFS('Degrémont sortie'!$AV$14:$AV$379,'Degrémont sortie'!$AV$14:$AV$379,"&lt;&gt;0",'Degrémont sortie'!$A$14:$A$379,"&gt;="&amp;B497,'Degrémont sortie'!$A$14:$A$379,"&lt;="&amp;EOMONTH(B497,0))</f>
        <v>0.33999999999999997</v>
      </c>
      <c r="Z525" s="1069">
        <f t="shared" ref="Z525:Z527" si="237">IF(X525=0,0,Y525/X525)</f>
        <v>8.4999999999999992E-2</v>
      </c>
      <c r="AA525" s="1286" t="e">
        <f ca="1">MINIFS('Degrémont sortie'!$AV$14:$AV$379,'Degrémont sortie'!$AV$14:$AV$379,"&lt;&gt;0",'Degrémont sortie'!$A$14:$A$379,"&gt;="&amp;B497,'Degrémont sortie'!$A$14:$A$379,"&lt;="&amp;EOMONTH(B497,0))</f>
        <v>#NAME?</v>
      </c>
      <c r="AB525" s="1286" t="e">
        <f ca="1">MAXIFS('Degrémont sortie'!$AV$14:$AV$379,'Degrémont sortie'!$AV$14:$AV$379,"&lt;&gt;0",'Degrémont sortie'!$A$14:$A$379,"&gt;="&amp;B497,'Degrémont sortie'!$A$14:$A$379,"&lt;="&amp;EOMONTH(B497,0))</f>
        <v>#NAME?</v>
      </c>
      <c r="AC525" s="1141">
        <f>COUNTIFS('Degrémont sortie'!$AV$14:$AV$379,"&gt;="&amp;W525,'Degrémont sortie'!$A$14:$A$379,"&gt;="&amp;B497,'Degrémont sortie'!$A$14:$A$379,"&lt;="&amp;EOMONTH(B497,0))</f>
        <v>0</v>
      </c>
      <c r="AD525" s="1087">
        <f>AC525/X525</f>
        <v>0</v>
      </c>
      <c r="AE525" s="1285"/>
      <c r="AF525" s="1293"/>
      <c r="AG525" s="1293"/>
      <c r="AH525" s="1293"/>
      <c r="AI525" s="1293"/>
      <c r="AJ525" s="1293"/>
      <c r="AK525" s="1285"/>
      <c r="AL525" s="1293"/>
      <c r="AM525" s="1293"/>
      <c r="AN525" s="1293"/>
      <c r="AO525" s="1293"/>
      <c r="AP525" s="1293"/>
      <c r="AQ525" s="1285"/>
      <c r="AR525" s="1293"/>
      <c r="AS525" s="1293"/>
      <c r="AT525" s="1293"/>
      <c r="AU525" s="1293"/>
      <c r="AV525" s="1293"/>
      <c r="AW525" s="1293"/>
      <c r="AX525" s="1294"/>
      <c r="AY525" s="1295"/>
      <c r="AZ525" s="1403" t="e">
        <f t="shared" si="227"/>
        <v>#REF!</v>
      </c>
      <c r="BA525" s="2"/>
    </row>
    <row r="526" spans="1:53" ht="15.75" hidden="1" customHeight="1" outlineLevel="1">
      <c r="A526" s="1027"/>
      <c r="B526" s="1404"/>
      <c r="C526" s="1031" t="s">
        <v>39</v>
      </c>
      <c r="D526" s="1122">
        <f>Parametres!$D$36</f>
        <v>10000000</v>
      </c>
      <c r="E526" s="1068" t="e">
        <f>COUNTIFS(#REF!,"&gt;0",#REF!,"&gt;="&amp;B497,#REF!,"&lt;="&amp;EOMONTH(B497,0))</f>
        <v>#REF!</v>
      </c>
      <c r="F526" s="1069" t="e">
        <f>SUMIFS(#REF!,#REF!,"&lt;&gt;0",#REF!,"&gt;="&amp;B497,#REF!,"&lt;="&amp;EOMONTH(B497,0))</f>
        <v>#REF!</v>
      </c>
      <c r="G526" s="1069" t="e">
        <f t="shared" si="225"/>
        <v>#REF!</v>
      </c>
      <c r="H526" s="1070" t="e">
        <f ca="1">MINIFS(#REF!,#REF!,"&lt;&gt;0",#REF!,"&gt;="&amp;B497,#REF!,"&lt;="&amp;EOMONTH(B497,0))</f>
        <v>#NAME?</v>
      </c>
      <c r="I526" s="1277" t="e">
        <f ca="1">MAXIFS(#REF!,#REF!,"&lt;&gt;0",#REF!,"&gt;="&amp;B497,#REF!,"&lt;="&amp;EOMONTH(B497,0))</f>
        <v>#NAME?</v>
      </c>
      <c r="J526" s="1072" t="s">
        <v>153</v>
      </c>
      <c r="K526" s="1072" t="s">
        <v>153</v>
      </c>
      <c r="L526" s="1281"/>
      <c r="M526" s="1289"/>
      <c r="N526" s="1290"/>
      <c r="O526" s="1290"/>
      <c r="P526" s="1286"/>
      <c r="Q526" s="1286"/>
      <c r="R526" s="1286"/>
      <c r="S526" s="1286"/>
      <c r="T526" s="1290"/>
      <c r="U526" s="1290"/>
      <c r="V526" s="1285"/>
      <c r="W526" s="1083">
        <f>Parametres!$T$36</f>
        <v>100000000</v>
      </c>
      <c r="X526" s="1142">
        <f>COUNTIFS('Degrémont sortie'!$R$14:$R$379,"&gt;0",'Degrémont sortie'!$A$14:$A$379,"&gt;="&amp;B497,'Degrémont sortie'!$A$14:$A$379,"&lt;="&amp;EOMONTH(B497,0))</f>
        <v>0</v>
      </c>
      <c r="Y526" s="1085">
        <f>SUMIFS('Degrémont sortie'!$R$14:$R$379,'Degrémont sortie'!$R$14:$R$379,"&lt;&gt;0",'Degrémont sortie'!$A$14:$A$379,"&gt;="&amp;B497,'Degrémont sortie'!$A$14:$A$379,"&lt;="&amp;EOMONTH(B497,0))</f>
        <v>0</v>
      </c>
      <c r="Z526" s="1069">
        <f t="shared" si="237"/>
        <v>0</v>
      </c>
      <c r="AA526" s="1286" t="e">
        <f ca="1">MINIFS('Degrémont sortie'!$R$14:$R$379,'Degrémont sortie'!$R$14:$R$379,"&lt;&gt;0",'Degrémont sortie'!$A$14:$A$379,"&gt;="&amp;B497,'Degrémont sortie'!$A$14:$A$379,"&lt;="&amp;EOMONTH(B497,0))</f>
        <v>#NAME?</v>
      </c>
      <c r="AB526" s="1286" t="e">
        <f ca="1">MAXIFS('Degrémont sortie'!$R$14:$R$379,'Degrémont sortie'!$R$14:$R$379,"&lt;&gt;0",'Degrémont sortie'!$A$14:$A$379,"&gt;="&amp;B497,'Degrémont sortie'!$A$14:$A$379,"&lt;="&amp;EOMONTH(B497,0))</f>
        <v>#NAME?</v>
      </c>
      <c r="AC526" s="1291" t="s">
        <v>153</v>
      </c>
      <c r="AD526" s="1292" t="s">
        <v>153</v>
      </c>
      <c r="AE526" s="1285"/>
      <c r="AF526" s="1293"/>
      <c r="AG526" s="1293"/>
      <c r="AH526" s="1293"/>
      <c r="AI526" s="1293"/>
      <c r="AJ526" s="1293"/>
      <c r="AK526" s="1285"/>
      <c r="AL526" s="1293"/>
      <c r="AM526" s="1293"/>
      <c r="AN526" s="1293"/>
      <c r="AO526" s="1293"/>
      <c r="AP526" s="1293"/>
      <c r="AQ526" s="1285"/>
      <c r="AR526" s="1293"/>
      <c r="AS526" s="1293"/>
      <c r="AT526" s="1293"/>
      <c r="AU526" s="1293"/>
      <c r="AV526" s="1293"/>
      <c r="AW526" s="1293"/>
      <c r="AX526" s="1294"/>
      <c r="AY526" s="1295"/>
      <c r="AZ526" s="1403" t="e">
        <f t="shared" si="227"/>
        <v>#REF!</v>
      </c>
      <c r="BA526" s="2"/>
    </row>
    <row r="527" spans="1:53" ht="15.75" hidden="1" customHeight="1" outlineLevel="1">
      <c r="A527" s="1027"/>
      <c r="B527" s="1404"/>
      <c r="C527" s="1031" t="s">
        <v>40</v>
      </c>
      <c r="D527" s="1122">
        <f>Parametres!$D$37</f>
        <v>10000000</v>
      </c>
      <c r="E527" s="1068" t="e">
        <f>COUNTIFS(#REF!,"&gt;0",#REF!,"&gt;="&amp;B497,#REF!,"&lt;="&amp;EOMONTH(B497,0))</f>
        <v>#REF!</v>
      </c>
      <c r="F527" s="1069" t="e">
        <f>SUMIFS(#REF!,#REF!,"&lt;&gt;0",#REF!,"&gt;="&amp;B497,#REF!,"&lt;="&amp;EOMONTH(B497,0))</f>
        <v>#REF!</v>
      </c>
      <c r="G527" s="1069" t="e">
        <f t="shared" si="225"/>
        <v>#REF!</v>
      </c>
      <c r="H527" s="1070" t="e">
        <f ca="1">MINIFS(#REF!,#REF!,"&lt;&gt;0",#REF!,"&gt;="&amp;B497,#REF!,"&lt;="&amp;EOMONTH(B497,0))</f>
        <v>#NAME?</v>
      </c>
      <c r="I527" s="1069" t="e">
        <f ca="1">MAXIFS(#REF!,#REF!,"&lt;&gt;0",#REF!,"&gt;="&amp;B497,#REF!,"&lt;="&amp;EOMONTH(B497,0))</f>
        <v>#NAME?</v>
      </c>
      <c r="J527" s="1072" t="s">
        <v>153</v>
      </c>
      <c r="K527" s="1072" t="s">
        <v>153</v>
      </c>
      <c r="L527" s="1281"/>
      <c r="M527" s="1289"/>
      <c r="N527" s="1290"/>
      <c r="O527" s="1290"/>
      <c r="P527" s="1286"/>
      <c r="Q527" s="1286"/>
      <c r="R527" s="1286"/>
      <c r="S527" s="1286"/>
      <c r="T527" s="1290"/>
      <c r="U527" s="1290"/>
      <c r="V527" s="1285"/>
      <c r="W527" s="1083">
        <f>Parametres!$T$37</f>
        <v>100000000</v>
      </c>
      <c r="X527" s="1142">
        <f>COUNTIFS('Degrémont sortie'!$U$14:$U$379,"&gt;0",'Degrémont sortie'!$A$14:$A$379,"&gt;="&amp;B497,'Degrémont sortie'!$A$14:$A$379,"&lt;="&amp;EOMONTH(B497,0))</f>
        <v>0</v>
      </c>
      <c r="Y527" s="1085">
        <f>SUMIFS('Degrémont sortie'!$U$14:$U$379,'Degrémont sortie'!$U$14:$U$379,"&lt;&gt;0",'Degrémont sortie'!$A$14:$A$379,"&gt;="&amp;B497,'Degrémont sortie'!$A$14:$A$379,"&lt;="&amp;EOMONTH(B497,0))</f>
        <v>0</v>
      </c>
      <c r="Z527" s="1069">
        <f t="shared" si="237"/>
        <v>0</v>
      </c>
      <c r="AA527" s="1286" t="e">
        <f ca="1">MINIFS('Degrémont sortie'!$U$14:$U$379,'Degrémont sortie'!$U$14:$U$379,"&lt;&gt;0",'Degrémont sortie'!$A$14:$A$379,"&gt;="&amp;B497,'Degrémont sortie'!$A$14:$A$379,"&lt;="&amp;EOMONTH(B497,0))</f>
        <v>#NAME?</v>
      </c>
      <c r="AB527" s="1286" t="e">
        <f ca="1">MAXIFS('Degrémont sortie'!$U$14:$U$379,'Degrémont sortie'!$U$14:$U$379,"&lt;&gt;0",'Degrémont sortie'!$A$14:$A$379,"&gt;="&amp;B497,'Degrémont sortie'!$A$14:$A$379,"&lt;="&amp;EOMONTH(B497,0))</f>
        <v>#NAME?</v>
      </c>
      <c r="AC527" s="1291" t="s">
        <v>153</v>
      </c>
      <c r="AD527" s="1292" t="s">
        <v>153</v>
      </c>
      <c r="AE527" s="1285"/>
      <c r="AF527" s="1293"/>
      <c r="AG527" s="1293"/>
      <c r="AH527" s="1293"/>
      <c r="AI527" s="1293"/>
      <c r="AJ527" s="1293"/>
      <c r="AK527" s="1285"/>
      <c r="AL527" s="1293"/>
      <c r="AM527" s="1293"/>
      <c r="AN527" s="1293"/>
      <c r="AO527" s="1293"/>
      <c r="AP527" s="1293"/>
      <c r="AQ527" s="1285"/>
      <c r="AR527" s="1293"/>
      <c r="AS527" s="1293"/>
      <c r="AT527" s="1293"/>
      <c r="AU527" s="1293"/>
      <c r="AV527" s="1293"/>
      <c r="AW527" s="1293"/>
      <c r="AX527" s="1294"/>
      <c r="AY527" s="1295"/>
      <c r="AZ527" s="1403" t="e">
        <f t="shared" si="227"/>
        <v>#REF!</v>
      </c>
      <c r="BA527" s="2"/>
    </row>
    <row r="528" spans="1:53" ht="15.75" hidden="1" customHeight="1" outlineLevel="1">
      <c r="A528" s="1027"/>
      <c r="B528" s="1404"/>
      <c r="C528" s="1402" t="s">
        <v>15</v>
      </c>
      <c r="D528" s="1122">
        <f>Parametres!$D$38</f>
        <v>1000000</v>
      </c>
      <c r="E528" s="1068" t="e">
        <f>COUNTIFS(#REF!,"&gt;0",#REF!,"&gt;="&amp;B497,#REF!,"&lt;="&amp;EOMONTH(B497,0))</f>
        <v>#REF!</v>
      </c>
      <c r="F528" s="1069" t="e">
        <f>SUMIFS(#REF!,#REF!,"&lt;&gt;0",#REF!,"&gt;="&amp;B497,#REF!,"&lt;="&amp;EOMONTH(B497,0))</f>
        <v>#REF!</v>
      </c>
      <c r="G528" s="1069" t="e">
        <f t="shared" si="225"/>
        <v>#REF!</v>
      </c>
      <c r="H528" s="1070" t="e">
        <f ca="1">MINIFS(#REF!,#REF!,"&lt;&gt;0",#REF!,"&gt;="&amp;B497,#REF!,"&lt;="&amp;EOMONTH(B497,0))</f>
        <v>#NAME?</v>
      </c>
      <c r="I528" s="1069" t="e">
        <f ca="1">MAXIFS(#REF!,#REF!,"&lt;&gt;0",#REF!,"&gt;="&amp;B497,#REF!,"&lt;="&amp;EOMONTH(B497,0))</f>
        <v>#NAME?</v>
      </c>
      <c r="J528" s="1072" t="e">
        <f>COUNTIFS(#REF!,"&gt;="&amp;D528,#REF!,"&gt;="&amp;B497,#REF!,"&lt;="&amp;EOMONTH(B497,0))</f>
        <v>#REF!</v>
      </c>
      <c r="K528" s="1341" t="e">
        <f t="shared" ref="K528:K529" si="238">J528/E528</f>
        <v>#REF!</v>
      </c>
      <c r="L528" s="1281"/>
      <c r="M528" s="1289"/>
      <c r="N528" s="1290"/>
      <c r="O528" s="1290"/>
      <c r="P528" s="1286"/>
      <c r="Q528" s="1286"/>
      <c r="R528" s="1286"/>
      <c r="S528" s="1286"/>
      <c r="T528" s="1290"/>
      <c r="U528" s="1290"/>
      <c r="V528" s="1285"/>
      <c r="W528" s="1293"/>
      <c r="X528" s="1293"/>
      <c r="Y528" s="1286"/>
      <c r="Z528" s="1286"/>
      <c r="AA528" s="1286"/>
      <c r="AB528" s="1286"/>
      <c r="AC528" s="1293"/>
      <c r="AD528" s="1249"/>
      <c r="AE528" s="1285"/>
      <c r="AF528" s="1293"/>
      <c r="AG528" s="1293"/>
      <c r="AH528" s="1293"/>
      <c r="AI528" s="1293"/>
      <c r="AJ528" s="1293"/>
      <c r="AK528" s="1285"/>
      <c r="AL528" s="1293"/>
      <c r="AM528" s="1293"/>
      <c r="AN528" s="1293"/>
      <c r="AO528" s="1293"/>
      <c r="AP528" s="1293"/>
      <c r="AQ528" s="1285"/>
      <c r="AR528" s="1293"/>
      <c r="AS528" s="1293"/>
      <c r="AT528" s="1293"/>
      <c r="AU528" s="1293"/>
      <c r="AV528" s="1293"/>
      <c r="AW528" s="1293"/>
      <c r="AX528" s="1294"/>
      <c r="AY528" s="1295"/>
      <c r="AZ528" s="1403" t="e">
        <f t="shared" si="227"/>
        <v>#REF!</v>
      </c>
      <c r="BA528" s="2"/>
    </row>
    <row r="529" spans="1:53" ht="15.75" hidden="1" customHeight="1" outlineLevel="1">
      <c r="A529" s="1027"/>
      <c r="B529" s="1404"/>
      <c r="C529" s="1121" t="s">
        <v>170</v>
      </c>
      <c r="D529" s="1122">
        <f>Parametres!$D$40</f>
        <v>10000000</v>
      </c>
      <c r="E529" s="1068" t="e">
        <f>COUNTIFS(#REF!,"&gt;0",#REF!,"&gt;="&amp;B497,#REF!,"&lt;="&amp;EOMONTH(B497,0))</f>
        <v>#REF!</v>
      </c>
      <c r="F529" s="1069" t="e">
        <f>SUMIFS(#REF!,#REF!,"&lt;&gt;0",#REF!,"&gt;="&amp;B497,#REF!,"&lt;="&amp;EOMONTH(B497,0))</f>
        <v>#REF!</v>
      </c>
      <c r="G529" s="1069" t="e">
        <f t="shared" si="225"/>
        <v>#REF!</v>
      </c>
      <c r="H529" s="1070" t="e">
        <f ca="1">MINIFS(#REF!,#REF!,"&lt;&gt;0",#REF!,"&gt;="&amp;B497,#REF!,"&lt;="&amp;EOMONTH(B497,0))</f>
        <v>#NAME?</v>
      </c>
      <c r="I529" s="1069" t="e">
        <f ca="1">MAXIFS(#REF!,#REF!,"&lt;&gt;0",#REF!,"&gt;="&amp;B497,#REF!,"&lt;="&amp;EOMONTH(B497,0))</f>
        <v>#NAME?</v>
      </c>
      <c r="J529" s="1114" t="e">
        <f>COUNTIFS(#REF!,"&gt;="&amp;D529,#REF!,"&gt;="&amp;B498,#REF!,"&lt;="&amp;EOMONTH(B498,0))</f>
        <v>#REF!</v>
      </c>
      <c r="K529" s="1341" t="e">
        <f t="shared" si="238"/>
        <v>#REF!</v>
      </c>
      <c r="L529" s="1281"/>
      <c r="M529" s="1289"/>
      <c r="N529" s="1313"/>
      <c r="O529" s="1313"/>
      <c r="P529" s="1315"/>
      <c r="Q529" s="1317"/>
      <c r="R529" s="1286"/>
      <c r="S529" s="1286"/>
      <c r="T529" s="1290"/>
      <c r="U529" s="1290"/>
      <c r="V529" s="1285"/>
      <c r="W529" s="1293"/>
      <c r="X529" s="1293"/>
      <c r="Y529" s="1315"/>
      <c r="Z529" s="1286"/>
      <c r="AA529" s="1286"/>
      <c r="AB529" s="1286"/>
      <c r="AC529" s="1293"/>
      <c r="AD529" s="1249"/>
      <c r="AE529" s="1285"/>
      <c r="AF529" s="1293"/>
      <c r="AG529" s="1293"/>
      <c r="AH529" s="1293"/>
      <c r="AI529" s="1293"/>
      <c r="AJ529" s="1293"/>
      <c r="AK529" s="1285"/>
      <c r="AL529" s="1321"/>
      <c r="AM529" s="1293"/>
      <c r="AN529" s="1293"/>
      <c r="AO529" s="1293"/>
      <c r="AP529" s="1293"/>
      <c r="AQ529" s="1285"/>
      <c r="AR529" s="1293"/>
      <c r="AS529" s="1293"/>
      <c r="AT529" s="1293"/>
      <c r="AU529" s="1293"/>
      <c r="AV529" s="1293"/>
      <c r="AW529" s="1293"/>
      <c r="AX529" s="1294"/>
      <c r="AY529" s="1295"/>
      <c r="AZ529" s="1403"/>
      <c r="BA529" s="2"/>
    </row>
    <row r="530" spans="1:53" ht="15.75" hidden="1" customHeight="1" outlineLevel="1">
      <c r="A530" s="1027"/>
      <c r="B530" s="1404"/>
      <c r="C530" s="1031" t="s">
        <v>38</v>
      </c>
      <c r="D530" s="1122">
        <f>Parametres!$D$39</f>
        <v>1000000</v>
      </c>
      <c r="E530" s="1068" t="e">
        <f>COUNTIFS(#REF!,"&gt;0",#REF!,"&gt;="&amp;B497,#REF!,"&lt;="&amp;EOMONTH(B497,0))</f>
        <v>#REF!</v>
      </c>
      <c r="F530" s="1069" t="e">
        <f>SUMIFS(#REF!,#REF!,"&lt;&gt;0",#REF!,"&gt;="&amp;B497,#REF!,"&lt;="&amp;EOMONTH(B497,0))</f>
        <v>#REF!</v>
      </c>
      <c r="G530" s="1069" t="e">
        <f t="shared" si="225"/>
        <v>#REF!</v>
      </c>
      <c r="H530" s="1070" t="e">
        <f ca="1">MINIFS(#REF!,#REF!,"&lt;&gt;0",#REF!,"&gt;="&amp;B497,#REF!,"&lt;="&amp;EOMONTH(B497,0))</f>
        <v>#NAME?</v>
      </c>
      <c r="I530" s="1069" t="e">
        <f ca="1">MAXIFS(#REF!,#REF!,"&lt;&gt;0",#REF!,"&gt;="&amp;B497,#REF!,"&lt;="&amp;EOMONTH(B497,0))</f>
        <v>#NAME?</v>
      </c>
      <c r="J530" s="1072" t="s">
        <v>153</v>
      </c>
      <c r="K530" s="1072" t="s">
        <v>153</v>
      </c>
      <c r="L530" s="1281"/>
      <c r="M530" s="1289"/>
      <c r="N530" s="1328">
        <f>Parametres!$L$39</f>
        <v>100000</v>
      </c>
      <c r="O530" s="1077">
        <f>COUNTIF('Degrémont Entrée'!$U$14:$U$44,"&gt;0")</f>
        <v>4</v>
      </c>
      <c r="P530" s="1078">
        <f>SUMIFS('Degrémont Entrée'!$U$14:$U$379,'Degrémont Entrée'!$U$14:$U$379,"&lt;&gt;0",'Degrémont Entrée'!$A$14:$A$379,"&gt;="&amp;B497,'Degrémont Entrée'!$A$14:$A$379,"&lt;="&amp;EOMONTH(B497,0))</f>
        <v>380</v>
      </c>
      <c r="Q530" s="1283">
        <f t="shared" ref="Q530:Q533" si="239">IF(O530=0,0,P530/O530)</f>
        <v>95</v>
      </c>
      <c r="R530" s="1286" t="e">
        <f ca="1">MINIFS('Degrémont Entrée'!$U$14:$U$379,'Degrémont Entrée'!$U$14:$U$379,"&lt;&gt;0",'Degrémont Entrée'!$A$14:$A$379,"&gt;="&amp;B497,'Degrémont Entrée'!$A$14:$A$379,"&lt;="&amp;EOMONTH(B497,0))</f>
        <v>#NAME?</v>
      </c>
      <c r="S530" s="1286" t="e">
        <f ca="1">MAXIFS('Degrémont Entrée'!$U$14:$U$379,'Degrémont Entrée'!$U$14:$U$379,"&lt;&gt;0",'Degrémont Entrée'!$A$14:$A$379,"&gt;="&amp;B497,'Degrémont Entrée'!$A$14:$A$379,"&lt;="&amp;EOMONTH(B497,0))</f>
        <v>#NAME?</v>
      </c>
      <c r="T530" s="1291" t="s">
        <v>153</v>
      </c>
      <c r="U530" s="1291" t="s">
        <v>153</v>
      </c>
      <c r="V530" s="1285"/>
      <c r="W530" s="1083">
        <f>Parametres!T528</f>
        <v>0</v>
      </c>
      <c r="X530" s="1142">
        <f>COUNTIFS('Degrémont sortie'!$O$14:$O$379,"&gt;0",'Degrémont sortie'!$A$14:$A$379,"&gt;="&amp;B497,'Degrémont sortie'!$A$14:$A$379,"&lt;="&amp;EOMONTH(B497,0))</f>
        <v>4</v>
      </c>
      <c r="Y530" s="1085">
        <f>SUMIFS('Degrémont sortie'!$O$14:$O$379,'Degrémont sortie'!$O$14:$O$379,"&lt;&gt;0",'Degrémont sortie'!$A$14:$A$379,"&gt;="&amp;B497,'Degrémont sortie'!$A$14:$A$379,"&lt;="&amp;EOMONTH(B497,0))</f>
        <v>48.1</v>
      </c>
      <c r="Z530" s="1069">
        <f t="shared" ref="Z530:Z536" si="240">IF(X530=0,0,Y530/X530)</f>
        <v>12.025</v>
      </c>
      <c r="AA530" s="1286" t="e">
        <f ca="1">MINIFS('Degrémont sortie'!$O$14:$O$379,'Degrémont sortie'!$O$14:$O$379,"&lt;&gt;0",'Degrémont sortie'!$A$14:$A$379,"&gt;="&amp;B497,'Degrémont sortie'!$A$14:$A$379,"&lt;="&amp;EOMONTH(B497,0))</f>
        <v>#NAME?</v>
      </c>
      <c r="AB530" s="1286" t="e">
        <f ca="1">MAXIFS('Degrémont sortie'!$O$14:$O$379,'Degrémont sortie'!$O$14:$O$379,"&lt;&gt;0",'Degrémont sortie'!$A$14:$A$379,"&gt;="&amp;B497,'Degrémont sortie'!$A$14:$A$379,"&lt;="&amp;EOMONTH(B497,0))</f>
        <v>#NAME?</v>
      </c>
      <c r="AC530" s="1291" t="s">
        <v>153</v>
      </c>
      <c r="AD530" s="1292" t="s">
        <v>153</v>
      </c>
      <c r="AE530" s="1285"/>
      <c r="AF530" s="1293"/>
      <c r="AG530" s="1293"/>
      <c r="AH530" s="1293"/>
      <c r="AI530" s="1293"/>
      <c r="AJ530" s="1293"/>
      <c r="AK530" s="1285"/>
      <c r="AL530" s="1205" t="e">
        <f>COUNTIFS(#REF!,"&gt;0",#REF!,"&gt;="&amp;B497,#REF!,"&lt;="&amp;EOMONTH(B497,0))</f>
        <v>#REF!</v>
      </c>
      <c r="AM530" s="1208" t="e">
        <f>SUMIFS(#REF!,#REF!,"&lt;&gt;0",#REF!,"&gt;="&amp;B497,#REF!,"&lt;="&amp;EOMONTH(B497,0))</f>
        <v>#REF!</v>
      </c>
      <c r="AN530" s="1208" t="e">
        <f>IF(AL530=0,0,AM530/AL530)</f>
        <v>#REF!</v>
      </c>
      <c r="AO530" s="1141" t="e">
        <f ca="1">MINIFS(#REF!,#REF!,"&lt;&gt;0",#REF!,"&gt;="&amp;B497,#REF!,"&lt;="&amp;EOMONTH(B497,0))</f>
        <v>#NAME?</v>
      </c>
      <c r="AP530" s="1141" t="e">
        <f ca="1">MAXIFS(#REF!,#REF!,"&lt;&gt;0",#REF!,"&gt;="&amp;B497,#REF!,"&lt;="&amp;EOMONTH(B497,0))</f>
        <v>#NAME?</v>
      </c>
      <c r="AQ530" s="1285"/>
      <c r="AR530" s="1293"/>
      <c r="AS530" s="1293"/>
      <c r="AT530" s="1293"/>
      <c r="AU530" s="1293"/>
      <c r="AV530" s="1293"/>
      <c r="AW530" s="1293"/>
      <c r="AX530" s="1294"/>
      <c r="AY530" s="1295"/>
      <c r="AZ530" s="1403" t="e">
        <f t="shared" ref="AZ530:AZ542" si="241">SUM(E530+O530+X530+AF530+AL530+AS530)</f>
        <v>#REF!</v>
      </c>
      <c r="BA530" s="2"/>
    </row>
    <row r="531" spans="1:53" ht="15.75" hidden="1" customHeight="1" outlineLevel="1">
      <c r="A531" s="1027"/>
      <c r="B531" s="1404"/>
      <c r="C531" s="1031" t="s">
        <v>33</v>
      </c>
      <c r="D531" s="1122" t="str">
        <f>Parametres!$D$41</f>
        <v>5,5-8,5</v>
      </c>
      <c r="E531" s="1068" t="e">
        <f>COUNTIFS(#REF!,"&gt;0",#REF!,"&gt;="&amp;B497,#REF!,"&lt;="&amp;EOMONTH(B497,0))</f>
        <v>#REF!</v>
      </c>
      <c r="F531" s="1069" t="e">
        <f>SUMIFS(#REF!,#REF!,"&lt;&gt;0",#REF!,"&gt;="&amp;B497,#REF!,"&lt;="&amp;EOMONTH(B497,0))</f>
        <v>#REF!</v>
      </c>
      <c r="G531" s="1069" t="e">
        <f t="shared" si="225"/>
        <v>#REF!</v>
      </c>
      <c r="H531" s="1070" t="e">
        <f ca="1">MINIFS(#REF!,#REF!,"&lt;&gt;0",#REF!,"&gt;="&amp;B497,#REF!,"&lt;="&amp;EOMONTH(B497,0))</f>
        <v>#NAME?</v>
      </c>
      <c r="I531" s="1069" t="e">
        <f ca="1">MAXIFS(#REF!,#REF!,"&lt;&gt;0",#REF!,"&gt;="&amp;B497,#REF!,"&lt;="&amp;EOMONTH(B497,0))</f>
        <v>#NAME?</v>
      </c>
      <c r="J531" s="1114" t="e">
        <f>COUNTIFS(#REF!,"&lt;="&amp;D531,#REF!,"&gt;="&amp;B497,#REF!,"&lt;="&amp;EOMONTH(B497,0))</f>
        <v>#REF!</v>
      </c>
      <c r="K531" s="1341" t="e">
        <f t="shared" ref="K531:K533" si="242">J531/E531</f>
        <v>#REF!</v>
      </c>
      <c r="L531" s="1281"/>
      <c r="M531" s="1289"/>
      <c r="N531" s="1144">
        <f>Parametres!$L$41</f>
        <v>100000000</v>
      </c>
      <c r="O531" s="1077">
        <f>COUNTIFS('Degrémont Entrée'!$C$14:$C$379,"&gt;0",'Degrémont Entrée'!$A$14:$A$379,"&gt;="&amp;B497,'Degrémont Entrée'!$A$14:$A$379,"&lt;="&amp;EOMONTH(B497,0))</f>
        <v>19</v>
      </c>
      <c r="P531" s="1078">
        <f>SUMIFS('Degrémont Entrée'!$C$14:$C$379,'Degrémont Entrée'!$C$14:$C$379,"&lt;&gt;0",'Degrémont Entrée'!$A$14:$A$379,"&gt;="&amp;B497,'Degrémont Entrée'!$A$14:$A$379,"&lt;="&amp;EOMONTH(B497,0))</f>
        <v>147.80000000000001</v>
      </c>
      <c r="Q531" s="1283">
        <f t="shared" si="239"/>
        <v>7.7789473684210533</v>
      </c>
      <c r="R531" s="1286" t="e">
        <f ca="1">MINIFS('Degrémont Entrée'!$C$14:$C$379,'Degrémont Entrée'!$C$14:$C$379,"&lt;&gt;0",'Degrémont Entrée'!$A$14:$A$379,"&gt;="&amp;B497,'Degrémont Entrée'!$A$14:$A$379,"&lt;="&amp;EOMONTH(B497,0))</f>
        <v>#NAME?</v>
      </c>
      <c r="S531" s="1286" t="e">
        <f ca="1">MAXIFS('Degrémont Entrée'!$C$14:$C$379,'Degrémont Entrée'!$C$14:$C$379,"&lt;&gt;0",'Degrémont Entrée'!$A$14:$A$379,"&gt;="&amp;B497,'Degrémont Entrée'!$A$14:$A$379,"&lt;="&amp;EOMONTH(B497,0))</f>
        <v>#NAME?</v>
      </c>
      <c r="T531" s="1291" t="s">
        <v>153</v>
      </c>
      <c r="U531" s="1291" t="s">
        <v>153</v>
      </c>
      <c r="V531" s="1285"/>
      <c r="W531" s="1083">
        <f>Parametres!$T$41</f>
        <v>100000000</v>
      </c>
      <c r="X531" s="1142">
        <f>COUNTIFS('Degrémont sortie'!$C$14:$C$379,"&gt;0",'Degrémont sortie'!$A$14:$A$379,"&gt;="&amp;B497,'Degrémont sortie'!$A$14:$A$379,"&lt;="&amp;EOMONTH(B497,0))</f>
        <v>19</v>
      </c>
      <c r="Y531" s="1085">
        <f>SUMIFS('Degrémont sortie'!$C$14:$C$379,'Degrémont sortie'!$C$14:$C$379,"&lt;&gt;0",'Degrémont sortie'!$A$14:$A$379,"&gt;="&amp;B497,'Degrémont sortie'!$A$14:$A$379,"&lt;="&amp;EOMONTH(B497,0))</f>
        <v>166.17999999999998</v>
      </c>
      <c r="Z531" s="1069">
        <f t="shared" si="240"/>
        <v>8.7463157894736838</v>
      </c>
      <c r="AA531" s="1286" t="e">
        <f ca="1">MINIFS('Degrémont sortie'!$C$14:$C$379,'Degrémont sortie'!$C$14:$C$379,"&lt;&gt;0",'Degrémont sortie'!$A$14:$A$379,"&gt;="&amp;B497,'Degrémont sortie'!$A$14:$A$379,"&lt;="&amp;EOMONTH(B497,0))</f>
        <v>#NAME?</v>
      </c>
      <c r="AB531" s="1286" t="e">
        <f ca="1">MAXIFS('Degrémont sortie'!$C$14:$C$379,'Degrémont sortie'!$C$14:$C$379,"&lt;&gt;0",'Degrémont sortie'!$A$14:$A$379,"&gt;="&amp;B497,'Degrémont sortie'!$A$14:$A$379,"&lt;="&amp;EOMONTH(B497,0))</f>
        <v>#NAME?</v>
      </c>
      <c r="AC531" s="1291" t="s">
        <v>153</v>
      </c>
      <c r="AD531" s="1292" t="s">
        <v>153</v>
      </c>
      <c r="AE531" s="1285"/>
      <c r="AF531" s="1293"/>
      <c r="AG531" s="1293"/>
      <c r="AH531" s="1293"/>
      <c r="AI531" s="1293"/>
      <c r="AJ531" s="1293"/>
      <c r="AK531" s="1285"/>
      <c r="AL531" s="1293"/>
      <c r="AM531" s="1293"/>
      <c r="AN531" s="1293"/>
      <c r="AO531" s="1293"/>
      <c r="AP531" s="1293"/>
      <c r="AQ531" s="1285"/>
      <c r="AR531" s="1293"/>
      <c r="AS531" s="1293"/>
      <c r="AT531" s="1293"/>
      <c r="AU531" s="1293"/>
      <c r="AV531" s="1293"/>
      <c r="AW531" s="1293"/>
      <c r="AX531" s="1294"/>
      <c r="AY531" s="1295"/>
      <c r="AZ531" s="1403" t="e">
        <f t="shared" si="241"/>
        <v>#REF!</v>
      </c>
      <c r="BA531" s="2"/>
    </row>
    <row r="532" spans="1:53" ht="15.75" hidden="1" customHeight="1" outlineLevel="1">
      <c r="A532" s="1027"/>
      <c r="B532" s="1404"/>
      <c r="C532" s="1031" t="s">
        <v>49</v>
      </c>
      <c r="D532" s="1122">
        <f>Parametres!$D$42</f>
        <v>0.5</v>
      </c>
      <c r="E532" s="1068" t="e">
        <f>COUNTIFS(#REF!,"&gt;0",#REF!,"&gt;="&amp;B497,#REF!,"&lt;="&amp;EOMONTH(B497,0))</f>
        <v>#REF!</v>
      </c>
      <c r="F532" s="1069" t="e">
        <f>SUMIFS(#REF!,#REF!,"&lt;&gt;0",#REF!,"&gt;="&amp;B497,#REF!,"&lt;="&amp;EOMONTH(B497,0))</f>
        <v>#REF!</v>
      </c>
      <c r="G532" s="1069" t="e">
        <f t="shared" si="225"/>
        <v>#REF!</v>
      </c>
      <c r="H532" s="1070" t="e">
        <f ca="1">MINIFS(#REF!,#REF!,"&lt;&gt;0",#REF!,"&gt;="&amp;B497,#REF!,"&lt;="&amp;EOMONTH(B497,0))</f>
        <v>#NAME?</v>
      </c>
      <c r="I532" s="1069" t="e">
        <f ca="1">MAXIFS(#REF!,#REF!,"&lt;&gt;0",#REF!,"&gt;="&amp;B497,#REF!,"&lt;="&amp;EOMONTH(B497,0))</f>
        <v>#NAME?</v>
      </c>
      <c r="J532" s="1114" t="e">
        <f>COUNTIFS(#REF!,"&gt;="&amp;D532,#REF!,"&gt;="&amp;B497,#REF!,"&lt;="&amp;EOMONTH(B497,0))</f>
        <v>#REF!</v>
      </c>
      <c r="K532" s="1341" t="e">
        <f t="shared" si="242"/>
        <v>#REF!</v>
      </c>
      <c r="L532" s="1281"/>
      <c r="M532" s="1289"/>
      <c r="N532" s="1144">
        <f>Parametres!$L$42</f>
        <v>0.3</v>
      </c>
      <c r="O532" s="1077">
        <f>COUNTIFS('Degrémont Entrée'!$BE$14:$BE$379,"&gt;0",'Degrémont Entrée'!$A$14:$A$379,"&gt;="&amp;B497,'Degrémont Entrée'!$A$14:$A$379,"&lt;="&amp;EOMONTH(B497,0))</f>
        <v>4</v>
      </c>
      <c r="P532" s="1078">
        <f>SUMIFS('Degrémont Entrée'!$BE$14:$BE$379,'Degrémont Entrée'!$BE$14:$BE$379,"&lt;&gt;0",'Degrémont Entrée'!$A$14:$A$379,"&gt;="&amp;B497,'Degrémont Entrée'!$A$14:$A$379,"&lt;="&amp;EOMONTH(B497,0))</f>
        <v>0.63</v>
      </c>
      <c r="Q532" s="1283">
        <f t="shared" si="239"/>
        <v>0.1575</v>
      </c>
      <c r="R532" s="1286" t="e">
        <f ca="1">MINIFS('Degrémont Entrée'!$BE$14:$BE$379,'Degrémont Entrée'!$BE$14:$BE$379,"&lt;&gt;0",'Degrémont Entrée'!$A$14:$A$379,"&gt;="&amp;B497,'Degrémont Entrée'!$A$14:$A$379,"&lt;="&amp;EOMONTH(B497,0))</f>
        <v>#NAME?</v>
      </c>
      <c r="S532" s="1286" t="e">
        <f ca="1">MAXIFS('Degrémont Entrée'!$BE$14:$BE$379,'Degrémont Entrée'!$BE$14:$BE$379,"&lt;&gt;0",'Degrémont Entrée'!$A$14:$A$379,"&gt;="&amp;B497,'Degrémont Entrée'!$A$14:$A$379,"&lt;="&amp;EOMONTH(B497,0))</f>
        <v>#NAME?</v>
      </c>
      <c r="T532" s="1141">
        <f>COUNTIFS('Degrémont Entrée'!$BE$14:$BE$379,"&gt;="&amp;N532,'Degrémont Entrée'!$A$14:$A$379,"&gt;="&amp;B497,'Degrémont Entrée'!$A$14:$A$379,"&lt;="&amp;EOMONTH(B497,0))</f>
        <v>0</v>
      </c>
      <c r="U532" s="1081">
        <f t="shared" ref="U532:U533" si="243">T532/O532</f>
        <v>0</v>
      </c>
      <c r="V532" s="1285"/>
      <c r="W532" s="1083">
        <f>Parametres!$T$42</f>
        <v>0.08</v>
      </c>
      <c r="X532" s="1142">
        <f>COUNTIFS('Degrémont sortie'!$AY$14:$AY$379,"&gt;0",'Degrémont sortie'!$A$14:$A$379,"&gt;="&amp;B497,'Degrémont sortie'!$A$14:$A$379,"&lt;="&amp;EOMONTH(B497,0))</f>
        <v>4</v>
      </c>
      <c r="Y532" s="1085">
        <f>SUMIFS('Degrémont sortie'!$AY$14:$AY$379,'Degrémont sortie'!$AY$14:$AY$379,"&lt;&gt;0",'Degrémont sortie'!$A$14:$A$379,"&gt;="&amp;B497,'Degrémont sortie'!$A$14:$A$379,"&lt;="&amp;EOMONTH(B497,0))</f>
        <v>1.6E-2</v>
      </c>
      <c r="Z532" s="1069">
        <f t="shared" si="240"/>
        <v>4.0000000000000001E-3</v>
      </c>
      <c r="AA532" s="1286" t="e">
        <f ca="1">MINIFS('Degrémont sortie'!$AY$14:$AY$379,'Degrémont sortie'!$AY$14:$AY$379,"&lt;&gt;0",'Degrémont sortie'!$A$14:$A$379,"&gt;="&amp;B497,'Degrémont sortie'!$A$14:$A$379,"&lt;="&amp;EOMONTH(B497,0))</f>
        <v>#NAME?</v>
      </c>
      <c r="AB532" s="1286" t="e">
        <f ca="1">MAXIFS('Degrémont sortie'!$AY$14:$AY$379,'Degrémont sortie'!$AY$14:$AY$379,"&lt;&gt;0",'Degrémont sortie'!$A$14:$A$379,"&gt;="&amp;B497,'Degrémont sortie'!$A$14:$A$379,"&lt;="&amp;EOMONTH(B497,0))</f>
        <v>#NAME?</v>
      </c>
      <c r="AC532" s="1141">
        <f>COUNTIFS('Degrémont sortie'!$AY$14:$AY$379,"&gt;="&amp;W532,'Degrémont sortie'!$A$14:$A$379,"&gt;="&amp;B497,'Degrémont sortie'!$A$14:$A$379,"&lt;="&amp;EOMONTH(B497,0))</f>
        <v>0</v>
      </c>
      <c r="AD532" s="1087">
        <f t="shared" ref="AD532:AD533" si="244">AC532/X532</f>
        <v>0</v>
      </c>
      <c r="AE532" s="1285"/>
      <c r="AF532" s="1293"/>
      <c r="AG532" s="1293"/>
      <c r="AH532" s="1293"/>
      <c r="AI532" s="1293"/>
      <c r="AJ532" s="1293"/>
      <c r="AK532" s="1285"/>
      <c r="AL532" s="1293"/>
      <c r="AM532" s="1293"/>
      <c r="AN532" s="1293"/>
      <c r="AO532" s="1293"/>
      <c r="AP532" s="1293"/>
      <c r="AQ532" s="1285"/>
      <c r="AR532" s="1293"/>
      <c r="AS532" s="1293"/>
      <c r="AT532" s="1293"/>
      <c r="AU532" s="1293"/>
      <c r="AV532" s="1293"/>
      <c r="AW532" s="1293"/>
      <c r="AX532" s="1294"/>
      <c r="AY532" s="1295"/>
      <c r="AZ532" s="1403" t="e">
        <f t="shared" si="241"/>
        <v>#REF!</v>
      </c>
      <c r="BA532" s="2"/>
    </row>
    <row r="533" spans="1:53" ht="15.75" hidden="1" customHeight="1" outlineLevel="1">
      <c r="A533" s="1027"/>
      <c r="B533" s="1404"/>
      <c r="C533" s="1031" t="s">
        <v>37</v>
      </c>
      <c r="D533" s="1122">
        <f>Parametres!$D$43</f>
        <v>15</v>
      </c>
      <c r="E533" s="1069"/>
      <c r="F533" s="1069"/>
      <c r="G533" s="1069">
        <f t="shared" si="225"/>
        <v>0</v>
      </c>
      <c r="H533" s="1070" t="e">
        <f ca="1">MINIFS(#REF!,#REF!,"&lt;&gt;0",#REF!,"&gt;="&amp;B497,#REF!,"&lt;="&amp;EOMONTH(B497,0))</f>
        <v>#NAME?</v>
      </c>
      <c r="I533" s="1069" t="e">
        <f ca="1">MAXIFS(#REF!,#REF!,"&lt;&gt;0",#REF!,"&gt;="&amp;B497,#REF!,"&lt;="&amp;EOMONTH(B497,0))</f>
        <v>#NAME?</v>
      </c>
      <c r="J533" s="1114" t="e">
        <f>COUNTIFS(#REF!,"&gt;="&amp;D533,#REF!,"&gt;="&amp;B498,#REF!,"&lt;="&amp;EOMONTH(B498,0))</f>
        <v>#REF!</v>
      </c>
      <c r="K533" s="1341" t="e">
        <f t="shared" si="242"/>
        <v>#REF!</v>
      </c>
      <c r="L533" s="1281"/>
      <c r="M533" s="1289"/>
      <c r="N533" s="1144">
        <f>Parametres!$L$43</f>
        <v>500</v>
      </c>
      <c r="O533" s="1077">
        <f>COUNTIFS('Degrémont Entrée'!$S$14:$S$379,"&gt;0",'Degrémont Entrée'!$A$14:$A$379,"&gt;="&amp;B497,'Degrémont Entrée'!$A$14:$A$379,"&lt;="&amp;EOMONTH(B497,0))</f>
        <v>19</v>
      </c>
      <c r="P533" s="1078">
        <f>SUMIFS('Degrémont Entrée'!$S$14:$S$379,'Degrémont Entrée'!$S$14:$S$379,"&lt;&gt;0",'Degrémont Entrée'!$A$14:$A$379,"&gt;="&amp;B497,'Degrémont Entrée'!$A$14:$A$379,"&lt;="&amp;EOMONTH(B497,0))</f>
        <v>6822.9</v>
      </c>
      <c r="Q533" s="1283">
        <f t="shared" si="239"/>
        <v>359.09999999999997</v>
      </c>
      <c r="R533" s="1286" t="e">
        <f ca="1">MINIFS('Degrémont Entrée'!$S$14:$S$379,'Degrémont Entrée'!$S$14:$S$379,"&lt;&gt;0",'Degrémont Entrée'!$A$14:$A$379,"&gt;="&amp;B497,'Degrémont Entrée'!$A$14:$A$379,"&lt;="&amp;EOMONTH(B497,0))</f>
        <v>#NAME?</v>
      </c>
      <c r="S533" s="1286" t="e">
        <f ca="1">MAXIFS('Degrémont Entrée'!$S$14:$S$379,'Degrémont Entrée'!$S$14:$S$379,"&lt;&gt;0",'Degrémont Entrée'!$A$14:$A$379,"&gt;="&amp;B497,'Degrémont Entrée'!$A$14:$A$379,"&lt;="&amp;EOMONTH(B497,0))</f>
        <v>#NAME?</v>
      </c>
      <c r="T533" s="1141">
        <f>COUNTIFS('Degrémont Entrée'!$S$14:$S$379,"&gt;="&amp;N533,'Degrémont Entrée'!$A$14:$A$379,"&gt;="&amp;B497,'Degrémont Entrée'!$A$14:$A$379,"&lt;="&amp;EOMONTH(B497,0))</f>
        <v>3</v>
      </c>
      <c r="U533" s="1081">
        <f t="shared" si="243"/>
        <v>0.15789473684210525</v>
      </c>
      <c r="V533" s="1285"/>
      <c r="W533" s="1083">
        <f>Parametres!$T$43</f>
        <v>20</v>
      </c>
      <c r="X533" s="1142">
        <f>COUNTIFS('Degrémont sortie'!$M$14:$M$379,"&gt;0",'Degrémont sortie'!$A$14:$A$379,"&gt;="&amp;B497,'Degrémont sortie'!$A$14:$A$379,"&lt;="&amp;EOMONTH(B497,0))</f>
        <v>19</v>
      </c>
      <c r="Y533" s="1085">
        <f>SUMIFS('Degrémont sortie'!$M$14:$M$379,'Degrémont sortie'!$M$14:$M$379,"&lt;&gt;0",'Degrémont sortie'!$A$14:$A$379,"&gt;="&amp;B497,'Degrémont sortie'!$A$14:$A$379,"&lt;="&amp;EOMONTH(B497,0))</f>
        <v>27.64</v>
      </c>
      <c r="Z533" s="1069">
        <f t="shared" si="240"/>
        <v>1.4547368421052631</v>
      </c>
      <c r="AA533" s="1286" t="e">
        <f ca="1">MINIFS('Degrémont sortie'!$M$14:$M$379,'Degrémont sortie'!$M$14:$M$379,"&lt;&gt;0",'Degrémont sortie'!$A$14:$A$379,"&gt;="&amp;B497,'Degrémont sortie'!$A$14:$A$379,"&lt;="&amp;EOMONTH(B497,0))</f>
        <v>#NAME?</v>
      </c>
      <c r="AB533" s="1286" t="e">
        <f ca="1">MAXIFS('Degrémont sortie'!$M$14:$M$379,'Degrémont sortie'!$M$14:$M$379,"&lt;&gt;0",'Degrémont sortie'!$A$14:$A$379,"&gt;="&amp;B497,'Degrémont sortie'!$A$14:$A$379,"&lt;="&amp;EOMONTH(B497,0))</f>
        <v>#NAME?</v>
      </c>
      <c r="AC533" s="1141">
        <f>COUNTIFS('Degrémont sortie'!$M$14:$M$379,"&gt;="&amp;W533,'Degrémont sortie'!$A$14:$A$379,"&gt;="&amp;B497,'Degrémont sortie'!$A$14:$A$379,"&lt;="&amp;EOMONTH(B497,0))</f>
        <v>0</v>
      </c>
      <c r="AD533" s="1087">
        <f t="shared" si="244"/>
        <v>0</v>
      </c>
      <c r="AE533" s="1285"/>
      <c r="AF533" s="1293"/>
      <c r="AG533" s="1293"/>
      <c r="AH533" s="1293"/>
      <c r="AI533" s="1293"/>
      <c r="AJ533" s="1293"/>
      <c r="AK533" s="1285"/>
      <c r="AL533" s="1205" t="e">
        <f>COUNTIFS(#REF!,"&gt;0",#REF!,"&gt;="&amp;B497,#REF!,"&lt;="&amp;EOMONTH(B497,0))</f>
        <v>#REF!</v>
      </c>
      <c r="AM533" s="1208" t="e">
        <f>SUMIFS(#REF!,#REF!,"&lt;&gt;0",#REF!,"&gt;="&amp;B497,#REF!,"&lt;="&amp;EOMONTH(B497,0))</f>
        <v>#REF!</v>
      </c>
      <c r="AN533" s="1208" t="e">
        <f t="shared" ref="AN533:AN535" si="245">IF(AL533=0,0,AM533/AL533)</f>
        <v>#REF!</v>
      </c>
      <c r="AO533" s="1141" t="e">
        <f ca="1">MINIFS(#REF!,#REF!,"&lt;&gt;0",#REF!,"&gt;="&amp;B497,#REF!,"&lt;="&amp;EOMONTH(B497,0))</f>
        <v>#NAME?</v>
      </c>
      <c r="AP533" s="1141" t="e">
        <f ca="1">MAXIFS(#REF!,#REF!,"&lt;&gt;0",#REF!,"&gt;="&amp;B497,#REF!,"&lt;="&amp;EOMONTH(B497,0))</f>
        <v>#NAME?</v>
      </c>
      <c r="AQ533" s="1285"/>
      <c r="AR533" s="1293"/>
      <c r="AS533" s="1293"/>
      <c r="AT533" s="1293"/>
      <c r="AU533" s="1293"/>
      <c r="AV533" s="1293"/>
      <c r="AW533" s="1293"/>
      <c r="AX533" s="1294"/>
      <c r="AY533" s="1295"/>
      <c r="AZ533" s="1403" t="e">
        <f t="shared" si="241"/>
        <v>#REF!</v>
      </c>
      <c r="BA533" s="2"/>
    </row>
    <row r="534" spans="1:53" ht="15.75" hidden="1" customHeight="1" outlineLevel="1">
      <c r="A534" s="1027"/>
      <c r="B534" s="1404"/>
      <c r="C534" s="1031" t="s">
        <v>301</v>
      </c>
      <c r="D534" s="1102"/>
      <c r="E534" s="1069"/>
      <c r="F534" s="1069"/>
      <c r="G534" s="1069"/>
      <c r="H534" s="1069"/>
      <c r="I534" s="1069"/>
      <c r="J534" s="1102"/>
      <c r="K534" s="1102"/>
      <c r="L534" s="1281"/>
      <c r="M534" s="1289"/>
      <c r="N534" s="1290"/>
      <c r="O534" s="1290"/>
      <c r="P534" s="1286"/>
      <c r="Q534" s="1283"/>
      <c r="R534" s="1286"/>
      <c r="S534" s="1286"/>
      <c r="T534" s="1290"/>
      <c r="U534" s="1290"/>
      <c r="V534" s="1285"/>
      <c r="W534" s="1083">
        <f>Parametres!$T$44</f>
        <v>100000</v>
      </c>
      <c r="X534" s="1329">
        <f>COUNTIFS('Degrémont sortie'!$BA$14:$BA$379,"&gt;0",'Degrémont sortie'!$A$14:$A$379,"&gt;="&amp;B497,'Degrémont sortie'!$A$14:$A$379,"&lt;="&amp;EOMONTH(B497,0))</f>
        <v>19</v>
      </c>
      <c r="Y534" s="1286" t="e">
        <f>SUMIFS('Degrémont sortie'!$BA$14:$BA$379,'Degrémont sortie'!$BA$14:$BA$379,"&lt;&gt;0",'Degrémont sortie'!$A$14:$A$379,"&gt;="&amp;B497,'Degrémont sortie'!$A$14:$A$379,"&lt;="&amp;EOMONTH(B497,0))</f>
        <v>#DIV/0!</v>
      </c>
      <c r="Z534" s="1069" t="e">
        <f t="shared" si="240"/>
        <v>#DIV/0!</v>
      </c>
      <c r="AA534" s="1286" t="e">
        <f ca="1">MINIFS('Degrémont sortie'!$BA$14:$BA$379,'Degrémont sortie'!$BA$14:$BA$379,"&lt;&gt;0",'Degrémont sortie'!$A$14:$A$379,"&gt;="&amp;B497,'Degrémont sortie'!$A$14:$A$379,"&lt;="&amp;EOMONTH(B497,0))</f>
        <v>#NAME?</v>
      </c>
      <c r="AB534" s="1286" t="e">
        <f ca="1">MAXIFS('Degrémont sortie'!$BA$14:$BA$379,'Degrémont sortie'!$BA$14:$BA$379,"&lt;&gt;0",'Degrémont sortie'!$A$14:$A$379,"&gt;="&amp;B497,'Degrémont sortie'!$A$14:$A$379,"&lt;="&amp;EOMONTH(B497,0))</f>
        <v>#NAME?</v>
      </c>
      <c r="AC534" s="1213" t="s">
        <v>153</v>
      </c>
      <c r="AD534" s="1330" t="s">
        <v>153</v>
      </c>
      <c r="AE534" s="1285"/>
      <c r="AF534" s="1293"/>
      <c r="AG534" s="1293"/>
      <c r="AH534" s="1293"/>
      <c r="AI534" s="1293"/>
      <c r="AJ534" s="1293"/>
      <c r="AK534" s="1285"/>
      <c r="AL534" s="1205" t="e">
        <f>COUNTIFS(#REF!,"&gt;0",#REF!,"&gt;="&amp;B497,#REF!,"&lt;="&amp;EOMONTH(B497,0))</f>
        <v>#REF!</v>
      </c>
      <c r="AM534" s="1208" t="e">
        <f>SUMIFS(#REF!,#REF!,"&lt;&gt;0",#REF!,"&gt;="&amp;B497,#REF!,"&lt;="&amp;EOMONTH(B497,0))</f>
        <v>#REF!</v>
      </c>
      <c r="AN534" s="1208" t="e">
        <f t="shared" si="245"/>
        <v>#REF!</v>
      </c>
      <c r="AO534" s="1208" t="e">
        <f ca="1">MINIFS(#REF!,#REF!,"&lt;&gt;0",#REF!,"&gt;="&amp;B497,#REF!,"&lt;="&amp;EOMONTH(B497,0))</f>
        <v>#NAME?</v>
      </c>
      <c r="AP534" s="1208" t="e">
        <f ca="1">MAXIFS(#REF!,#REF!,"&lt;&gt;0",#REF!,"&gt;="&amp;B497,#REF!,"&lt;="&amp;EOMONTH(B497,0))</f>
        <v>#NAME?</v>
      </c>
      <c r="AQ534" s="1285"/>
      <c r="AR534" s="1293"/>
      <c r="AS534" s="1293"/>
      <c r="AT534" s="1293"/>
      <c r="AU534" s="1293"/>
      <c r="AV534" s="1293"/>
      <c r="AW534" s="1293"/>
      <c r="AX534" s="1294"/>
      <c r="AY534" s="1295"/>
      <c r="AZ534" s="1403" t="e">
        <f t="shared" si="241"/>
        <v>#REF!</v>
      </c>
      <c r="BA534" s="2"/>
    </row>
    <row r="535" spans="1:53" ht="15.75" hidden="1" customHeight="1" outlineLevel="1">
      <c r="A535" s="1027"/>
      <c r="B535" s="1404"/>
      <c r="C535" s="1031" t="s">
        <v>302</v>
      </c>
      <c r="D535" s="1102"/>
      <c r="E535" s="1069"/>
      <c r="F535" s="1069"/>
      <c r="G535" s="1069"/>
      <c r="H535" s="1069"/>
      <c r="I535" s="1069"/>
      <c r="J535" s="1102"/>
      <c r="K535" s="1102"/>
      <c r="L535" s="1281"/>
      <c r="M535" s="1289"/>
      <c r="N535" s="1290"/>
      <c r="O535" s="1290"/>
      <c r="P535" s="1286"/>
      <c r="Q535" s="1283"/>
      <c r="R535" s="1286"/>
      <c r="S535" s="1286"/>
      <c r="T535" s="1290"/>
      <c r="U535" s="1290"/>
      <c r="V535" s="1285"/>
      <c r="W535" s="1083">
        <f>Parametres!$T$45</f>
        <v>10000</v>
      </c>
      <c r="X535" s="1331">
        <f>COUNTIFS('Degrémont sortie'!BB$14:BB$379,"&gt;0",'Degrémont sortie'!$A$14:$A$379,"&gt;="&amp;B497,'Degrémont sortie'!$A$14:$A$379,"&lt;="&amp;EOMONTH(B497,0))</f>
        <v>19</v>
      </c>
      <c r="Y535" s="1286" t="e">
        <f>SUMIFS('Degrémont sortie'!$BB$14:$BB$379,'Degrémont sortie'!$BB$14:$BB$379,"&lt;&gt;0",'Degrémont sortie'!$A$14:$A$379,"&gt;="&amp;B497,'Degrémont sortie'!$A$14:$A$379,"&lt;="&amp;EOMONTH(B497,0))</f>
        <v>#DIV/0!</v>
      </c>
      <c r="Z535" s="1069" t="e">
        <f t="shared" si="240"/>
        <v>#DIV/0!</v>
      </c>
      <c r="AA535" s="1286" t="e">
        <f ca="1">MINIFS('Degrémont sortie'!$BB$14:$BB$379,'Degrémont sortie'!$BB$14:$BB$379,"&lt;&gt;0",'Degrémont sortie'!$A$14:$A$379,"&gt;="&amp;B497,'Degrémont sortie'!$A$14:$A$379,"&lt;="&amp;EOMONTH(B497,0))</f>
        <v>#NAME?</v>
      </c>
      <c r="AB535" s="1286" t="e">
        <f ca="1">MAXIFS('Degrémont sortie'!$BB$14:$BB$379,'Degrémont sortie'!$BB$14:$BB$379,"&lt;&gt;0",'Degrémont sortie'!$A$14:$A$379,"&gt;="&amp;B497,'Degrémont sortie'!$A$14:$A$379,"&lt;="&amp;EOMONTH(B497,0))</f>
        <v>#NAME?</v>
      </c>
      <c r="AC535" s="1213" t="s">
        <v>153</v>
      </c>
      <c r="AD535" s="1330" t="s">
        <v>153</v>
      </c>
      <c r="AE535" s="1285"/>
      <c r="AF535" s="1293"/>
      <c r="AG535" s="1293"/>
      <c r="AH535" s="1293"/>
      <c r="AI535" s="1293"/>
      <c r="AJ535" s="1293"/>
      <c r="AK535" s="1285"/>
      <c r="AL535" s="1205" t="e">
        <f>COUNTIFS(#REF!,"&gt;0",#REF!,"&gt;="&amp;B497,#REF!,"&lt;="&amp;EOMONTH(B497,0))</f>
        <v>#REF!</v>
      </c>
      <c r="AM535" s="1208" t="e">
        <f>SUMIFS(#REF!,#REF!,"&lt;&gt;0",#REF!,"&gt;="&amp;B497,#REF!,"&lt;="&amp;EOMONTH(B497,0))</f>
        <v>#REF!</v>
      </c>
      <c r="AN535" s="1208" t="e">
        <f t="shared" si="245"/>
        <v>#REF!</v>
      </c>
      <c r="AO535" s="1208" t="e">
        <f ca="1">MINIFS(#REF!,#REF!,"&lt;&gt;0",#REF!,"&gt;="&amp;B497,#REF!,"&lt;="&amp;EOMONTH(B497,0))</f>
        <v>#NAME?</v>
      </c>
      <c r="AP535" s="1208" t="e">
        <f ca="1">MAXIFS(#REF!,#REF!,"&lt;&gt;0",#REF!,"&gt;="&amp;B497,#REF!,"&lt;="&amp;EOMONTH(B497,0))</f>
        <v>#NAME?</v>
      </c>
      <c r="AQ535" s="1285"/>
      <c r="AR535" s="1293"/>
      <c r="AS535" s="1293"/>
      <c r="AT535" s="1293"/>
      <c r="AU535" s="1293"/>
      <c r="AV535" s="1293"/>
      <c r="AW535" s="1293"/>
      <c r="AX535" s="1294"/>
      <c r="AY535" s="1295"/>
      <c r="AZ535" s="1403" t="e">
        <f t="shared" si="241"/>
        <v>#REF!</v>
      </c>
      <c r="BA535" s="2"/>
    </row>
    <row r="536" spans="1:53" ht="15.75" hidden="1" customHeight="1" outlineLevel="1">
      <c r="A536" s="1027"/>
      <c r="B536" s="1404"/>
      <c r="C536" s="1031" t="s">
        <v>303</v>
      </c>
      <c r="D536" s="1102"/>
      <c r="E536" s="1069"/>
      <c r="F536" s="1069"/>
      <c r="G536" s="1069"/>
      <c r="H536" s="1069"/>
      <c r="I536" s="1069"/>
      <c r="J536" s="1102"/>
      <c r="K536" s="1102"/>
      <c r="L536" s="1281"/>
      <c r="M536" s="1289"/>
      <c r="N536" s="1290"/>
      <c r="O536" s="1290"/>
      <c r="P536" s="1286"/>
      <c r="Q536" s="1283"/>
      <c r="R536" s="1286"/>
      <c r="S536" s="1286"/>
      <c r="T536" s="1290"/>
      <c r="U536" s="1290"/>
      <c r="V536" s="1285"/>
      <c r="W536" s="1083">
        <f>Parametres!$T$46</f>
        <v>10000</v>
      </c>
      <c r="X536" s="1142">
        <f>COUNTIFS('Degrémont sortie'!$BC$14:$BC$379,"&gt;0",'Degrémont sortie'!$A$14:$A$379,"&gt;="&amp;B497,'Degrémont sortie'!$A$14:$A$379,"&lt;="&amp;EOMONTH(B497,0))</f>
        <v>19</v>
      </c>
      <c r="Y536" s="1085">
        <f>SUMIFS('Degrémont sortie'!$BC$14:$BC$379,'Degrémont sortie'!$BC$14:$BC$379,"&lt;&gt;0",'Degrémont sortie'!$A$14:$A$379,"&gt;="&amp;B497,'Degrémont sortie'!$A$14:$A$379,"&lt;="&amp;EOMONTH(B497,0))</f>
        <v>1887.3674465317088</v>
      </c>
      <c r="Z536" s="1069">
        <f t="shared" si="240"/>
        <v>99.335128764826777</v>
      </c>
      <c r="AA536" s="1286" t="e">
        <f ca="1">MINIFS('Degrémont sortie'!$BC$14:$BC$379,'Degrémont sortie'!$BC$14:$BC$379,"&lt;&gt;0",'Degrémont sortie'!$A$14:$A$379,"&gt;="&amp;B497,'Degrémont sortie'!$A$14:$A$379,"&lt;="&amp;EOMONTH(B497,0))</f>
        <v>#NAME?</v>
      </c>
      <c r="AB536" s="1286" t="e">
        <f ca="1">MAXIFS('Degrémont sortie'!$BC$14:$BC$379,'Degrémont sortie'!$BC$14:$BC$379,"&lt;&gt;0",'Degrémont sortie'!$A$14:$A$379,"&gt;="&amp;B497,'Degrémont sortie'!$A$14:$A$379,"&lt;="&amp;EOMONTH(B497,0))</f>
        <v>#NAME?</v>
      </c>
      <c r="AC536" s="1291" t="s">
        <v>153</v>
      </c>
      <c r="AD536" s="1292" t="s">
        <v>153</v>
      </c>
      <c r="AE536" s="1285"/>
      <c r="AF536" s="1293"/>
      <c r="AG536" s="1293"/>
      <c r="AH536" s="1293"/>
      <c r="AI536" s="1293"/>
      <c r="AJ536" s="1293"/>
      <c r="AK536" s="1285"/>
      <c r="AL536" s="1293"/>
      <c r="AM536" s="1293"/>
      <c r="AN536" s="1293"/>
      <c r="AO536" s="1293"/>
      <c r="AP536" s="1293"/>
      <c r="AQ536" s="1285"/>
      <c r="AR536" s="1293"/>
      <c r="AS536" s="1293"/>
      <c r="AT536" s="1293"/>
      <c r="AU536" s="1293"/>
      <c r="AV536" s="1293"/>
      <c r="AW536" s="1293"/>
      <c r="AX536" s="1294"/>
      <c r="AY536" s="1295"/>
      <c r="AZ536" s="1403">
        <f t="shared" si="241"/>
        <v>19</v>
      </c>
      <c r="BA536" s="2"/>
    </row>
    <row r="537" spans="1:53" ht="15.75" hidden="1" customHeight="1" outlineLevel="1">
      <c r="A537" s="1027"/>
      <c r="B537" s="1404"/>
      <c r="C537" s="1031" t="s">
        <v>338</v>
      </c>
      <c r="D537" s="1102"/>
      <c r="E537" s="1069"/>
      <c r="F537" s="1069"/>
      <c r="G537" s="1069"/>
      <c r="H537" s="1069"/>
      <c r="I537" s="1069"/>
      <c r="J537" s="1102"/>
      <c r="K537" s="1102"/>
      <c r="L537" s="1281"/>
      <c r="M537" s="1289"/>
      <c r="N537" s="1290"/>
      <c r="O537" s="1290"/>
      <c r="P537" s="1286"/>
      <c r="Q537" s="1283"/>
      <c r="R537" s="1286"/>
      <c r="S537" s="1286"/>
      <c r="T537" s="1290"/>
      <c r="U537" s="1290"/>
      <c r="V537" s="1285"/>
      <c r="W537" s="1293"/>
      <c r="X537" s="1293"/>
      <c r="Y537" s="1286"/>
      <c r="Z537" s="1286"/>
      <c r="AA537" s="1286"/>
      <c r="AB537" s="1286"/>
      <c r="AC537" s="1293"/>
      <c r="AD537" s="1249"/>
      <c r="AE537" s="1285"/>
      <c r="AF537" s="1293"/>
      <c r="AG537" s="1293"/>
      <c r="AH537" s="1293"/>
      <c r="AI537" s="1293"/>
      <c r="AJ537" s="1293"/>
      <c r="AK537" s="1285"/>
      <c r="AL537" s="1293"/>
      <c r="AM537" s="1293"/>
      <c r="AN537" s="1293"/>
      <c r="AO537" s="1293"/>
      <c r="AP537" s="1293"/>
      <c r="AQ537" s="1285"/>
      <c r="AR537" s="1293"/>
      <c r="AS537" s="1293"/>
      <c r="AT537" s="1293"/>
      <c r="AU537" s="1293"/>
      <c r="AV537" s="1293"/>
      <c r="AW537" s="1293"/>
      <c r="AX537" s="1294"/>
      <c r="AY537" s="1295"/>
      <c r="AZ537" s="1403">
        <f t="shared" si="241"/>
        <v>0</v>
      </c>
      <c r="BA537" s="2"/>
    </row>
    <row r="538" spans="1:53" ht="15.75" hidden="1" customHeight="1" outlineLevel="1">
      <c r="A538" s="1027"/>
      <c r="B538" s="1404"/>
      <c r="C538" s="1031" t="s">
        <v>339</v>
      </c>
      <c r="D538" s="1122">
        <f>Parametres!$D$48</f>
        <v>30</v>
      </c>
      <c r="E538" s="1068" t="e">
        <f>COUNTIFS(#REF!,"&gt;0",#REF!,"&gt;="&amp;B497,#REF!,"&lt;="&amp;EOMONTH(B497,0))</f>
        <v>#REF!</v>
      </c>
      <c r="F538" s="1069" t="e">
        <f>SUMIFS(#REF!,#REF!,"&lt;&gt;0",#REF!,"&gt;="&amp;B497,#REF!,"&lt;="&amp;EOMONTH(B497,0))</f>
        <v>#REF!</v>
      </c>
      <c r="G538" s="1069" t="e">
        <f t="shared" ref="G538:G542" si="246">IF(E538=0,0,F538/E538)</f>
        <v>#REF!</v>
      </c>
      <c r="H538" s="1069" t="e">
        <f ca="1">MINIFS(#REF!,#REF!,"&lt;&gt;0",#REF!,"&gt;="&amp;B497,#REF!,"&lt;="&amp;EOMONTH(B497,0))</f>
        <v>#NAME?</v>
      </c>
      <c r="I538" s="1069" t="e">
        <f ca="1">MAXIFS(#REF!,#REF!,"&lt;&gt;0",#REF!,"&gt;="&amp;B497,#REF!,"&lt;="&amp;EOMONTH(B497,0))</f>
        <v>#NAME?</v>
      </c>
      <c r="J538" s="1114" t="e">
        <f>COUNTIFS(#REF!,"&gt;="&amp;D538,#REF!,"&gt;="&amp;B497,#REF!,"&lt;="&amp;EOMONTH(B497,0))</f>
        <v>#REF!</v>
      </c>
      <c r="K538" s="1341" t="e">
        <f t="shared" ref="K538:K542" si="247">J538/E538</f>
        <v>#REF!</v>
      </c>
      <c r="L538" s="1281"/>
      <c r="M538" s="1289"/>
      <c r="N538" s="1290"/>
      <c r="O538" s="1290"/>
      <c r="P538" s="1286"/>
      <c r="Q538" s="1283"/>
      <c r="R538" s="1286"/>
      <c r="S538" s="1286"/>
      <c r="T538" s="1290"/>
      <c r="U538" s="1290"/>
      <c r="V538" s="1285"/>
      <c r="W538" s="1293"/>
      <c r="X538" s="1293"/>
      <c r="Y538" s="1286"/>
      <c r="Z538" s="1286"/>
      <c r="AA538" s="1286"/>
      <c r="AB538" s="1286"/>
      <c r="AC538" s="1293"/>
      <c r="AD538" s="1249"/>
      <c r="AE538" s="1285"/>
      <c r="AF538" s="1293"/>
      <c r="AG538" s="1293"/>
      <c r="AH538" s="1293"/>
      <c r="AI538" s="1293"/>
      <c r="AJ538" s="1293"/>
      <c r="AK538" s="1285"/>
      <c r="AL538" s="1293"/>
      <c r="AM538" s="1293"/>
      <c r="AN538" s="1293"/>
      <c r="AO538" s="1293"/>
      <c r="AP538" s="1293"/>
      <c r="AQ538" s="1285"/>
      <c r="AR538" s="1293"/>
      <c r="AS538" s="1293"/>
      <c r="AT538" s="1293"/>
      <c r="AU538" s="1293"/>
      <c r="AV538" s="1293"/>
      <c r="AW538" s="1293"/>
      <c r="AX538" s="1294"/>
      <c r="AY538" s="1295"/>
      <c r="AZ538" s="1403" t="e">
        <f t="shared" si="241"/>
        <v>#REF!</v>
      </c>
      <c r="BA538" s="2"/>
    </row>
    <row r="539" spans="1:53" ht="15.75" hidden="1" customHeight="1" outlineLevel="1">
      <c r="A539" s="1027"/>
      <c r="B539" s="1404"/>
      <c r="C539" s="1029" t="s">
        <v>24</v>
      </c>
      <c r="D539" s="1122">
        <f>Parametres!$D$50</f>
        <v>4</v>
      </c>
      <c r="E539" s="1068" t="e">
        <f>COUNTIFS(#REF!,"&gt;0",#REF!,"&gt;="&amp;B497,#REF!,"&lt;="&amp;EOMONTH(B497,0))</f>
        <v>#REF!</v>
      </c>
      <c r="F539" s="1069" t="e">
        <f>SUMIFS(#REF!,#REF!,"&lt;&gt;0",#REF!,"&gt;="&amp;B497,#REF!,"&lt;="&amp;EOMONTH(B497,0))</f>
        <v>#REF!</v>
      </c>
      <c r="G539" s="1069" t="e">
        <f t="shared" si="246"/>
        <v>#REF!</v>
      </c>
      <c r="H539" s="1069" t="e">
        <f ca="1">MINIFS(#REF!,#REF!,"&lt;&gt;0",#REF!,"&gt;="&amp;B497,#REF!,"&lt;="&amp;EOMONTH(B497,0))</f>
        <v>#NAME?</v>
      </c>
      <c r="I539" s="1069" t="e">
        <f ca="1">MAXIFS(#REF!,#REF!,"&lt;&gt;0",#REF!,"&gt;="&amp;B497,#REF!,"&lt;="&amp;EOMONTH(B497,0))</f>
        <v>#NAME?</v>
      </c>
      <c r="J539" s="1114" t="e">
        <f>COUNTIFS(#REF!,"&gt;="&amp;D539,#REF!,"&gt;="&amp;B497,#REF!,"&lt;="&amp;EOMONTH(B497,0))</f>
        <v>#REF!</v>
      </c>
      <c r="K539" s="1341" t="e">
        <f t="shared" si="247"/>
        <v>#REF!</v>
      </c>
      <c r="L539" s="1281"/>
      <c r="M539" s="1289"/>
      <c r="N539" s="1290"/>
      <c r="O539" s="1290"/>
      <c r="P539" s="1286"/>
      <c r="Q539" s="1283"/>
      <c r="R539" s="1286"/>
      <c r="S539" s="1286"/>
      <c r="T539" s="1290"/>
      <c r="U539" s="1290"/>
      <c r="V539" s="1285"/>
      <c r="W539" s="1293"/>
      <c r="X539" s="1293"/>
      <c r="Y539" s="1286"/>
      <c r="Z539" s="1286"/>
      <c r="AA539" s="1286"/>
      <c r="AB539" s="1286"/>
      <c r="AC539" s="1293"/>
      <c r="AD539" s="1249"/>
      <c r="AE539" s="1285"/>
      <c r="AF539" s="1293"/>
      <c r="AG539" s="1293"/>
      <c r="AH539" s="1293"/>
      <c r="AI539" s="1293"/>
      <c r="AJ539" s="1293"/>
      <c r="AK539" s="1285"/>
      <c r="AL539" s="1293"/>
      <c r="AM539" s="1293"/>
      <c r="AN539" s="1293"/>
      <c r="AO539" s="1293"/>
      <c r="AP539" s="1293"/>
      <c r="AQ539" s="1285"/>
      <c r="AR539" s="1293"/>
      <c r="AS539" s="1293"/>
      <c r="AT539" s="1293"/>
      <c r="AU539" s="1293"/>
      <c r="AV539" s="1293"/>
      <c r="AW539" s="1293"/>
      <c r="AX539" s="1294"/>
      <c r="AY539" s="1295"/>
      <c r="AZ539" s="1403" t="e">
        <f t="shared" si="241"/>
        <v>#REF!</v>
      </c>
      <c r="BA539" s="2"/>
    </row>
    <row r="540" spans="1:53" ht="15.75" hidden="1" customHeight="1" outlineLevel="1">
      <c r="A540" s="1027"/>
      <c r="B540" s="1404"/>
      <c r="C540" s="1029" t="s">
        <v>168</v>
      </c>
      <c r="D540" s="1122" t="e">
        <f>#REF!</f>
        <v>#REF!</v>
      </c>
      <c r="E540" s="1068" t="e">
        <f>COUNTIFS(#REF!,"&gt;0",#REF!,"&gt;="&amp;B497,#REF!,"&lt;="&amp;EOMONTH(B497,0))</f>
        <v>#REF!</v>
      </c>
      <c r="F540" s="1069" t="e">
        <f>SUMIFS(#REF!,#REF!,"&lt;&gt;0",#REF!,"&gt;="&amp;B497,#REF!,"&lt;="&amp;EOMONTH(B497,0))</f>
        <v>#REF!</v>
      </c>
      <c r="G540" s="1069" t="e">
        <f t="shared" si="246"/>
        <v>#REF!</v>
      </c>
      <c r="H540" s="1069" t="e">
        <f ca="1">MINIFS(#REF!,#REF!,"&lt;&gt;0",#REF!,"&gt;="&amp;B497,#REF!,"&lt;="&amp;EOMONTH(B497,0))</f>
        <v>#NAME?</v>
      </c>
      <c r="I540" s="1069" t="e">
        <f ca="1">MAXIFS(#REF!,#REF!,"&lt;&gt;0",#REF!,"&gt;="&amp;B497,#REF!,"&lt;="&amp;EOMONTH(B497,0))</f>
        <v>#NAME?</v>
      </c>
      <c r="J540" s="1072" t="e">
        <f>COUNTIFS(#REF!,"&gt;="&amp;D540,#REF!,"&gt;="&amp;B497,#REF!,"&lt;="&amp;EOMONTH(B497,0))</f>
        <v>#REF!</v>
      </c>
      <c r="K540" s="1341" t="e">
        <f t="shared" si="247"/>
        <v>#REF!</v>
      </c>
      <c r="L540" s="1281"/>
      <c r="M540" s="1289"/>
      <c r="N540" s="1290"/>
      <c r="O540" s="1290"/>
      <c r="P540" s="1286"/>
      <c r="Q540" s="1283"/>
      <c r="R540" s="1286"/>
      <c r="S540" s="1286"/>
      <c r="T540" s="1290"/>
      <c r="U540" s="1290"/>
      <c r="V540" s="1285"/>
      <c r="W540" s="1293"/>
      <c r="X540" s="1293"/>
      <c r="Y540" s="1286"/>
      <c r="Z540" s="1286"/>
      <c r="AA540" s="1286"/>
      <c r="AB540" s="1286"/>
      <c r="AC540" s="1293"/>
      <c r="AD540" s="1249"/>
      <c r="AE540" s="1285"/>
      <c r="AF540" s="1293"/>
      <c r="AG540" s="1293"/>
      <c r="AH540" s="1293"/>
      <c r="AI540" s="1293"/>
      <c r="AJ540" s="1293"/>
      <c r="AK540" s="1285"/>
      <c r="AL540" s="1293"/>
      <c r="AM540" s="1293"/>
      <c r="AN540" s="1293"/>
      <c r="AO540" s="1293"/>
      <c r="AP540" s="1293"/>
      <c r="AQ540" s="1285"/>
      <c r="AR540" s="1293"/>
      <c r="AS540" s="1293"/>
      <c r="AT540" s="1293"/>
      <c r="AU540" s="1293"/>
      <c r="AV540" s="1293"/>
      <c r="AW540" s="1293"/>
      <c r="AX540" s="1294"/>
      <c r="AY540" s="1295"/>
      <c r="AZ540" s="1403" t="e">
        <f t="shared" si="241"/>
        <v>#REF!</v>
      </c>
      <c r="BA540" s="2"/>
    </row>
    <row r="541" spans="1:53" ht="15.75" hidden="1" customHeight="1" outlineLevel="1">
      <c r="A541" s="1027"/>
      <c r="B541" s="1404"/>
      <c r="C541" s="1029" t="s">
        <v>25</v>
      </c>
      <c r="D541" s="1122">
        <f>Parametres!$D$51</f>
        <v>1.5</v>
      </c>
      <c r="E541" s="1068" t="e">
        <f>COUNTIFS(#REF!,"&gt;0",#REF!,"&gt;="&amp;B497,#REF!,"&lt;="&amp;EOMONTH(B497,0))</f>
        <v>#REF!</v>
      </c>
      <c r="F541" s="1069" t="e">
        <f>SUMIFS(#REF!,#REF!,"&lt;&gt;0",#REF!,"&gt;="&amp;B497,#REF!,"&lt;="&amp;EOMONTH(B497,0))</f>
        <v>#REF!</v>
      </c>
      <c r="G541" s="1069" t="e">
        <f t="shared" si="246"/>
        <v>#REF!</v>
      </c>
      <c r="H541" s="1069" t="e">
        <f ca="1">MINIFS(#REF!,#REF!,"&lt;&gt;0",#REF!,"&gt;="&amp;B497,#REF!,"&lt;="&amp;EOMONTH(B497,0))</f>
        <v>#NAME?</v>
      </c>
      <c r="I541" s="1069" t="e">
        <f ca="1">MAXIFS(#REF!,#REF!,"&lt;&gt;0",#REF!,"&gt;="&amp;B497,#REF!,"&lt;="&amp;EOMONTH(B497,0))</f>
        <v>#NAME?</v>
      </c>
      <c r="J541" s="1114" t="e">
        <f>COUNTIFS(#REF!,"&gt;="&amp;D541,#REF!,"&gt;="&amp;B497,#REF!,"&lt;="&amp;EOMONTH(B497,0))</f>
        <v>#REF!</v>
      </c>
      <c r="K541" s="1341" t="e">
        <f t="shared" si="247"/>
        <v>#REF!</v>
      </c>
      <c r="L541" s="1281"/>
      <c r="M541" s="1289"/>
      <c r="N541" s="1290"/>
      <c r="O541" s="1290"/>
      <c r="P541" s="1286"/>
      <c r="Q541" s="1283"/>
      <c r="R541" s="1286"/>
      <c r="S541" s="1286"/>
      <c r="T541" s="1290"/>
      <c r="U541" s="1290"/>
      <c r="V541" s="1285"/>
      <c r="W541" s="1293"/>
      <c r="X541" s="1293"/>
      <c r="Y541" s="1286"/>
      <c r="Z541" s="1286"/>
      <c r="AA541" s="1286"/>
      <c r="AB541" s="1286"/>
      <c r="AC541" s="1293"/>
      <c r="AD541" s="1249"/>
      <c r="AE541" s="1285"/>
      <c r="AF541" s="1293"/>
      <c r="AG541" s="1293"/>
      <c r="AH541" s="1293"/>
      <c r="AI541" s="1293"/>
      <c r="AJ541" s="1293"/>
      <c r="AK541" s="1285"/>
      <c r="AL541" s="1293"/>
      <c r="AM541" s="1293"/>
      <c r="AN541" s="1293"/>
      <c r="AO541" s="1293"/>
      <c r="AP541" s="1293"/>
      <c r="AQ541" s="1285"/>
      <c r="AR541" s="1293"/>
      <c r="AS541" s="1293"/>
      <c r="AT541" s="1293"/>
      <c r="AU541" s="1293"/>
      <c r="AV541" s="1293"/>
      <c r="AW541" s="1293"/>
      <c r="AX541" s="1294"/>
      <c r="AY541" s="1295"/>
      <c r="AZ541" s="1403" t="e">
        <f t="shared" si="241"/>
        <v>#REF!</v>
      </c>
      <c r="BA541" s="2"/>
    </row>
    <row r="542" spans="1:53" ht="15.75" hidden="1" customHeight="1" outlineLevel="1">
      <c r="A542" s="1027"/>
      <c r="B542" s="1406"/>
      <c r="C542" s="1031" t="s">
        <v>47</v>
      </c>
      <c r="D542" s="1122">
        <f>Parametres!$D$52</f>
        <v>2</v>
      </c>
      <c r="E542" s="1068" t="e">
        <f>COUNTIFS(#REF!,"&gt;0",#REF!,"&gt;="&amp;B497,#REF!,"&lt;="&amp;EOMONTH(B497,0))</f>
        <v>#REF!</v>
      </c>
      <c r="F542" s="1069" t="e">
        <f>SUMIFS(#REF!,#REF!,"&lt;&gt;0",#REF!,"&gt;="&amp;B497,#REF!,"&lt;="&amp;EOMONTH(B497,0))</f>
        <v>#REF!</v>
      </c>
      <c r="G542" s="1069" t="e">
        <f t="shared" si="246"/>
        <v>#REF!</v>
      </c>
      <c r="H542" s="1069" t="e">
        <f ca="1">MINIFS(#REF!,#REF!,"&lt;&gt;0",#REF!,"&gt;="&amp;B497,#REF!,"&lt;="&amp;EOMONTH(B497,0))</f>
        <v>#NAME?</v>
      </c>
      <c r="I542" s="1069" t="e">
        <f ca="1">MAXIFS(#REF!,#REF!,"&lt;&gt;0",#REF!,"&gt;="&amp;B497,#REF!,"&lt;="&amp;EOMONTH(B497,0))</f>
        <v>#NAME?</v>
      </c>
      <c r="J542" s="1072" t="e">
        <f>COUNTIFS(#REF!,"&gt;="&amp;D542,#REF!,"&gt;="&amp;B497,#REF!,"&lt;="&amp;EOMONTH(B497,0))</f>
        <v>#REF!</v>
      </c>
      <c r="K542" s="1341" t="e">
        <f t="shared" si="247"/>
        <v>#REF!</v>
      </c>
      <c r="L542" s="1281"/>
      <c r="M542" s="1289"/>
      <c r="N542" s="1144">
        <f>Parametres!$L$52</f>
        <v>90</v>
      </c>
      <c r="O542" s="1077">
        <f>COUNTIFS('Degrémont Entrée'!$AY$14:$AY$379,"&gt;0",'Degrémont Entrée'!$A$14:$A$379,"&gt;="&amp;B497,'Degrémont Entrée'!$A$14:$A$379,"&lt;="&amp;EOMONTH(B497,0))</f>
        <v>4</v>
      </c>
      <c r="P542" s="1078">
        <f>SUMIFS('Degrémont Entrée'!$AY$14:$AY$379,'Degrémont Entrée'!$AY$14:$AY$379,"&lt;&gt;0",'Degrémont Entrée'!$A$14:$A$379,"&gt;="&amp;B497,'Degrémont Entrée'!$A$14:$A$379,"&lt;="&amp;EOMONTH(B497,0))</f>
        <v>1323.85</v>
      </c>
      <c r="Q542" s="1283">
        <f>IF(O542=0,0,P542/O542)</f>
        <v>330.96249999999998</v>
      </c>
      <c r="R542" s="1286" t="e">
        <f ca="1">MINIFS('Degrémont Entrée'!$AY$14:$AY$379,'Degrémont Entrée'!$AY$14:$AY$379,"&lt;&gt;0",'Degrémont Entrée'!$A$14:$A$379,"&gt;="&amp;B497,'Degrémont Entrée'!$A$14:$A$379,"&lt;="&amp;EOMONTH(B497,0))</f>
        <v>#NAME?</v>
      </c>
      <c r="S542" s="1286" t="e">
        <f ca="1">MAXIFS('Degrémont Entrée'!$AY$14:$AY$379,'Degrémont Entrée'!$AY$14:$AY$379,"&lt;&gt;0",'Degrémont Entrée'!$A$14:$A$379,"&gt;="&amp;B497,'Degrémont Entrée'!$A$14:$A$379,"&lt;="&amp;EOMONTH(B497,0))</f>
        <v>#NAME?</v>
      </c>
      <c r="T542" s="1141">
        <f>COUNTIFS('Degrémont Entrée'!$AY$14:$AY$379,"&gt;="&amp;N542,'Degrémont Entrée'!$A$14:$A$379,"&gt;="&amp;B497,'Degrémont Entrée'!$A$14:$A$379,"&lt;="&amp;EOMONTH(B497,0))</f>
        <v>2</v>
      </c>
      <c r="U542" s="1081">
        <f>T542/O542</f>
        <v>0.5</v>
      </c>
      <c r="V542" s="1285"/>
      <c r="W542" s="1083">
        <f>Parametres!$T$52</f>
        <v>0.64</v>
      </c>
      <c r="X542" s="1142">
        <f>COUNTIFS('Degrémont sortie'!$AS$14:$AS$379,"&gt;0",'Degrémont sortie'!$A$14:$A$379,"&gt;="&amp;B497,'Degrémont sortie'!$A$14:$A$379,"&lt;="&amp;EOMONTH(B497,0))</f>
        <v>6</v>
      </c>
      <c r="Y542" s="1085">
        <f>SUMIFS('Degrémont sortie'!$AS$14:$AS$379,'Degrémont sortie'!$AS$14:$AS$379,"&lt;&gt;0",'Degrémont sortie'!$A$14:$A$379,"&gt;="&amp;B497,'Degrémont sortie'!$A$14:$A$379,"&lt;="&amp;EOMONTH(B497,0))</f>
        <v>0.62</v>
      </c>
      <c r="Z542" s="1069">
        <f>IF(X542=0,0,Y542/X542)</f>
        <v>0.10333333333333333</v>
      </c>
      <c r="AA542" s="1286" t="e">
        <f ca="1">MINIFS('Degrémont sortie'!$AS$14:$AS$379,'Degrémont sortie'!$AS$14:$AS$379,"&lt;&gt;0",'Degrémont sortie'!$A$14:$A$379,"&gt;="&amp;B497,'Degrémont sortie'!$A$14:$A$379,"&lt;="&amp;EOMONTH(B497,0))</f>
        <v>#NAME?</v>
      </c>
      <c r="AB542" s="1286" t="e">
        <f ca="1">MAXIFS('Degrémont sortie'!$AS$14:$AS$379,'Degrémont sortie'!$AS$14:$AS$379,"&lt;&gt;0",'Degrémont sortie'!$A$14:$A$379,"&gt;="&amp;B497,'Degrémont sortie'!$A$14:$A$379,"&lt;="&amp;EOMONTH(B497,0))</f>
        <v>#NAME?</v>
      </c>
      <c r="AC542" s="1141">
        <f>COUNTIFS('Degrémont sortie'!$AS$14:$AS$379,"&gt;="&amp;W542,'Degrémont sortie'!$A$14:$A$379,"&gt;="&amp;B497,'Degrémont sortie'!$A$14:$A$379,"&lt;="&amp;EOMONTH(B497,0))</f>
        <v>0</v>
      </c>
      <c r="AD542" s="1087">
        <f>AC542/X542</f>
        <v>0</v>
      </c>
      <c r="AE542" s="1285"/>
      <c r="AF542" s="1293"/>
      <c r="AG542" s="1293"/>
      <c r="AH542" s="1293"/>
      <c r="AI542" s="1293"/>
      <c r="AJ542" s="1293"/>
      <c r="AK542" s="1285"/>
      <c r="AL542" s="1293"/>
      <c r="AM542" s="1293"/>
      <c r="AN542" s="1293"/>
      <c r="AO542" s="1293"/>
      <c r="AP542" s="1293"/>
      <c r="AQ542" s="1285"/>
      <c r="AR542" s="1293"/>
      <c r="AS542" s="1293"/>
      <c r="AT542" s="1293"/>
      <c r="AU542" s="1293"/>
      <c r="AV542" s="1293"/>
      <c r="AW542" s="1293"/>
      <c r="AX542" s="1294"/>
      <c r="AY542" s="1295"/>
      <c r="AZ542" s="1403" t="e">
        <f t="shared" si="241"/>
        <v>#REF!</v>
      </c>
      <c r="BA542" s="2"/>
    </row>
    <row r="543" spans="1:53" ht="15.75" customHeight="1" collapsed="1">
      <c r="A543" s="1027"/>
      <c r="B543" s="1370"/>
      <c r="C543" s="13"/>
      <c r="D543" s="1371"/>
      <c r="E543" s="1357"/>
      <c r="F543" s="1358"/>
      <c r="G543" s="1358"/>
      <c r="H543" s="1358"/>
      <c r="I543" s="1358"/>
      <c r="J543" s="1076"/>
      <c r="K543" s="1076"/>
      <c r="L543" s="1076"/>
      <c r="M543" s="1289"/>
      <c r="N543" s="1076"/>
      <c r="O543" s="1076"/>
      <c r="P543" s="1358"/>
      <c r="Q543" s="1358"/>
      <c r="R543" s="1364"/>
      <c r="S543" s="1364"/>
      <c r="T543" s="13"/>
      <c r="U543" s="13"/>
      <c r="V543" s="1289"/>
      <c r="W543" s="1076"/>
      <c r="X543" s="1076"/>
      <c r="Y543" s="1358"/>
      <c r="Z543" s="1358"/>
      <c r="AA543" s="1364"/>
      <c r="AB543" s="1364"/>
      <c r="AC543" s="13"/>
      <c r="AD543" s="13"/>
      <c r="AE543" s="1289"/>
      <c r="AF543" s="1372"/>
      <c r="AG543" s="1372"/>
      <c r="AH543" s="1372"/>
      <c r="AI543" s="1372"/>
      <c r="AJ543" s="1372"/>
      <c r="AK543" s="1289"/>
      <c r="AL543" s="1372"/>
      <c r="AM543" s="1372"/>
      <c r="AN543" s="1372"/>
      <c r="AO543" s="1372"/>
      <c r="AP543" s="1372"/>
      <c r="AQ543" s="1289"/>
      <c r="AR543" s="1372"/>
      <c r="AS543" s="1372"/>
      <c r="AT543" s="1372"/>
      <c r="AU543" s="1372"/>
      <c r="AV543" s="1372"/>
      <c r="AW543" s="1372"/>
      <c r="AX543" s="1372"/>
      <c r="AY543" s="1372"/>
      <c r="AZ543" s="1095"/>
      <c r="BA543" s="2"/>
    </row>
    <row r="544" spans="1:53" ht="15.75" hidden="1" customHeight="1" outlineLevel="1">
      <c r="A544" s="1027"/>
      <c r="B544" s="1373"/>
      <c r="C544" s="1374"/>
      <c r="D544" s="1375"/>
      <c r="E544" s="1553" t="s">
        <v>283</v>
      </c>
      <c r="F544" s="1420"/>
      <c r="G544" s="1420"/>
      <c r="H544" s="1420"/>
      <c r="I544" s="1420"/>
      <c r="J544" s="1420"/>
      <c r="K544" s="1420"/>
      <c r="L544" s="1421"/>
      <c r="M544" s="1376"/>
      <c r="N544" s="1377"/>
      <c r="O544" s="1551" t="s">
        <v>288</v>
      </c>
      <c r="P544" s="1420"/>
      <c r="Q544" s="1420"/>
      <c r="R544" s="1420"/>
      <c r="S544" s="1420"/>
      <c r="T544" s="1421"/>
      <c r="U544" s="1377"/>
      <c r="V544" s="1376"/>
      <c r="W544" s="1378"/>
      <c r="X544" s="1552" t="s">
        <v>289</v>
      </c>
      <c r="Y544" s="1420"/>
      <c r="Z544" s="1420"/>
      <c r="AA544" s="1420"/>
      <c r="AB544" s="1420"/>
      <c r="AC544" s="1421"/>
      <c r="AD544" s="1378"/>
      <c r="AE544" s="1376"/>
      <c r="AF544" s="1552" t="s">
        <v>199</v>
      </c>
      <c r="AG544" s="1420"/>
      <c r="AH544" s="1420"/>
      <c r="AI544" s="1420"/>
      <c r="AJ544" s="1421"/>
      <c r="AK544" s="1376"/>
      <c r="AL544" s="1552" t="s">
        <v>200</v>
      </c>
      <c r="AM544" s="1420"/>
      <c r="AN544" s="1420"/>
      <c r="AO544" s="1420"/>
      <c r="AP544" s="1421"/>
      <c r="AQ544" s="1376"/>
      <c r="AR544" s="1378"/>
      <c r="AS544" s="1552" t="s">
        <v>290</v>
      </c>
      <c r="AT544" s="1420"/>
      <c r="AU544" s="1420"/>
      <c r="AV544" s="1420"/>
      <c r="AW544" s="1420"/>
      <c r="AX544" s="1421"/>
      <c r="AY544" s="1379"/>
      <c r="AZ544" s="1380"/>
      <c r="BA544" s="2"/>
    </row>
    <row r="545" spans="1:53" ht="15.75" hidden="1" customHeight="1" outlineLevel="1">
      <c r="A545" s="1027"/>
      <c r="B545" s="1381"/>
      <c r="C545" s="1032"/>
      <c r="D545" s="1407"/>
      <c r="E545" s="1383" t="s">
        <v>292</v>
      </c>
      <c r="F545" s="1384" t="s">
        <v>293</v>
      </c>
      <c r="G545" s="1384" t="s">
        <v>294</v>
      </c>
      <c r="H545" s="1384" t="s">
        <v>295</v>
      </c>
      <c r="I545" s="1385" t="s">
        <v>296</v>
      </c>
      <c r="J545" s="1386" t="s">
        <v>297</v>
      </c>
      <c r="K545" s="1387" t="s">
        <v>216</v>
      </c>
      <c r="L545" s="1388" t="s">
        <v>298</v>
      </c>
      <c r="M545" s="1389"/>
      <c r="N545" s="1408"/>
      <c r="O545" s="1391" t="s">
        <v>292</v>
      </c>
      <c r="P545" s="1385" t="s">
        <v>293</v>
      </c>
      <c r="Q545" s="1385" t="s">
        <v>294</v>
      </c>
      <c r="R545" s="1392" t="s">
        <v>295</v>
      </c>
      <c r="S545" s="1392" t="s">
        <v>296</v>
      </c>
      <c r="T545" s="1393" t="s">
        <v>299</v>
      </c>
      <c r="U545" s="1394" t="s">
        <v>216</v>
      </c>
      <c r="V545" s="1389"/>
      <c r="W545" s="1408"/>
      <c r="X545" s="1391" t="s">
        <v>292</v>
      </c>
      <c r="Y545" s="1385" t="s">
        <v>293</v>
      </c>
      <c r="Z545" s="1385" t="s">
        <v>294</v>
      </c>
      <c r="AA545" s="1392" t="s">
        <v>295</v>
      </c>
      <c r="AB545" s="1392" t="s">
        <v>296</v>
      </c>
      <c r="AC545" s="1393" t="s">
        <v>299</v>
      </c>
      <c r="AD545" s="1394" t="s">
        <v>216</v>
      </c>
      <c r="AE545" s="1389"/>
      <c r="AF545" s="1395" t="s">
        <v>292</v>
      </c>
      <c r="AG545" s="1396" t="s">
        <v>293</v>
      </c>
      <c r="AH545" s="1397" t="s">
        <v>294</v>
      </c>
      <c r="AI545" s="1396" t="s">
        <v>295</v>
      </c>
      <c r="AJ545" s="1396" t="s">
        <v>296</v>
      </c>
      <c r="AK545" s="1389"/>
      <c r="AL545" s="1395" t="s">
        <v>292</v>
      </c>
      <c r="AM545" s="1396" t="s">
        <v>293</v>
      </c>
      <c r="AN545" s="1397" t="s">
        <v>294</v>
      </c>
      <c r="AO545" s="1396" t="s">
        <v>295</v>
      </c>
      <c r="AP545" s="1396" t="s">
        <v>296</v>
      </c>
      <c r="AQ545" s="1389"/>
      <c r="AR545" s="1398" t="s">
        <v>291</v>
      </c>
      <c r="AS545" s="1395" t="s">
        <v>292</v>
      </c>
      <c r="AT545" s="1396" t="s">
        <v>293</v>
      </c>
      <c r="AU545" s="1397" t="s">
        <v>294</v>
      </c>
      <c r="AV545" s="1396" t="s">
        <v>295</v>
      </c>
      <c r="AW545" s="1396" t="s">
        <v>296</v>
      </c>
      <c r="AX545" s="1393" t="s">
        <v>299</v>
      </c>
      <c r="AY545" s="1409"/>
      <c r="AZ545" s="1400" t="s">
        <v>300</v>
      </c>
      <c r="BA545" s="2"/>
    </row>
    <row r="546" spans="1:53" ht="15.75" hidden="1" customHeight="1" outlineLevel="1">
      <c r="A546" s="1027"/>
      <c r="B546" s="1401">
        <v>43800</v>
      </c>
      <c r="C546" s="1402" t="s">
        <v>43</v>
      </c>
      <c r="D546" s="1067">
        <f>Parametres!$D$5</f>
        <v>5</v>
      </c>
      <c r="E546" s="1068" t="e">
        <f>COUNTIFS(#REF!,"&gt;0",#REF!,"&gt;="&amp;B546,#REF!,"&lt;="&amp;EOMONTH(B546,0))</f>
        <v>#REF!</v>
      </c>
      <c r="F546" s="1069" t="e">
        <f>SUMIFS(#REF!,#REF!,"&lt;&gt;0",#REF!,"&gt;="&amp;B546,#REF!,"&lt;="&amp;EOMONTH(B546,0))</f>
        <v>#REF!</v>
      </c>
      <c r="G546" s="1069" t="e">
        <f t="shared" ref="G546:G582" si="248">IF(E546=0,0,F546/E546)</f>
        <v>#REF!</v>
      </c>
      <c r="H546" s="1070" t="e">
        <f ca="1">MINIFS(#REF!,#REF!,"&lt;&gt;0",#REF!,"&gt;="&amp;B546,#REF!,"&lt;="&amp;EOMONTH(B546,0))</f>
        <v>#NAME?</v>
      </c>
      <c r="I546" s="1071" t="e">
        <f ca="1">MAXIFS(#REF!,#REF!,"&lt;&gt;0",#REF!,"&gt;="&amp;B546,#REF!,"&lt;="&amp;EOMONTH(B546,0))</f>
        <v>#NAME?</v>
      </c>
      <c r="J546" s="1072" t="e">
        <f>COUNTIFS(#REF!,"&gt;="&amp;D546,#REF!,"&gt;="&amp;B546,#REF!,"&lt;="&amp;EOMONTH(B546,0))</f>
        <v>#REF!</v>
      </c>
      <c r="K546" s="1341" t="e">
        <f t="shared" ref="K546:K559" si="249">J546/E546</f>
        <v>#REF!</v>
      </c>
      <c r="L546" s="1074"/>
      <c r="M546" s="1075"/>
      <c r="N546" s="1076">
        <f>Parametres!$L$5</f>
        <v>50</v>
      </c>
      <c r="O546" s="1077">
        <f>COUNTIFS('Degrémont Entrée'!$AM$14:$AM$379,"&gt;0",'Degrémont Entrée'!$A$14:$A$379,"&gt;="&amp;B546,'Degrémont Entrée'!$A$14:$A$379,"&lt;="&amp;EOMONTH(B546,0))</f>
        <v>4</v>
      </c>
      <c r="P546" s="1078">
        <f>SUMIFS('Degrémont Entrée'!$AM$14:$AM$379,'Degrémont Entrée'!$AM$14:$AM$379,"&lt;&gt;0",'Degrémont Entrée'!$A$14:$A$379,"&gt;="&amp;B546,'Degrémont Entrée'!$A$14:$A$379,"&lt;="&amp;EOMONTH(B546,0))</f>
        <v>454.9</v>
      </c>
      <c r="Q546" s="1078">
        <f>IF(O546=0,0,P546/O546)</f>
        <v>113.72499999999999</v>
      </c>
      <c r="R546" s="1079" t="e">
        <f ca="1">MINIFS('Degrémont Entrée'!$AM$14:$AM$379,'Degrémont Entrée'!$AM$14:$AM$379,"&lt;&gt;0",'Degrémont Entrée'!$A$14:$A$379,"&gt;="&amp;B546,'Degrémont Entrée'!$A$14:$A$379,"&lt;="&amp;EOMONTH(B546,0))</f>
        <v>#NAME?</v>
      </c>
      <c r="S546" s="1078" t="e">
        <f ca="1">MAXIFS('Degrémont Entrée'!$AM$14:$AM$379,'Degrémont Entrée'!$AM$14:$AM$379,"&lt;&gt;0",'Degrémont Entrée'!$A$14:$A$379,"&gt;="&amp;B546,'Degrémont Entrée'!$A$14:$A$379,"&lt;="&amp;EOMONTH(B546,0))</f>
        <v>#NAME?</v>
      </c>
      <c r="T546" s="1080">
        <f>COUNTIFS('Degrémont Entrée'!$AM$14:$AM$379,"&gt;="&amp;N546,'Degrémont Entrée'!$A$14:$A$379,"&gt;="&amp;B546,'Degrémont Entrée'!$A$14:$A$379,"&lt;="&amp;EOMONTH(B546,0))</f>
        <v>3</v>
      </c>
      <c r="U546" s="1081">
        <f>T546/O546</f>
        <v>0.75</v>
      </c>
      <c r="V546" s="1082"/>
      <c r="W546" s="1083">
        <f>Parametres!$T$5</f>
        <v>3</v>
      </c>
      <c r="X546" s="1084">
        <f>COUNTIFS('Degrémont sortie'!$AG$14:$AG$379,"&gt;0",'Degrémont sortie'!$A$14:$A$379,"&gt;="&amp;B546,'Degrémont sortie'!$A$14:$A$379,"&lt;="&amp;EOMONTH(B546,0))</f>
        <v>4</v>
      </c>
      <c r="Y546" s="1085">
        <f>SUMIFS('Degrémont sortie'!$AG$14:$AG$379,'Degrémont sortie'!$AG$14:$AG$379,"&lt;&gt;0",'Degrémont sortie'!$A$14:$A$379,"&gt;="&amp;B546,'Degrémont sortie'!$A$14:$A$379,"&lt;="&amp;EOMONTH(B546,0))</f>
        <v>1.198</v>
      </c>
      <c r="Z546" s="1085">
        <f>IF(X546=0,0,Y546/X546)</f>
        <v>0.29949999999999999</v>
      </c>
      <c r="AA546" s="1085" t="e">
        <f ca="1">MINIFS('Degrémont sortie'!$AG$14:$AG$379,'Degrémont sortie'!$AG$14:$AG$379,"&lt;&gt;0",'Degrémont sortie'!$A$14:$A$379,"&gt;="&amp;B546,'Degrémont sortie'!$A$14:$A$379,"&lt;="&amp;EOMONTH(B546,0))</f>
        <v>#NAME?</v>
      </c>
      <c r="AB546" s="1085" t="e">
        <f ca="1">MAXIFS('Degrémont sortie'!$AG$14:$AG$379,'Degrémont sortie'!$AG$14:$AG$379,"&lt;&gt;0",'Degrémont sortie'!$A$14:$A$379,"&gt;="&amp;B546,'Degrémont sortie'!$A$14:$A$379,"&lt;="&amp;EOMONTH(B546,0))</f>
        <v>#NAME?</v>
      </c>
      <c r="AC546" s="1086">
        <f>COUNTIFS('Degrémont sortie'!$AG$14:$AG$379,"&gt;="&amp;W546,'Degrémont sortie'!$A$14:$A$379,"&gt;="&amp;B546,'Degrémont sortie'!$A$14:$A$379,"&lt;="&amp;EOMONTH(B546,0))</f>
        <v>0</v>
      </c>
      <c r="AD546" s="1087">
        <f>AC546/X546</f>
        <v>0</v>
      </c>
      <c r="AE546" s="1088"/>
      <c r="AF546" s="1089"/>
      <c r="AG546" s="1090"/>
      <c r="AH546" s="1090"/>
      <c r="AI546" s="1090"/>
      <c r="AJ546" s="1090"/>
      <c r="AK546" s="1088"/>
      <c r="AL546" s="1089"/>
      <c r="AM546" s="1090"/>
      <c r="AN546" s="1090"/>
      <c r="AO546" s="1090"/>
      <c r="AP546" s="1090"/>
      <c r="AQ546" s="1088"/>
      <c r="AR546" s="1091"/>
      <c r="AS546" s="1089"/>
      <c r="AT546" s="1090"/>
      <c r="AU546" s="1090"/>
      <c r="AV546" s="1090"/>
      <c r="AW546" s="1092"/>
      <c r="AX546" s="1093"/>
      <c r="AY546" s="1094"/>
      <c r="AZ546" s="1403" t="e">
        <f t="shared" ref="AZ546:AZ577" si="250">SUM(E546+O546+X546+AF546+AL546+AS546)</f>
        <v>#REF!</v>
      </c>
      <c r="BA546" s="2"/>
    </row>
    <row r="547" spans="1:53" ht="15.75" hidden="1" customHeight="1" outlineLevel="1">
      <c r="A547" s="1027"/>
      <c r="B547" s="1404"/>
      <c r="C547" s="1402" t="s">
        <v>16</v>
      </c>
      <c r="D547" s="1067">
        <f>Parametres!$D$6</f>
        <v>10000000</v>
      </c>
      <c r="E547" s="1068" t="e">
        <f>COUNTIFS(#REF!,"&gt;0",#REF!,"&gt;="&amp;B546,#REF!,"&lt;="&amp;EOMONTH(B546,0))</f>
        <v>#REF!</v>
      </c>
      <c r="F547" s="1069" t="e">
        <f>SUMIFS(#REF!,#REF!,"&lt;&gt;0",#REF!,"&gt;="&amp;B546,#REF!,"&lt;="&amp;EOMONTH(B546,0))</f>
        <v>#REF!</v>
      </c>
      <c r="G547" s="1098" t="e">
        <f t="shared" si="248"/>
        <v>#REF!</v>
      </c>
      <c r="H547" s="1070" t="e">
        <f ca="1">MINIFS(#REF!,#REF!,"&lt;&gt;0",#REF!,"&gt;="&amp;B546,#REF!,"&lt;="&amp;EOMONTH(B546,0))</f>
        <v>#NAME?</v>
      </c>
      <c r="I547" s="1069" t="e">
        <f ca="1">MAXIFS(#REF!,#REF!,"&lt;&gt;0",#REF!,"&gt;="&amp;B546,#REF!,"&lt;="&amp;EOMONTH(B546,0))</f>
        <v>#NAME?</v>
      </c>
      <c r="J547" s="1072" t="e">
        <f>COUNTIFS(#REF!,"&gt;="&amp;D547,#REF!,"&gt;="&amp;B546,#REF!,"&lt;="&amp;EOMONTH(B546,0))</f>
        <v>#REF!</v>
      </c>
      <c r="K547" s="1341" t="e">
        <f t="shared" si="249"/>
        <v>#REF!</v>
      </c>
      <c r="L547" s="1099"/>
      <c r="M547" s="1082"/>
      <c r="N547" s="1100"/>
      <c r="O547" s="1100"/>
      <c r="P547" s="1078"/>
      <c r="Q547" s="1078"/>
      <c r="R547" s="1078"/>
      <c r="S547" s="1078"/>
      <c r="T547" s="1101"/>
      <c r="U547" s="1101"/>
      <c r="V547" s="1082"/>
      <c r="W547" s="1102"/>
      <c r="X547" s="1102"/>
      <c r="Y547" s="1069"/>
      <c r="Z547" s="1069"/>
      <c r="AA547" s="1069"/>
      <c r="AB547" s="1069"/>
      <c r="AC547" s="1103"/>
      <c r="AD547" s="1104"/>
      <c r="AE547" s="1082"/>
      <c r="AF547" s="1105"/>
      <c r="AG547" s="1106"/>
      <c r="AH547" s="1106"/>
      <c r="AI547" s="1106"/>
      <c r="AJ547" s="1106"/>
      <c r="AK547" s="1107"/>
      <c r="AL547" s="1108"/>
      <c r="AM547" s="1109"/>
      <c r="AN547" s="1109"/>
      <c r="AO547" s="1109"/>
      <c r="AP547" s="1109"/>
      <c r="AQ547" s="1107"/>
      <c r="AR547" s="1110"/>
      <c r="AS547" s="1105"/>
      <c r="AT547" s="1109"/>
      <c r="AU547" s="1109"/>
      <c r="AV547" s="1109"/>
      <c r="AW547" s="1111"/>
      <c r="AX547" s="1112"/>
      <c r="AY547" s="1094"/>
      <c r="AZ547" s="1403" t="e">
        <f t="shared" si="250"/>
        <v>#REF!</v>
      </c>
      <c r="BA547" s="2"/>
    </row>
    <row r="548" spans="1:53" ht="15.75" hidden="1" customHeight="1" outlineLevel="1">
      <c r="A548" s="1027"/>
      <c r="B548" s="1404"/>
      <c r="C548" s="1402" t="s">
        <v>17</v>
      </c>
      <c r="D548" s="1067">
        <f>Parametres!$D$7</f>
        <v>0.8</v>
      </c>
      <c r="E548" s="1068" t="e">
        <f>COUNTIFS(#REF!,"&gt;0",#REF!,"&gt;="&amp;B546,#REF!,"&lt;="&amp;EOMONTH(B546,0))</f>
        <v>#REF!</v>
      </c>
      <c r="F548" s="1069" t="e">
        <f>SUMIFS(#REF!,#REF!,"&lt;&gt;0",#REF!,"&gt;="&amp;B546,#REF!,"&lt;="&amp;EOMONTH(B546,0))</f>
        <v>#REF!</v>
      </c>
      <c r="G548" s="1098" t="e">
        <f t="shared" si="248"/>
        <v>#REF!</v>
      </c>
      <c r="H548" s="1113" t="e">
        <f ca="1">MINIFS(#REF!,#REF!,"&lt;&gt;0",#REF!,"&gt;="&amp;B546,#REF!,"&lt;="&amp;EOMONTH(B546,0))</f>
        <v>#NAME?</v>
      </c>
      <c r="I548" s="1078" t="e">
        <f ca="1">MAXIFS(#REF!,#REF!,"&lt;&gt;0",#REF!,"&gt;="&amp;B546,#REF!,"&lt;="&amp;EOMONTH(B546,0))</f>
        <v>#NAME?</v>
      </c>
      <c r="J548" s="1114" t="e">
        <f>COUNTIFS(#REF!,"&gt;="&amp;D548,#REF!,"&gt;="&amp;B546,#REF!,"&lt;="&amp;EOMONTH(B546,0))</f>
        <v>#REF!</v>
      </c>
      <c r="K548" s="1341" t="e">
        <f t="shared" si="249"/>
        <v>#REF!</v>
      </c>
      <c r="L548" s="1115"/>
      <c r="M548" s="1082"/>
      <c r="N548" s="1100"/>
      <c r="O548" s="1100"/>
      <c r="P548" s="1078"/>
      <c r="Q548" s="1078"/>
      <c r="R548" s="1078"/>
      <c r="S548" s="1078"/>
      <c r="T548" s="1101"/>
      <c r="U548" s="1101"/>
      <c r="V548" s="1082"/>
      <c r="W548" s="1102"/>
      <c r="X548" s="1102"/>
      <c r="Y548" s="1069"/>
      <c r="Z548" s="1069"/>
      <c r="AA548" s="1069"/>
      <c r="AB548" s="1069"/>
      <c r="AC548" s="1103"/>
      <c r="AD548" s="1104"/>
      <c r="AE548" s="1082"/>
      <c r="AF548" s="1116"/>
      <c r="AG548" s="1117"/>
      <c r="AH548" s="1117"/>
      <c r="AI548" s="1117"/>
      <c r="AJ548" s="1117"/>
      <c r="AK548" s="1082"/>
      <c r="AL548" s="1105"/>
      <c r="AM548" s="1106"/>
      <c r="AN548" s="1106"/>
      <c r="AO548" s="1106"/>
      <c r="AP548" s="1106"/>
      <c r="AQ548" s="1082"/>
      <c r="AR548" s="1118"/>
      <c r="AS548" s="1116"/>
      <c r="AT548" s="1106"/>
      <c r="AU548" s="1106"/>
      <c r="AV548" s="1106"/>
      <c r="AW548" s="1119"/>
      <c r="AX548" s="1120"/>
      <c r="AY548" s="1094"/>
      <c r="AZ548" s="1403" t="e">
        <f t="shared" si="250"/>
        <v>#REF!</v>
      </c>
      <c r="BA548" s="2"/>
    </row>
    <row r="549" spans="1:53" ht="15.75" hidden="1" customHeight="1" outlineLevel="1">
      <c r="A549" s="1027"/>
      <c r="B549" s="1404"/>
      <c r="C549" s="1402" t="s">
        <v>18</v>
      </c>
      <c r="D549" s="1122">
        <f>Parametres!$D$8</f>
        <v>0.05</v>
      </c>
      <c r="E549" s="1068" t="e">
        <f>COUNTIFS(#REF!,"&gt;0",#REF!,"&gt;="&amp;B546,#REF!,"&lt;="&amp;EOMONTH(B546,0))</f>
        <v>#REF!</v>
      </c>
      <c r="F549" s="1069" t="e">
        <f>SUMIFS(#REF!,#REF!,"&lt;&gt;0",#REF!,"&gt;="&amp;B546,#REF!,"&lt;="&amp;EOMONTH(B546,0))</f>
        <v>#REF!</v>
      </c>
      <c r="G549" s="1098" t="e">
        <f t="shared" si="248"/>
        <v>#REF!</v>
      </c>
      <c r="H549" s="1113" t="e">
        <f ca="1">MINIFS(#REF!,#REF!,"&lt;&gt;0",#REF!,"&gt;="&amp;B546,#REF!,"&lt;="&amp;EOMONTH(B546,0))</f>
        <v>#NAME?</v>
      </c>
      <c r="I549" s="1078" t="e">
        <f ca="1">MAXIFS(#REF!,#REF!,"&lt;&gt;0",#REF!,"&gt;="&amp;B546,#REF!,"&lt;="&amp;EOMONTH(B546,0))</f>
        <v>#NAME?</v>
      </c>
      <c r="J549" s="1072" t="e">
        <f>COUNTIFS(#REF!,"&gt;="&amp;D549,#REF!,"&gt;="&amp;B546,#REF!,"&lt;="&amp;EOMONTH(B546,0))</f>
        <v>#REF!</v>
      </c>
      <c r="K549" s="1341" t="e">
        <f t="shared" si="249"/>
        <v>#REF!</v>
      </c>
      <c r="L549" s="1115"/>
      <c r="M549" s="1082"/>
      <c r="N549" s="1100"/>
      <c r="O549" s="1100"/>
      <c r="P549" s="1078"/>
      <c r="Q549" s="1078"/>
      <c r="R549" s="1078"/>
      <c r="S549" s="1078"/>
      <c r="T549" s="1101"/>
      <c r="U549" s="1101"/>
      <c r="V549" s="1082"/>
      <c r="W549" s="1102"/>
      <c r="X549" s="1102"/>
      <c r="Y549" s="1069"/>
      <c r="Z549" s="1069"/>
      <c r="AA549" s="1069"/>
      <c r="AB549" s="1069"/>
      <c r="AC549" s="1103"/>
      <c r="AD549" s="1104"/>
      <c r="AE549" s="1107"/>
      <c r="AF549" s="1108"/>
      <c r="AG549" s="1109"/>
      <c r="AH549" s="1109"/>
      <c r="AI549" s="1109"/>
      <c r="AJ549" s="1109"/>
      <c r="AK549" s="1123"/>
      <c r="AL549" s="1108"/>
      <c r="AM549" s="1109"/>
      <c r="AN549" s="1109"/>
      <c r="AO549" s="1109"/>
      <c r="AP549" s="1109"/>
      <c r="AQ549" s="1123"/>
      <c r="AR549" s="1124"/>
      <c r="AS549" s="1108"/>
      <c r="AT549" s="1109"/>
      <c r="AU549" s="1109"/>
      <c r="AV549" s="1109"/>
      <c r="AW549" s="1111"/>
      <c r="AX549" s="1112"/>
      <c r="AY549" s="1094"/>
      <c r="AZ549" s="1403" t="e">
        <f t="shared" si="250"/>
        <v>#REF!</v>
      </c>
      <c r="BA549" s="2"/>
    </row>
    <row r="550" spans="1:53" ht="15.75" hidden="1" customHeight="1" outlineLevel="1">
      <c r="A550" s="1027"/>
      <c r="B550" s="1404"/>
      <c r="C550" s="1402" t="s">
        <v>11</v>
      </c>
      <c r="D550" s="1067">
        <f>Parametres!$D$9</f>
        <v>0.2</v>
      </c>
      <c r="E550" s="1068" t="e">
        <f>COUNTIFS(#REF!,"&gt;0",#REF!,"&gt;="&amp;B546,#REF!,"&lt;="&amp;EOMONTH(B546,0))</f>
        <v>#REF!</v>
      </c>
      <c r="F550" s="1069" t="e">
        <f>SUMIFS(#REF!,#REF!,"&lt;&gt;0",#REF!,"&gt;="&amp;B546,#REF!,"&lt;="&amp;EOMONTH(B546,0))</f>
        <v>#REF!</v>
      </c>
      <c r="G550" s="1098" t="e">
        <f t="shared" si="248"/>
        <v>#REF!</v>
      </c>
      <c r="H550" s="1113" t="e">
        <f ca="1">MINIFS(#REF!,#REF!,"&lt;&gt;0",#REF!,"&gt;="&amp;B546,#REF!,"&lt;="&amp;EOMONTH(B546,0))</f>
        <v>#NAME?</v>
      </c>
      <c r="I550" s="1078" t="e">
        <f ca="1">MAXIFS(#REF!,#REF!,"&lt;&gt;0",#REF!,"&gt;="&amp;B546,#REF!,"&lt;="&amp;EOMONTH(B546,0))</f>
        <v>#NAME?</v>
      </c>
      <c r="J550" s="1072" t="e">
        <f>COUNTIFS(#REF!,"&gt;="&amp;D550,#REF!,"&gt;="&amp;B546,#REF!,"&lt;="&amp;EOMONTH(B546,0))</f>
        <v>#REF!</v>
      </c>
      <c r="K550" s="1341" t="e">
        <f t="shared" si="249"/>
        <v>#REF!</v>
      </c>
      <c r="L550" s="1115"/>
      <c r="M550" s="1082"/>
      <c r="N550" s="1100"/>
      <c r="O550" s="1100"/>
      <c r="P550" s="1078"/>
      <c r="Q550" s="1078"/>
      <c r="R550" s="1078"/>
      <c r="S550" s="1078"/>
      <c r="T550" s="1101"/>
      <c r="U550" s="1101"/>
      <c r="V550" s="1082"/>
      <c r="W550" s="1102"/>
      <c r="X550" s="1102"/>
      <c r="Y550" s="1069"/>
      <c r="Z550" s="1069"/>
      <c r="AA550" s="1069"/>
      <c r="AB550" s="1069"/>
      <c r="AC550" s="1103"/>
      <c r="AD550" s="1104"/>
      <c r="AE550" s="1075"/>
      <c r="AF550" s="1125"/>
      <c r="AG550" s="1126"/>
      <c r="AH550" s="1126"/>
      <c r="AI550" s="1126"/>
      <c r="AJ550" s="1126"/>
      <c r="AK550" s="1107"/>
      <c r="AL550" s="1125"/>
      <c r="AM550" s="1126"/>
      <c r="AN550" s="1126"/>
      <c r="AO550" s="1126"/>
      <c r="AP550" s="1126"/>
      <c r="AQ550" s="1107"/>
      <c r="AR550" s="1110"/>
      <c r="AS550" s="1125"/>
      <c r="AT550" s="1126"/>
      <c r="AU550" s="1126"/>
      <c r="AV550" s="1126"/>
      <c r="AW550" s="1127"/>
      <c r="AX550" s="1128"/>
      <c r="AY550" s="1094"/>
      <c r="AZ550" s="1403" t="e">
        <f t="shared" si="250"/>
        <v>#REF!</v>
      </c>
      <c r="BA550" s="2"/>
    </row>
    <row r="551" spans="1:53" ht="15.75" hidden="1" customHeight="1" outlineLevel="1">
      <c r="A551" s="1027"/>
      <c r="B551" s="1404"/>
      <c r="C551" s="1402" t="s">
        <v>12</v>
      </c>
      <c r="D551" s="1067">
        <f>Parametres!$D$10</f>
        <v>10000000</v>
      </c>
      <c r="E551" s="1068" t="e">
        <f>COUNTIFS(#REF!,"&gt;0",#REF!,"&gt;="&amp;B546,#REF!,"&lt;="&amp;EOMONTH(B546,0))</f>
        <v>#REF!</v>
      </c>
      <c r="F551" s="1069" t="e">
        <f>SUMIFS(#REF!,#REF!,"&lt;&gt;0",#REF!,"&gt;="&amp;B546,#REF!,"&lt;="&amp;EOMONTH(B546,0))</f>
        <v>#REF!</v>
      </c>
      <c r="G551" s="1098" t="e">
        <f t="shared" si="248"/>
        <v>#REF!</v>
      </c>
      <c r="H551" s="1113" t="e">
        <f ca="1">MINIFS(#REF!,#REF!,"&lt;&gt;0",#REF!,"&gt;="&amp;B546,#REF!,"&lt;="&amp;EOMONTH(B546,0))</f>
        <v>#NAME?</v>
      </c>
      <c r="I551" s="1078" t="e">
        <f ca="1">MAXIFS(#REF!,#REF!,"&lt;&gt;0",#REF!,"&gt;="&amp;B546,#REF!,"&lt;="&amp;EOMONTH(B546,0))</f>
        <v>#NAME?</v>
      </c>
      <c r="J551" s="1072" t="e">
        <f>COUNTIFS(#REF!,"&gt;="&amp;D551,#REF!,"&gt;="&amp;B546,#REF!,"&lt;="&amp;EOMONTH(B546,0))</f>
        <v>#REF!</v>
      </c>
      <c r="K551" s="1341" t="e">
        <f t="shared" si="249"/>
        <v>#REF!</v>
      </c>
      <c r="L551" s="1115"/>
      <c r="M551" s="1082"/>
      <c r="N551" s="1100"/>
      <c r="O551" s="1100"/>
      <c r="P551" s="1078"/>
      <c r="Q551" s="1078"/>
      <c r="R551" s="1078"/>
      <c r="S551" s="1078"/>
      <c r="T551" s="1101"/>
      <c r="U551" s="1101"/>
      <c r="V551" s="1082"/>
      <c r="W551" s="1129"/>
      <c r="X551" s="1129"/>
      <c r="Y551" s="1069"/>
      <c r="Z551" s="1069"/>
      <c r="AA551" s="1069"/>
      <c r="AB551" s="1069"/>
      <c r="AC551" s="1130"/>
      <c r="AD551" s="1131"/>
      <c r="AE551" s="1082"/>
      <c r="AF551" s="1105"/>
      <c r="AG551" s="1106"/>
      <c r="AH551" s="1106"/>
      <c r="AI551" s="1106"/>
      <c r="AJ551" s="1106"/>
      <c r="AK551" s="1132"/>
      <c r="AL551" s="1105"/>
      <c r="AM551" s="1106"/>
      <c r="AN551" s="1106"/>
      <c r="AO551" s="1106"/>
      <c r="AP551" s="1106"/>
      <c r="AQ551" s="1133"/>
      <c r="AR551" s="1134"/>
      <c r="AS551" s="1135"/>
      <c r="AT551" s="1106"/>
      <c r="AU551" s="1106"/>
      <c r="AV551" s="1106"/>
      <c r="AW551" s="1119"/>
      <c r="AX551" s="1120"/>
      <c r="AY551" s="1094"/>
      <c r="AZ551" s="1403" t="e">
        <f t="shared" si="250"/>
        <v>#REF!</v>
      </c>
      <c r="BA551" s="2"/>
    </row>
    <row r="552" spans="1:53" ht="15.75" hidden="1" customHeight="1" outlineLevel="1">
      <c r="A552" s="1027"/>
      <c r="B552" s="1404"/>
      <c r="C552" s="1402" t="s">
        <v>19</v>
      </c>
      <c r="D552" s="1067">
        <f>Parametres!$D$11</f>
        <v>1.5</v>
      </c>
      <c r="E552" s="1068" t="e">
        <f>COUNTIFS(#REF!,"&gt;0",#REF!,"&gt;="&amp;B546,#REF!,"&lt;="&amp;EOMONTH(B546,0))</f>
        <v>#REF!</v>
      </c>
      <c r="F552" s="1069" t="e">
        <f>SUMIFS(#REF!,#REF!,"&lt;&gt;0",#REF!,"&gt;="&amp;B546,#REF!,"&lt;="&amp;EOMONTH(B546,0))</f>
        <v>#REF!</v>
      </c>
      <c r="G552" s="1098" t="e">
        <f t="shared" si="248"/>
        <v>#REF!</v>
      </c>
      <c r="H552" s="1113" t="e">
        <f ca="1">MINIFS(#REF!,#REF!,"&lt;&gt;0",#REF!,"&gt;="&amp;B546,#REF!,"&lt;="&amp;EOMONTH(B546,0))</f>
        <v>#NAME?</v>
      </c>
      <c r="I552" s="1078" t="e">
        <f ca="1">MAXIFS(#REF!,#REF!,"&lt;&gt;0",#REF!,"&gt;="&amp;B546,#REF!,"&lt;="&amp;EOMONTH(B546,0))</f>
        <v>#NAME?</v>
      </c>
      <c r="J552" s="1072" t="e">
        <f>COUNTIFS(#REF!,"&gt;="&amp;D552,#REF!,"&gt;="&amp;B546,#REF!,"&lt;="&amp;EOMONTH(B546,0))</f>
        <v>#REF!</v>
      </c>
      <c r="K552" s="1341" t="e">
        <f t="shared" si="249"/>
        <v>#REF!</v>
      </c>
      <c r="L552" s="1115"/>
      <c r="M552" s="1082"/>
      <c r="N552" s="1100"/>
      <c r="O552" s="1100"/>
      <c r="P552" s="1078"/>
      <c r="Q552" s="1078"/>
      <c r="R552" s="1078"/>
      <c r="S552" s="1078"/>
      <c r="T552" s="1101"/>
      <c r="U552" s="1101"/>
      <c r="V552" s="1082"/>
      <c r="W552" s="1129"/>
      <c r="X552" s="1129"/>
      <c r="Y552" s="1069"/>
      <c r="Z552" s="1069"/>
      <c r="AA552" s="1069"/>
      <c r="AB552" s="1069"/>
      <c r="AC552" s="1130"/>
      <c r="AD552" s="1131"/>
      <c r="AE552" s="1082"/>
      <c r="AF552" s="1105"/>
      <c r="AG552" s="1106"/>
      <c r="AH552" s="1106"/>
      <c r="AI552" s="1106"/>
      <c r="AJ552" s="1106"/>
      <c r="AK552" s="1082"/>
      <c r="AL552" s="1136"/>
      <c r="AM552" s="1137"/>
      <c r="AN552" s="1137"/>
      <c r="AO552" s="1137"/>
      <c r="AP552" s="1137"/>
      <c r="AQ552" s="1082"/>
      <c r="AR552" s="1118"/>
      <c r="AS552" s="1105"/>
      <c r="AT552" s="1106"/>
      <c r="AU552" s="1106"/>
      <c r="AV552" s="1106"/>
      <c r="AW552" s="1138"/>
      <c r="AX552" s="1120"/>
      <c r="AY552" s="1094"/>
      <c r="AZ552" s="1403" t="e">
        <f t="shared" si="250"/>
        <v>#REF!</v>
      </c>
      <c r="BA552" s="2"/>
    </row>
    <row r="553" spans="1:53" ht="15.75" hidden="1" customHeight="1" outlineLevel="1">
      <c r="A553" s="1027"/>
      <c r="B553" s="1404"/>
      <c r="C553" s="1031" t="s">
        <v>42</v>
      </c>
      <c r="D553" s="1122">
        <f>Parametres!$D$12</f>
        <v>0.1</v>
      </c>
      <c r="E553" s="1068" t="e">
        <f>COUNTIFS(#REF!,"&gt;0",#REF!,"&gt;="&amp;B546,#REF!,"&lt;="&amp;EOMONTH(B546,0))</f>
        <v>#REF!</v>
      </c>
      <c r="F553" s="1069" t="e">
        <f>SUMIFS(#REF!,#REF!,"&lt;&gt;0",#REF!,"&gt;="&amp;B546,#REF!,"&lt;="&amp;EOMONTH(B546,0))</f>
        <v>#REF!</v>
      </c>
      <c r="G553" s="1098" t="e">
        <f t="shared" si="248"/>
        <v>#REF!</v>
      </c>
      <c r="H553" s="1113" t="e">
        <f ca="1">MINIFS(#REF!,#REF!,"&lt;&gt;0",#REF!,"&gt;="&amp;B546,#REF!,"&lt;="&amp;EOMONTH(B546,0))</f>
        <v>#NAME?</v>
      </c>
      <c r="I553" s="1078" t="e">
        <f ca="1">MAXIFS(#REF!,#REF!,"&lt;&gt;0",#REF!,"&gt;="&amp;B546,#REF!,"&lt;="&amp;EOMONTH(B546,0))</f>
        <v>#NAME?</v>
      </c>
      <c r="J553" s="1114" t="e">
        <f>COUNTIFS(#REF!,"&gt;="&amp;D553,#REF!,"&gt;="&amp;B546,#REF!,"&lt;="&amp;EOMONTH(B546,0))</f>
        <v>#REF!</v>
      </c>
      <c r="K553" s="1341" t="e">
        <f t="shared" si="249"/>
        <v>#REF!</v>
      </c>
      <c r="L553" s="1115"/>
      <c r="M553" s="1082"/>
      <c r="N553" s="1076">
        <f>Parametres!$L$12</f>
        <v>100000</v>
      </c>
      <c r="O553" s="1077">
        <f>COUNTIFS('Degrémont Entrée'!$AG$14:$AG$379,"&gt;0",'Degrémont Entrée'!$A$14:$A$379,"&gt;="&amp;B546,'Degrémont Entrée'!$A$14:$A$379,"&lt;="&amp;EOMONTH(B546,0))</f>
        <v>15</v>
      </c>
      <c r="P553" s="1078">
        <f>SUMIFS('Degrémont Entrée'!$AG$14:$AG$379,'Degrémont Entrée'!$AG$14:$AG$379,"&lt;&gt;0",'Degrémont Entrée'!$A$14:$A$379,"&gt;="&amp;B546,'Degrémont Entrée'!$A$14:$A$379,"&lt;="&amp;EOMONTH(B546,0))</f>
        <v>0.27</v>
      </c>
      <c r="Q553" s="1078">
        <f>IF(O553=0,0,P553/O553)</f>
        <v>1.8000000000000002E-2</v>
      </c>
      <c r="R553" s="1078" t="e">
        <f ca="1">MINIFS('Degrémont Entrée'!$AG$14:$AG$379,'Degrémont Entrée'!$AG$14:$AG$379,"&lt;&gt;0",'Degrémont Entrée'!$A$14:$A$379,"&gt;="&amp;B546,'Degrémont Entrée'!$A$14:$A$379,"&lt;="&amp;EOMONTH(B546,0))</f>
        <v>#NAME?</v>
      </c>
      <c r="S553" s="1078" t="e">
        <f ca="1">MAXIFS('Degrémont Entrée'!$AG$14:$AG$379,'Degrémont Entrée'!$AG$14:$AG$379,"&lt;&gt;0",'Degrémont Entrée'!$A$14:$A$379,"&gt;="&amp;B546,'Degrémont Entrée'!$A$14:$A$379,"&lt;="&amp;EOMONTH(B546,0))</f>
        <v>#NAME?</v>
      </c>
      <c r="T553" s="1140" t="s">
        <v>153</v>
      </c>
      <c r="U553" s="1140" t="s">
        <v>153</v>
      </c>
      <c r="V553" s="1082"/>
      <c r="W553" s="1083">
        <f>Parametres!$T$12</f>
        <v>0.1</v>
      </c>
      <c r="X553" s="1142">
        <f>COUNTIFS('Degrémont sortie'!$AA$14:$AA$379,"&gt;0",'Degrémont sortie'!$A$14:$A$379,"&gt;="&amp;B546,'Degrémont sortie'!$A$14:$A$379,"&lt;="&amp;EOMONTH(B546,0))</f>
        <v>14</v>
      </c>
      <c r="Y553" s="1085">
        <f>SUMIFS('Degrémont sortie'!$AA$14:$AA$379,'Degrémont sortie'!$AA$14:$AA$379,"&lt;&gt;0",'Degrémont sortie'!$A$14:$A$379,"&gt;="&amp;B546,'Degrémont sortie'!$A$14:$A$379,"&lt;="&amp;EOMONTH(B546,0))</f>
        <v>0.18</v>
      </c>
      <c r="Z553" s="1069">
        <f t="shared" ref="Z553:Z555" si="251">IF(X553=0,0,Y553/X553)</f>
        <v>1.2857142857142857E-2</v>
      </c>
      <c r="AA553" s="1069" t="e">
        <f ca="1">MINIFS('Degrémont sortie'!$AA$14:$AA$379,'Degrémont sortie'!$AA$14:$AA$379,"&lt;&gt;0",'Degrémont sortie'!$A$14:$A$379,"&gt;="&amp;B546,'Degrémont sortie'!$A$14:$A$379,"&lt;="&amp;EOMONTH(B546,0))</f>
        <v>#NAME?</v>
      </c>
      <c r="AB553" s="1069" t="e">
        <f ca="1">MAXIFS('Degrémont sortie'!$AA$14:$AA$379,'Degrémont sortie'!$AA$14:$AA$379,"&lt;&gt;0",'Degrémont sortie'!$A$14:$A$379,"&gt;="&amp;B546,'Degrémont sortie'!$A$14:$A$379,"&lt;="&amp;EOMONTH(B546,0))</f>
        <v>#NAME?</v>
      </c>
      <c r="AC553" s="1142">
        <f>COUNTIFS('Degrémont sortie'!$AA$14:$AA$379,"&gt;="&amp;W553,'Degrémont sortie'!$A$14:$A$379,"&gt;="&amp;B546,'Degrémont sortie'!$A$14:$A$379,"&lt;="&amp;EOMONTH(B546,0))</f>
        <v>0</v>
      </c>
      <c r="AD553" s="1087">
        <f t="shared" ref="AD553:AD555" si="252">AC553/X553</f>
        <v>0</v>
      </c>
      <c r="AE553" s="1082"/>
      <c r="AF553" s="1105"/>
      <c r="AG553" s="1106"/>
      <c r="AH553" s="1106"/>
      <c r="AI553" s="1106"/>
      <c r="AJ553" s="1106"/>
      <c r="AK553" s="1082"/>
      <c r="AL553" s="1116"/>
      <c r="AM553" s="1117"/>
      <c r="AN553" s="1117"/>
      <c r="AO553" s="1117"/>
      <c r="AP553" s="1117"/>
      <c r="AQ553" s="1082"/>
      <c r="AR553" s="1118"/>
      <c r="AS553" s="1105"/>
      <c r="AT553" s="1106"/>
      <c r="AU553" s="1106"/>
      <c r="AV553" s="1106"/>
      <c r="AW553" s="1119"/>
      <c r="AX553" s="1120"/>
      <c r="AY553" s="1094"/>
      <c r="AZ553" s="1403" t="e">
        <f t="shared" si="250"/>
        <v>#REF!</v>
      </c>
      <c r="BA553" s="2"/>
    </row>
    <row r="554" spans="1:53" ht="15.75" hidden="1" customHeight="1" outlineLevel="1">
      <c r="A554" s="1027"/>
      <c r="B554" s="1404"/>
      <c r="C554" s="1031" t="s">
        <v>286</v>
      </c>
      <c r="D554" s="1122">
        <f>Parametres!$D$13</f>
        <v>0.5</v>
      </c>
      <c r="E554" s="1068" t="e">
        <f>COUNTIFS(#REF!,"&gt;0",#REF!,"&gt;="&amp;B546,#REF!,"&lt;="&amp;EOMONTH(B546,0))</f>
        <v>#REF!</v>
      </c>
      <c r="F554" s="1069" t="e">
        <f>SUMIFS(#REF!,#REF!,"&lt;&gt;0",#REF!,"&gt;="&amp;B546,#REF!,"&lt;="&amp;EOMONTH(B546,0))</f>
        <v>#REF!</v>
      </c>
      <c r="G554" s="1098" t="e">
        <f t="shared" si="248"/>
        <v>#REF!</v>
      </c>
      <c r="H554" s="1113" t="e">
        <f ca="1">MINIFS(#REF!,#REF!,"&lt;&gt;0",#REF!,"&gt;="&amp;B546,#REF!,"&lt;="&amp;EOMONTH(B546,0))</f>
        <v>#NAME?</v>
      </c>
      <c r="I554" s="1078" t="e">
        <f ca="1">MAXIFS(#REF!,#REF!,"&lt;&gt;0",#REF!,"&gt;="&amp;B546,#REF!,"&lt;="&amp;EOMONTH(B546,0))</f>
        <v>#NAME?</v>
      </c>
      <c r="J554" s="1114" t="e">
        <f>COUNTIFS(#REF!,"&gt;="&amp;D554,#REF!,"&gt;="&amp;B546,#REF!,"&lt;="&amp;EOMONTH(B546,0))</f>
        <v>#REF!</v>
      </c>
      <c r="K554" s="1341" t="e">
        <f t="shared" si="249"/>
        <v>#REF!</v>
      </c>
      <c r="L554" s="1115"/>
      <c r="M554" s="1082"/>
      <c r="N554" s="1129"/>
      <c r="O554" s="1129"/>
      <c r="P554" s="1069"/>
      <c r="Q554" s="1069"/>
      <c r="R554" s="1069"/>
      <c r="S554" s="1069"/>
      <c r="T554" s="1143"/>
      <c r="U554" s="1143"/>
      <c r="V554" s="1132"/>
      <c r="W554" s="1083">
        <f>Parametres!$T$13</f>
        <v>0.08</v>
      </c>
      <c r="X554" s="1142">
        <f>COUNTIFS('Degrémont sortie'!$AD$14:$AD$379,"&gt;0",'Degrémont sortie'!$A$14:$A$379,"&gt;="&amp;B546,'Degrémont sortie'!$A$14:$A$379,"&lt;="&amp;EOMONTH(B546,0))</f>
        <v>4</v>
      </c>
      <c r="Y554" s="1085">
        <f>SUMIFS('Degrémont sortie'!$AD$14:$AD$379,'Degrémont sortie'!$AD$14:$AD$379,"&lt;&gt;0",'Degrémont sortie'!$A$14:$A$379,"&gt;="&amp;B546,'Degrémont sortie'!$A$14:$A$379,"&lt;="&amp;EOMONTH(B546,0))</f>
        <v>2.5000000000000001E-2</v>
      </c>
      <c r="Z554" s="1069">
        <f t="shared" si="251"/>
        <v>6.2500000000000003E-3</v>
      </c>
      <c r="AA554" s="1069" t="e">
        <f ca="1">MINIFS('Degrémont sortie'!$AD$14:$AD$379,'Degrémont sortie'!$AD$14:$AD$379,"&lt;&gt;0",'Degrémont sortie'!$A$14:$A$379,"&gt;="&amp;B546,'Degrémont sortie'!$A$14:$A$379,"&lt;="&amp;EOMONTH(B546,0))</f>
        <v>#NAME?</v>
      </c>
      <c r="AB554" s="1069" t="e">
        <f ca="1">MAXIFS('Degrémont sortie'!$AD$14:$AD$379,'Degrémont sortie'!$AD$14:$AD$379,"&lt;&gt;0",'Degrémont sortie'!$A$14:$A$379,"&gt;="&amp;B546,'Degrémont sortie'!$A$14:$A$379,"&lt;="&amp;EOMONTH(B546,0))</f>
        <v>#NAME?</v>
      </c>
      <c r="AC554" s="1142">
        <f>COUNTIFS('Degrémont sortie'!$AD$14:$AD$379,"&gt;="&amp;W554,'Degrémont sortie'!$A$14:$A$379,"&gt;="&amp;B546,'Degrémont sortie'!$A$14:$A$379,"&lt;="&amp;EOMONTH(B546,0))</f>
        <v>0</v>
      </c>
      <c r="AD554" s="1087">
        <f t="shared" si="252"/>
        <v>0</v>
      </c>
      <c r="AE554" s="1132"/>
      <c r="AF554" s="1105"/>
      <c r="AG554" s="1106"/>
      <c r="AH554" s="1106"/>
      <c r="AI554" s="1106"/>
      <c r="AJ554" s="1106"/>
      <c r="AK554" s="1132"/>
      <c r="AL554" s="1105"/>
      <c r="AM554" s="1106"/>
      <c r="AN554" s="1106"/>
      <c r="AO554" s="1106"/>
      <c r="AP554" s="1106"/>
      <c r="AQ554" s="1133"/>
      <c r="AR554" s="1134"/>
      <c r="AS554" s="1135"/>
      <c r="AT554" s="1106"/>
      <c r="AU554" s="1106"/>
      <c r="AV554" s="1106"/>
      <c r="AW554" s="1119"/>
      <c r="AX554" s="1120"/>
      <c r="AY554" s="1094"/>
      <c r="AZ554" s="1403" t="e">
        <f t="shared" si="250"/>
        <v>#REF!</v>
      </c>
      <c r="BA554" s="2"/>
    </row>
    <row r="555" spans="1:53" ht="15.75" hidden="1" customHeight="1" outlineLevel="1">
      <c r="A555" s="1027"/>
      <c r="B555" s="1404"/>
      <c r="C555" s="1031" t="s">
        <v>45</v>
      </c>
      <c r="D555" s="1122">
        <f>Parametres!$D$14</f>
        <v>0.5</v>
      </c>
      <c r="E555" s="1068" t="e">
        <f>COUNTIFS(#REF!,"&gt;0",#REF!,"&gt;="&amp;B546,#REF!,"&lt;="&amp;EOMONTH(B546,0))</f>
        <v>#REF!</v>
      </c>
      <c r="F555" s="1069" t="e">
        <f>SUMIFS(#REF!,#REF!,"&lt;&gt;0",#REF!,"&gt;="&amp;B546,#REF!,"&lt;="&amp;EOMONTH(B546,0))</f>
        <v>#REF!</v>
      </c>
      <c r="G555" s="1098" t="e">
        <f t="shared" si="248"/>
        <v>#REF!</v>
      </c>
      <c r="H555" s="1070" t="e">
        <f ca="1">MINIFS(#REF!,#REF!,"&lt;&gt;0",#REF!,"&gt;="&amp;B546,#REF!,"&lt;="&amp;EOMONTH(B546,0))</f>
        <v>#NAME?</v>
      </c>
      <c r="I555" s="1078" t="e">
        <f ca="1">MAXIFS(#REF!,#REF!,"&lt;&gt;0",#REF!,"&gt;="&amp;B546,#REF!,"&lt;="&amp;EOMONTH(B546,0))</f>
        <v>#NAME?</v>
      </c>
      <c r="J555" s="1114" t="e">
        <f>COUNTIFS(#REF!,"&gt;="&amp;D555,#REF!,"&gt;="&amp;B546,#REF!,"&lt;="&amp;EOMONTH(B546,0))</f>
        <v>#REF!</v>
      </c>
      <c r="K555" s="1341" t="e">
        <f t="shared" si="249"/>
        <v>#REF!</v>
      </c>
      <c r="L555" s="1115"/>
      <c r="M555" s="1082"/>
      <c r="N555" s="1144">
        <f>Parametres!$L$14</f>
        <v>3</v>
      </c>
      <c r="O555" s="1077">
        <f>COUNTIFS('Degrémont Entrée'!$AS$14:$AS$379,"&gt;0",'Degrémont Entrée'!$A$14:$A$379,"&gt;="&amp;B546,'Degrémont Entrée'!$A$14:$A$379,"&lt;="&amp;EOMONTH(B546,0))</f>
        <v>4</v>
      </c>
      <c r="P555" s="1078">
        <f>SUMIFS('Degrémont Entrée'!$AS$14:$AS$379,'Degrémont Entrée'!$AS$14:$AS$379,"&lt;&gt;0",'Degrémont Entrée'!$A$14:$A$379,"&gt;="&amp;B546,'Degrémont Entrée'!$A$14:$A$379,"&lt;="&amp;EOMONTH(B546,0))</f>
        <v>7.1470000000000002</v>
      </c>
      <c r="Q555" s="1078">
        <f>IF(O555=0,0,P555/O555)</f>
        <v>1.7867500000000001</v>
      </c>
      <c r="R555" s="1069" t="e">
        <f ca="1">MINIFS('Degrémont Entrée'!$AS$14:$AS$379,'Degrémont Entrée'!$AS$14:$AS$379,"&lt;&gt;0",'Degrémont Entrée'!$A$14:$A$379,"&gt;="&amp;B546,'Degrémont Entrée'!$A$14:$A$379,"&lt;="&amp;EOMONTH(B546,0))</f>
        <v>#NAME?</v>
      </c>
      <c r="S555" s="1069" t="e">
        <f ca="1">MAXIFS('Degrémont Entrée'!$AS$14:$AS$379,'Degrémont Entrée'!$AS$14:$AS$379,"&lt;&gt;0",'Degrémont Entrée'!$A$14:$A$379,"&gt;="&amp;B546,'Degrémont Entrée'!$A$14:$A$379,"&lt;="&amp;EOMONTH(B546,0))</f>
        <v>#NAME?</v>
      </c>
      <c r="T555" s="1145">
        <f>COUNTIFS('Degrémont Entrée'!$AS$14:$AS$379,"&gt;="&amp;N555,'Degrémont Entrée'!$A$14:$A$379,"&gt;="&amp;B546,'Degrémont Entrée'!$A$14:$A$379,"&lt;="&amp;EOMONTH(B546,0))</f>
        <v>0</v>
      </c>
      <c r="U555" s="1081">
        <f>T555/O555</f>
        <v>0</v>
      </c>
      <c r="V555" s="1132"/>
      <c r="W555" s="1083">
        <f>Parametres!$T$14</f>
        <v>0.12</v>
      </c>
      <c r="X555" s="1142">
        <f>COUNTIFS('Degrémont sortie'!$AM$14:$AM$379,"&gt;0",'Degrémont sortie'!$A$14:$A$379,"&gt;="&amp;B546,'Degrémont sortie'!$A$14:$A$379,"&lt;="&amp;EOMONTH(B546,0))</f>
        <v>4</v>
      </c>
      <c r="Y555" s="1085">
        <f>SUMIFS('Degrémont sortie'!$AM$14:$AM$379,'Degrémont sortie'!$AM$14:$AM$379,"&lt;&gt;0",'Degrémont sortie'!$A$14:$A$379,"&gt;="&amp;B546,'Degrémont sortie'!$A$14:$A$379,"&lt;="&amp;EOMONTH(B546,0))</f>
        <v>2.6000000000000002E-2</v>
      </c>
      <c r="Z555" s="1069">
        <f t="shared" si="251"/>
        <v>6.5000000000000006E-3</v>
      </c>
      <c r="AA555" s="1069" t="e">
        <f ca="1">MINIFS('Degrémont sortie'!$AM$14:$AM$379,'Degrémont sortie'!$AM$14:$AM$379,"&lt;&gt;0",'Degrémont sortie'!$A$14:$A$379,"&gt;="&amp;B546,'Degrémont sortie'!$A$14:$A$379,"&lt;="&amp;EOMONTH(B546,0))</f>
        <v>#NAME?</v>
      </c>
      <c r="AB555" s="1069" t="e">
        <f ca="1">MAXIFS('Degrémont sortie'!$AM$14:$AM$379,'Degrémont sortie'!$AM$14:$AM$379,"&lt;&gt;0",'Degrémont sortie'!$A$14:$A$379,"&gt;="&amp;B546,'Degrémont sortie'!$A$14:$A$379,"&lt;="&amp;EOMONTH(B546,0))</f>
        <v>#NAME?</v>
      </c>
      <c r="AC555" s="1142">
        <f>COUNTIFS('Degrémont sortie'!$AM$14:$AM$379,"&gt;="&amp;W555,'Degrémont sortie'!$A$14:$A$379,"&gt;="&amp;B546,'Degrémont sortie'!$A$14:$A$379,"&lt;="&amp;EOMONTH(B546,0))</f>
        <v>0</v>
      </c>
      <c r="AD555" s="1087">
        <f t="shared" si="252"/>
        <v>0</v>
      </c>
      <c r="AE555" s="1132"/>
      <c r="AF555" s="1105"/>
      <c r="AG555" s="1106"/>
      <c r="AH555" s="1106"/>
      <c r="AI555" s="1106"/>
      <c r="AJ555" s="1106"/>
      <c r="AK555" s="1132"/>
      <c r="AL555" s="1105"/>
      <c r="AM555" s="1106"/>
      <c r="AN555" s="1106"/>
      <c r="AO555" s="1106"/>
      <c r="AP555" s="1106"/>
      <c r="AQ555" s="1132"/>
      <c r="AR555" s="1148"/>
      <c r="AS555" s="1105"/>
      <c r="AT555" s="1106"/>
      <c r="AU555" s="1106"/>
      <c r="AV555" s="1106"/>
      <c r="AW555" s="1138"/>
      <c r="AX555" s="1120"/>
      <c r="AY555" s="1094"/>
      <c r="AZ555" s="1403" t="e">
        <f t="shared" si="250"/>
        <v>#REF!</v>
      </c>
      <c r="BA555" s="2"/>
    </row>
    <row r="556" spans="1:53" ht="15.75" hidden="1" customHeight="1" outlineLevel="1">
      <c r="A556" s="1027"/>
      <c r="B556" s="1404"/>
      <c r="C556" s="1402" t="s">
        <v>20</v>
      </c>
      <c r="D556" s="1122">
        <f>Parametres!$D$15</f>
        <v>0.1</v>
      </c>
      <c r="E556" s="1068" t="e">
        <f>COUNTIFS(#REF!,"&gt;0",#REF!,"&gt;="&amp;B546,#REF!,"&lt;="&amp;EOMONTH(B546,0))</f>
        <v>#REF!</v>
      </c>
      <c r="F556" s="1069" t="e">
        <f>SUMIFS(#REF!,#REF!,"&lt;&gt;0",#REF!,"&gt;="&amp;B546,#REF!,"&lt;="&amp;EOMONTH(B546,0))</f>
        <v>#REF!</v>
      </c>
      <c r="G556" s="1098" t="e">
        <f t="shared" si="248"/>
        <v>#REF!</v>
      </c>
      <c r="H556" s="1070" t="e">
        <f ca="1">MINIFS(#REF!,#REF!,"&lt;&gt;0",#REF!,"&gt;="&amp;B546,#REF!,"&lt;="&amp;EOMONTH(B546,0))</f>
        <v>#NAME?</v>
      </c>
      <c r="I556" s="1078" t="e">
        <f ca="1">MAXIFS(#REF!,#REF!,"&lt;&gt;0",#REF!,"&gt;="&amp;B546,#REF!,"&lt;="&amp;EOMONTH(B546,0))</f>
        <v>#NAME?</v>
      </c>
      <c r="J556" s="1072" t="e">
        <f>COUNTIFS(#REF!,"&gt;="&amp;D556,#REF!,"&gt;="&amp;B546,#REF!,"&lt;="&amp;EOMONTH(B546,0))</f>
        <v>#REF!</v>
      </c>
      <c r="K556" s="1341" t="e">
        <f t="shared" si="249"/>
        <v>#REF!</v>
      </c>
      <c r="L556" s="1115"/>
      <c r="M556" s="1082"/>
      <c r="N556" s="1129"/>
      <c r="O556" s="1129"/>
      <c r="P556" s="1069"/>
      <c r="Q556" s="1069"/>
      <c r="R556" s="1069"/>
      <c r="S556" s="1069"/>
      <c r="T556" s="1143"/>
      <c r="U556" s="1143"/>
      <c r="V556" s="1132"/>
      <c r="W556" s="1129"/>
      <c r="X556" s="1129"/>
      <c r="Y556" s="1069"/>
      <c r="Z556" s="1069"/>
      <c r="AA556" s="1069"/>
      <c r="AB556" s="1069"/>
      <c r="AC556" s="1130"/>
      <c r="AD556" s="1131"/>
      <c r="AE556" s="1132"/>
      <c r="AF556" s="1105"/>
      <c r="AG556" s="1106"/>
      <c r="AH556" s="1106"/>
      <c r="AI556" s="1106"/>
      <c r="AJ556" s="1106"/>
      <c r="AK556" s="1132"/>
      <c r="AL556" s="1105"/>
      <c r="AM556" s="1106"/>
      <c r="AN556" s="1106"/>
      <c r="AO556" s="1106"/>
      <c r="AP556" s="1106"/>
      <c r="AQ556" s="1132"/>
      <c r="AR556" s="1148"/>
      <c r="AS556" s="1105"/>
      <c r="AT556" s="1106"/>
      <c r="AU556" s="1106"/>
      <c r="AV556" s="1106"/>
      <c r="AW556" s="1119"/>
      <c r="AX556" s="1120"/>
      <c r="AY556" s="1094"/>
      <c r="AZ556" s="1403" t="e">
        <f t="shared" si="250"/>
        <v>#REF!</v>
      </c>
      <c r="BA556" s="2"/>
    </row>
    <row r="557" spans="1:53" ht="15.75" hidden="1" customHeight="1" outlineLevel="1">
      <c r="A557" s="1027"/>
      <c r="B557" s="1404"/>
      <c r="C557" s="1402" t="s">
        <v>14</v>
      </c>
      <c r="D557" s="1122">
        <f>Parametres!$D$16</f>
        <v>10000000</v>
      </c>
      <c r="E557" s="1068" t="e">
        <f>COUNTIFS(#REF!,"&gt;0",#REF!,"&gt;="&amp;B546,#REF!,"&lt;="&amp;EOMONTH(B546,0))</f>
        <v>#REF!</v>
      </c>
      <c r="F557" s="1069" t="e">
        <f>SUMIFS(#REF!,#REF!,"&lt;&gt;0",#REF!,"&gt;="&amp;B546,#REF!,"&lt;="&amp;EOMONTH(B546,0))</f>
        <v>#REF!</v>
      </c>
      <c r="G557" s="1098" t="e">
        <f t="shared" si="248"/>
        <v>#REF!</v>
      </c>
      <c r="H557" s="1070" t="e">
        <f ca="1">MINIFS(#REF!,#REF!,"&lt;&gt;0",#REF!,"&gt;="&amp;B546,#REF!,"&lt;="&amp;EOMONTH(B546,0))</f>
        <v>#NAME?</v>
      </c>
      <c r="I557" s="1078" t="e">
        <f ca="1">MAXIFS(#REF!,#REF!,"&lt;&gt;0",#REF!,"&gt;="&amp;B546,#REF!,"&lt;="&amp;EOMONTH(B546,0))</f>
        <v>#NAME?</v>
      </c>
      <c r="J557" s="1072" t="e">
        <f>COUNTIFS(#REF!,"&gt;="&amp;D557,#REF!,"&gt;="&amp;B546,#REF!,"&lt;="&amp;EOMONTH(B546,0))</f>
        <v>#REF!</v>
      </c>
      <c r="K557" s="1341" t="e">
        <f t="shared" si="249"/>
        <v>#REF!</v>
      </c>
      <c r="L557" s="1115"/>
      <c r="M557" s="1082"/>
      <c r="N557" s="1129"/>
      <c r="O557" s="1129"/>
      <c r="P557" s="1069"/>
      <c r="Q557" s="1069"/>
      <c r="R557" s="1069"/>
      <c r="S557" s="1069"/>
      <c r="T557" s="1143"/>
      <c r="U557" s="1143"/>
      <c r="V557" s="1132"/>
      <c r="W557" s="1129"/>
      <c r="X557" s="1129"/>
      <c r="Y557" s="1069"/>
      <c r="Z557" s="1069"/>
      <c r="AA557" s="1069"/>
      <c r="AB557" s="1069"/>
      <c r="AC557" s="1130"/>
      <c r="AD557" s="1131"/>
      <c r="AE557" s="1132"/>
      <c r="AF557" s="1105"/>
      <c r="AG557" s="1106"/>
      <c r="AH557" s="1106"/>
      <c r="AI557" s="1106"/>
      <c r="AJ557" s="1106"/>
      <c r="AK557" s="1082"/>
      <c r="AL557" s="1136"/>
      <c r="AM557" s="1137"/>
      <c r="AN557" s="1137"/>
      <c r="AO557" s="1137"/>
      <c r="AP557" s="1137"/>
      <c r="AQ557" s="1082"/>
      <c r="AR557" s="1118"/>
      <c r="AS557" s="1105"/>
      <c r="AT557" s="1106"/>
      <c r="AU557" s="1106"/>
      <c r="AV557" s="1106"/>
      <c r="AW557" s="1138"/>
      <c r="AX557" s="1120"/>
      <c r="AY557" s="1094"/>
      <c r="AZ557" s="1403" t="e">
        <f t="shared" si="250"/>
        <v>#REF!</v>
      </c>
      <c r="BA557" s="2"/>
    </row>
    <row r="558" spans="1:53" ht="15.75" hidden="1" customHeight="1" outlineLevel="1">
      <c r="A558" s="1027"/>
      <c r="B558" s="1404"/>
      <c r="C558" s="1031" t="s">
        <v>284</v>
      </c>
      <c r="D558" s="1122">
        <f>Parametres!$D$17</f>
        <v>450</v>
      </c>
      <c r="E558" s="1068" t="e">
        <f>COUNTIFS(#REF!,"&gt;0",#REF!,"&gt;="&amp;B546,#REF!,"&lt;="&amp;EOMONTH(B546,0))</f>
        <v>#REF!</v>
      </c>
      <c r="F558" s="1069" t="e">
        <f>SUMIFS(#REF!,#REF!,"&lt;&gt;0",#REF!,"&gt;="&amp;B546,#REF!,"&lt;="&amp;EOMONTH(B546,0))</f>
        <v>#REF!</v>
      </c>
      <c r="G558" s="1069" t="e">
        <f t="shared" si="248"/>
        <v>#REF!</v>
      </c>
      <c r="H558" s="1070" t="e">
        <f ca="1">MINIFS(#REF!,#REF!,"&lt;&gt;0",#REF!,"&gt;="&amp;B546,#REF!,"&lt;="&amp;EOMONTH(B546,0))</f>
        <v>#NAME?</v>
      </c>
      <c r="I558" s="1078" t="e">
        <f ca="1">MAXIFS(#REF!,#REF!,"&lt;&gt;0",#REF!,"&gt;="&amp;B546,#REF!,"&lt;="&amp;EOMONTH(B546,0))</f>
        <v>#NAME?</v>
      </c>
      <c r="J558" s="1114" t="e">
        <f>COUNTIFS(#REF!,"&gt;="&amp;D558,#REF!,"&gt;="&amp;B546,#REF!,"&lt;="&amp;EOMONTH(B546,0))</f>
        <v>#REF!</v>
      </c>
      <c r="K558" s="1341" t="e">
        <f t="shared" si="249"/>
        <v>#REF!</v>
      </c>
      <c r="L558" s="1115"/>
      <c r="M558" s="1082"/>
      <c r="N558" s="1171"/>
      <c r="O558" s="1171"/>
      <c r="P558" s="1173"/>
      <c r="Q558" s="1173"/>
      <c r="R558" s="1173"/>
      <c r="S558" s="1173"/>
      <c r="T558" s="1175"/>
      <c r="U558" s="1175"/>
      <c r="V558" s="1177"/>
      <c r="W558" s="1129"/>
      <c r="X558" s="1129"/>
      <c r="Y558" s="1069"/>
      <c r="Z558" s="1069"/>
      <c r="AA558" s="1069"/>
      <c r="AB558" s="1069"/>
      <c r="AC558" s="1130"/>
      <c r="AD558" s="1131"/>
      <c r="AE558" s="1082"/>
      <c r="AF558" s="1105"/>
      <c r="AG558" s="1106"/>
      <c r="AH558" s="1106"/>
      <c r="AI558" s="1106"/>
      <c r="AJ558" s="1106"/>
      <c r="AK558" s="1132"/>
      <c r="AL558" s="1105"/>
      <c r="AM558" s="1106"/>
      <c r="AN558" s="1106"/>
      <c r="AO558" s="1106"/>
      <c r="AP558" s="1119"/>
      <c r="AQ558" s="1132"/>
      <c r="AR558" s="1148"/>
      <c r="AS558" s="1105"/>
      <c r="AT558" s="1106"/>
      <c r="AU558" s="1106"/>
      <c r="AV558" s="1106"/>
      <c r="AW558" s="1119"/>
      <c r="AX558" s="1120"/>
      <c r="AY558" s="1094"/>
      <c r="AZ558" s="1403" t="e">
        <f t="shared" si="250"/>
        <v>#REF!</v>
      </c>
      <c r="BA558" s="2"/>
    </row>
    <row r="559" spans="1:53" ht="15.75" hidden="1" customHeight="1" outlineLevel="1">
      <c r="A559" s="1027"/>
      <c r="B559" s="1404"/>
      <c r="C559" s="1405" t="s">
        <v>35</v>
      </c>
      <c r="D559" s="1122">
        <f>Parametres!$D$18</f>
        <v>1750</v>
      </c>
      <c r="E559" s="1068" t="e">
        <f>COUNTIFS(#REF!,"&gt;0",#REF!,"&gt;="&amp;B546,#REF!,"&lt;="&amp;EOMONTH(B546,0))</f>
        <v>#REF!</v>
      </c>
      <c r="F559" s="1069" t="e">
        <f>SUMIFS(#REF!,#REF!,"&lt;&gt;0",#REF!,"&gt;="&amp;B546,#REF!,"&lt;="&amp;EOMONTH(B546,0))</f>
        <v>#REF!</v>
      </c>
      <c r="G559" s="1069" t="e">
        <f t="shared" si="248"/>
        <v>#REF!</v>
      </c>
      <c r="H559" s="1070" t="e">
        <f ca="1">MINIFS(#REF!,#REF!,"&lt;&gt;0",#REF!,"&gt;="&amp;B546,#REF!,"&lt;="&amp;EOMONTH(B546,0))</f>
        <v>#NAME?</v>
      </c>
      <c r="I559" s="1078" t="e">
        <f ca="1">MAXIFS(#REF!,#REF!,"&lt;&gt;0",#REF!,"&gt;="&amp;B546,#REF!,"&lt;="&amp;EOMONTH(B546,0))</f>
        <v>#NAME?</v>
      </c>
      <c r="J559" s="1114" t="e">
        <f>COUNTIFS(#REF!,"&gt;="&amp;D559,#REF!,"&gt;="&amp;B546,#REF!,"&lt;="&amp;EOMONTH(B546,0))</f>
        <v>#REF!</v>
      </c>
      <c r="K559" s="1341" t="e">
        <f t="shared" si="249"/>
        <v>#REF!</v>
      </c>
      <c r="L559" s="1115"/>
      <c r="M559" s="1082"/>
      <c r="N559" s="1144">
        <f>Parametres!$L$18</f>
        <v>5000</v>
      </c>
      <c r="O559" s="1077">
        <f>COUNTIFS('Degrémont Entrée'!$K$14:$K$379,"&gt;0",'Degrémont Entrée'!$A$14:$A$379,"&gt;="&amp;B546,'Degrémont Entrée'!$A$14:$A$379,"&lt;="&amp;EOMONTH(B546,0))</f>
        <v>15</v>
      </c>
      <c r="P559" s="1078">
        <f>SUMIFS('Degrémont Entrée'!$K$14:$K$379,'Degrémont Entrée'!$K$14:$K$379,"&lt;&gt;0",'Degrémont Entrée'!$A$14:$A$379,"&gt;="&amp;B546,'Degrémont Entrée'!$A$14:$A$379,"&lt;="&amp;EOMONTH(B546,0))</f>
        <v>162926</v>
      </c>
      <c r="Q559" s="1078">
        <f t="shared" ref="Q559:Q561" si="253">IF(O559=0,0,P559/O559)</f>
        <v>10861.733333333334</v>
      </c>
      <c r="R559" s="1078" t="e">
        <f ca="1">MINIFS('Degrémont Entrée'!$K$14:$K$379,'Degrémont Entrée'!$K$14:$K$379,"&lt;&gt;0",'Degrémont Entrée'!$A$14:$A$379,"&gt;="&amp;B546,'Degrémont Entrée'!$A$14:$A$379,"&lt;="&amp;EOMONTH(B546,0))</f>
        <v>#NAME?</v>
      </c>
      <c r="S559" s="1078" t="e">
        <f ca="1">MAXIFS('Degrémont Entrée'!$K$14:$K$379,'Degrémont Entrée'!$K$14:$K$379,"&lt;&gt;0",'Degrémont Entrée'!$A$14:$A$379,"&gt;="&amp;B546,'Degrémont Entrée'!$A$14:$A$379,"&lt;="&amp;EOMONTH(B546,0))</f>
        <v>#NAME?</v>
      </c>
      <c r="T559" s="1080">
        <f>COUNTIFS('Degrémont Entrée'!$K$14:$K$379,"&gt;="&amp;N559,'Degrémont Entrée'!$A$14:$A$379,"&gt;="&amp;B546,'Degrémont Entrée'!$A$14:$A$379,"&lt;="&amp;EOMONTH(B546,0))</f>
        <v>12</v>
      </c>
      <c r="U559" s="1081">
        <f>T559/O559</f>
        <v>0.8</v>
      </c>
      <c r="V559" s="1082"/>
      <c r="W559" s="1083">
        <f>Parametres!$T$18</f>
        <v>2000</v>
      </c>
      <c r="X559" s="1142">
        <f>COUNTIFS('Degrémont sortie'!$I$14:$I$379,"&gt;0",'Degrémont sortie'!$A$14:$A$379,"&gt;="&amp;B546,'Degrémont sortie'!$A$14:$A$379,"&lt;="&amp;EOMONTH(B546,0))</f>
        <v>15</v>
      </c>
      <c r="Y559" s="1085">
        <f>SUMIFS('Degrémont sortie'!$I$14:$I$379,'Degrémont sortie'!$I$14:$I$379,"&lt;&gt;0",'Degrémont sortie'!$A$14:$A$379,"&gt;="&amp;B546,'Degrémont sortie'!$A$14:$A$379,"&lt;="&amp;EOMONTH(B546,0))</f>
        <v>9227</v>
      </c>
      <c r="Z559" s="1069">
        <f>IF(X559=0,0,Y559/X559)</f>
        <v>615.13333333333333</v>
      </c>
      <c r="AA559" s="1069" t="e">
        <f ca="1">MINIFS('Degrémont sortie'!$I$14:$I$379,'Degrémont sortie'!$I$14:$I$379,"&lt;&gt;0",'Degrémont sortie'!$A$14:$A$379,"&gt;="&amp;B546,'Degrémont sortie'!$A$14:$A$379,"&lt;="&amp;EOMONTH(B546,0))</f>
        <v>#NAME?</v>
      </c>
      <c r="AB559" s="1069" t="e">
        <f ca="1">MAXIFS('Degrémont sortie'!$I$14:$I$379,'Degrémont sortie'!$I$14:$I$379,"&lt;&gt;0",'Degrémont sortie'!$A$14:$A$379,"&gt;="&amp;B546,'Degrémont sortie'!$A$14:$A$379,"&lt;="&amp;EOMONTH(B546,0))</f>
        <v>#NAME?</v>
      </c>
      <c r="AC559" s="1142">
        <f>COUNTIFS('Degrémont sortie'!$I$14:$I$379,"&gt;="&amp;W559,'Degrémont sortie'!$A$14:$A$379,"&gt;="&amp;B546,'Degrémont sortie'!$A$14:$A$379,"&lt;="&amp;EOMONTH(B546,0))</f>
        <v>1</v>
      </c>
      <c r="AD559" s="1087">
        <f>AC559/X559</f>
        <v>6.6666666666666666E-2</v>
      </c>
      <c r="AE559" s="1082"/>
      <c r="AF559" s="1205" t="e">
        <f>COUNTIFS(#REF!,"&gt;0",#REF!,"&gt;="&amp;B546,#REF!,"&lt;="&amp;EOMONTH(B546,0))</f>
        <v>#REF!</v>
      </c>
      <c r="AG559" s="1208" t="e">
        <f>SUMIFS(#REF!,#REF!,"&lt;&gt;0",#REF!,"&gt;="&amp;B546,#REF!,"&lt;="&amp;EOMONTH(B546,0))</f>
        <v>#REF!</v>
      </c>
      <c r="AH559" s="1208" t="e">
        <f>IF(AF559=0,0,AG559/AF559)</f>
        <v>#REF!</v>
      </c>
      <c r="AI559" s="1208" t="e">
        <f ca="1">MINIFS(#REF!,#REF!,"&lt;&gt;0",#REF!,"&gt;="&amp;B546,#REF!,"&lt;="&amp;EOMONTH(B546,0))</f>
        <v>#NAME?</v>
      </c>
      <c r="AJ559" s="1211" t="e">
        <f ca="1">MAXIFS(#REF!,#REF!,"&lt;&gt;0",#REF!,"&gt;="&amp;B546,#REF!,"&lt;="&amp;EOMONTH(B546,0))</f>
        <v>#NAME?</v>
      </c>
      <c r="AK559" s="1132"/>
      <c r="AL559" s="1205" t="e">
        <f>COUNTIFS(#REF!,"&gt;0",#REF!,"&gt;="&amp;B546,#REF!,"&lt;="&amp;EOMONTH(B546,0))</f>
        <v>#REF!</v>
      </c>
      <c r="AM559" s="1208" t="e">
        <f>SUMIFS(#REF!,#REF!,"&lt;&gt;0",#REF!,"&gt;="&amp;B546,#REF!,"&lt;="&amp;EOMONTH(B546,0))</f>
        <v>#REF!</v>
      </c>
      <c r="AN559" s="1208" t="e">
        <f>IF(AL559=0,0,AM559/AL559)</f>
        <v>#REF!</v>
      </c>
      <c r="AO559" s="1208" t="e">
        <f ca="1">MINIFS(#REF!,#REF!,"&lt;&gt;0",#REF!,"&gt;="&amp;B546,#REF!,"&lt;="&amp;EOMONTH(B546,0))</f>
        <v>#NAME?</v>
      </c>
      <c r="AP559" s="1218" t="e">
        <f ca="1">MAXIFS(#REF!,#REF!,"&lt;&gt;0",#REF!,"&gt;="&amp;B546,#REF!,"&lt;="&amp;EOMONTH(B546,0))</f>
        <v>#NAME?</v>
      </c>
      <c r="AQ559" s="1132"/>
      <c r="AR559" s="1220">
        <f>Parametres!$AM$18</f>
        <v>17000</v>
      </c>
      <c r="AS559" s="1205" t="e">
        <f>COUNTIFS(#REF!,"&gt;0",#REF!,"&gt;="&amp;B546,#REF!,"&lt;="&amp;EOMONTH(B546,0))</f>
        <v>#REF!</v>
      </c>
      <c r="AT559" s="1208" t="e">
        <f>SUMIFS(#REF!,#REF!,"&lt;&gt;0",#REF!,"&gt;="&amp;B546,#REF!,"&lt;="&amp;EOMONTH(B546,0))</f>
        <v>#REF!</v>
      </c>
      <c r="AU559" s="1208" t="e">
        <f>IF(AS559=0,0,AT559/AS559)</f>
        <v>#REF!</v>
      </c>
      <c r="AV559" s="1208" t="e">
        <f ca="1">MINIFS(#REF!,#REF!,"&lt;&gt;0",#REF!,"&gt;="&amp;B546,#REF!,"&lt;="&amp;EOMONTH(B546,0))</f>
        <v>#NAME?</v>
      </c>
      <c r="AW559" s="1222" t="e">
        <f ca="1">MAXIFS(#REF!,#REF!,"&lt;&gt;0",#REF!,"&gt;="&amp;B546,#REF!,"&lt;="&amp;EOMONTH(B546,0))</f>
        <v>#NAME?</v>
      </c>
      <c r="AX559" s="1223" t="e">
        <f>COUNTIFS(#REF!,"&gt;="&amp;AR559,#REF!,"&gt;="&amp;B546,#REF!,"&lt;="&amp;EOMONTH(B546,0))</f>
        <v>#REF!</v>
      </c>
      <c r="AY559" s="1224" t="e">
        <f>AX559/AS559</f>
        <v>#REF!</v>
      </c>
      <c r="AZ559" s="1403" t="e">
        <f t="shared" si="250"/>
        <v>#REF!</v>
      </c>
      <c r="BA559" s="2"/>
    </row>
    <row r="560" spans="1:53" ht="15.75" hidden="1" customHeight="1" outlineLevel="1">
      <c r="A560" s="1027"/>
      <c r="B560" s="1404"/>
      <c r="C560" s="1031" t="s">
        <v>36</v>
      </c>
      <c r="D560" s="1122">
        <f>Parametres!$D$19</f>
        <v>100000</v>
      </c>
      <c r="E560" s="1068" t="e">
        <f>COUNTIFS(#REF!,"&gt;0",#REF!,"&gt;="&amp;B546,#REF!,"&lt;="&amp;EOMONTH(B546,0))</f>
        <v>#REF!</v>
      </c>
      <c r="F560" s="1069" t="e">
        <f>SUMIFS(#REF!,#REF!,"&lt;&gt;0",#REF!,"&gt;="&amp;B546,#REF!,"&lt;="&amp;EOMONTH(B546,0))</f>
        <v>#REF!</v>
      </c>
      <c r="G560" s="1069" t="e">
        <f t="shared" si="248"/>
        <v>#REF!</v>
      </c>
      <c r="H560" s="1070" t="e">
        <f ca="1">MINIFS(#REF!,#REF!,"&lt;&gt;0",#REF!,"&gt;="&amp;B546,#REF!,"&lt;="&amp;EOMONTH(B546,0))</f>
        <v>#NAME?</v>
      </c>
      <c r="I560" s="1078" t="e">
        <f ca="1">MAXIFS(#REF!,#REF!,"&lt;&gt;0",#REF!,"&gt;="&amp;B546,#REF!,"&lt;="&amp;EOMONTH(B546,0))</f>
        <v>#NAME?</v>
      </c>
      <c r="J560" s="1072" t="s">
        <v>153</v>
      </c>
      <c r="K560" s="1072" t="s">
        <v>153</v>
      </c>
      <c r="L560" s="1115"/>
      <c r="M560" s="1082"/>
      <c r="N560" s="1144">
        <f>Parametres!$L$19</f>
        <v>100000</v>
      </c>
      <c r="O560" s="1077">
        <f>COUNTIFS('Degrémont Entrée'!$O$14:$O$379,"&gt;0",'Degrémont Entrée'!$A$14:$A$379,"&gt;="&amp;B546,'Degrémont Entrée'!$A$14:$A$379,"&lt;="&amp;EOMONTH(B546,0))</f>
        <v>14</v>
      </c>
      <c r="P560" s="1078">
        <f>SUMIFS('Degrémont Entrée'!$O$14:$O$379,'Degrémont Entrée'!$O$14:$O$379,"&lt;&gt;0",'Degrémont Entrée'!$A$14:$A$379,"&gt;="&amp;B546,'Degrémont Entrée'!$A$14:$A$379,"&lt;="&amp;EOMONTH(B546,0))</f>
        <v>12288</v>
      </c>
      <c r="Q560" s="1078">
        <f t="shared" si="253"/>
        <v>877.71428571428567</v>
      </c>
      <c r="R560" s="1173" t="e">
        <f ca="1">MINIFS('Degrémont Entrée'!$O$14:$O$379,'Degrémont Entrée'!$O$14:$O$379,"&lt;&gt;0",'Degrémont Entrée'!$A$14:$A$379,"&gt;="&amp;B546,'Degrémont Entrée'!$A$14:$A$379,"&lt;="&amp;EOMONTH(B546,0))</f>
        <v>#NAME?</v>
      </c>
      <c r="S560" s="1227" t="e">
        <f ca="1">MAXIFS('Degrémont Entrée'!$O$14:$O$379,'Degrémont Entrée'!$O$14:$O$379,"&lt;&gt;0",'Degrémont Entrée'!$A$14:$A$379,"&gt;="&amp;B546,'Degrémont Entrée'!$A$14:$A$379,"&lt;="&amp;EOMONTH(B546,0))</f>
        <v>#NAME?</v>
      </c>
      <c r="T560" s="1228" t="s">
        <v>153</v>
      </c>
      <c r="U560" s="1228" t="s">
        <v>153</v>
      </c>
      <c r="V560" s="1177"/>
      <c r="W560" s="1129"/>
      <c r="X560" s="1129"/>
      <c r="Y560" s="1069"/>
      <c r="Z560" s="1069"/>
      <c r="AA560" s="1069"/>
      <c r="AB560" s="1069"/>
      <c r="AC560" s="1130"/>
      <c r="AD560" s="1131"/>
      <c r="AE560" s="1082"/>
      <c r="AF560" s="1106"/>
      <c r="AG560" s="1106"/>
      <c r="AH560" s="1106"/>
      <c r="AI560" s="1106"/>
      <c r="AJ560" s="1106"/>
      <c r="AK560" s="1132"/>
      <c r="AL560" s="1106"/>
      <c r="AM560" s="1106"/>
      <c r="AN560" s="1106"/>
      <c r="AO560" s="1106"/>
      <c r="AP560" s="1119"/>
      <c r="AQ560" s="1132"/>
      <c r="AR560" s="1106"/>
      <c r="AS560" s="1106"/>
      <c r="AT560" s="1106"/>
      <c r="AU560" s="1106"/>
      <c r="AV560" s="1106"/>
      <c r="AW560" s="1119"/>
      <c r="AX560" s="1120"/>
      <c r="AY560" s="1094"/>
      <c r="AZ560" s="1403" t="e">
        <f t="shared" si="250"/>
        <v>#REF!</v>
      </c>
      <c r="BA560" s="2"/>
    </row>
    <row r="561" spans="1:53" ht="15.75" hidden="1" customHeight="1" outlineLevel="1">
      <c r="A561" s="1027"/>
      <c r="B561" s="1404"/>
      <c r="C561" s="1031" t="s">
        <v>32</v>
      </c>
      <c r="D561" s="1122">
        <f>Parametres!$D$20</f>
        <v>4800</v>
      </c>
      <c r="E561" s="1068" t="e">
        <f>COUNTIFS(#REF!,"&gt;0",#REF!,"&gt;="&amp;B546,#REF!,"&lt;="&amp;EOMONTH(B546,0))</f>
        <v>#REF!</v>
      </c>
      <c r="F561" s="1069" t="e">
        <f>SUMIFS(#REF!,#REF!,"&lt;&gt;0",#REF!,"&gt;="&amp;B546,#REF!,"&lt;="&amp;EOMONTH(B546,0))</f>
        <v>#REF!</v>
      </c>
      <c r="G561" s="1069" t="e">
        <f t="shared" si="248"/>
        <v>#REF!</v>
      </c>
      <c r="H561" s="1070" t="e">
        <f ca="1">MINIFS(#REF!,#REF!,"&lt;&gt;0",#REF!,"&gt;="&amp;B546,#REF!,"&lt;="&amp;EOMONTH(B546,0))</f>
        <v>#NAME?</v>
      </c>
      <c r="I561" s="1078" t="e">
        <f ca="1">MAXIFS(#REF!,#REF!,"&lt;&gt;0",#REF!,"&gt;="&amp;B546,#REF!,"&lt;="&amp;EOMONTH(B546,0))</f>
        <v>#NAME?</v>
      </c>
      <c r="J561" s="1072" t="e">
        <f>COUNTIFS(#REF!,"&gt;="&amp;D561,#REF!,"&gt;="&amp;B546,#REF!,"&lt;="&amp;EOMONTH(B546,0))</f>
        <v>#REF!</v>
      </c>
      <c r="K561" s="1341" t="e">
        <f t="shared" ref="K561:K562" si="254">J561/E561</f>
        <v>#REF!</v>
      </c>
      <c r="L561" s="1115"/>
      <c r="M561" s="1082"/>
      <c r="N561" s="1144">
        <f>Parametres!$L$20</f>
        <v>1000</v>
      </c>
      <c r="O561" s="1077">
        <f>COUNTIFS('Degrémont Entrée'!$B$14:$B$379,"&gt;0",'Degrémont Entrée'!$A$14:$A$379,"&gt;="&amp;B546,'Degrémont Entrée'!$A$14:$A$379,"&lt;="&amp;EOMONTH(B546,0))</f>
        <v>17</v>
      </c>
      <c r="P561" s="1078">
        <f>SUMIFS('Degrémont Entrée'!$B$14:$B$379,'Degrémont Entrée'!$B$14:$B$379,"&lt;&gt;0",'Degrémont Entrée'!$A$14:$A$379,"&gt;="&amp;B546,'Degrémont Entrée'!$A$14:$A$379,"&lt;="&amp;EOMONTH(B546,0))</f>
        <v>10156</v>
      </c>
      <c r="Q561" s="1078">
        <f t="shared" si="253"/>
        <v>597.41176470588232</v>
      </c>
      <c r="R561" s="1173" t="e">
        <f ca="1">MINIFS('Degrémont Entrée'!$B$14:$B$379,'Degrémont Entrée'!$B$14:$B$379,"&lt;&gt;0",'Degrémont Entrée'!$A$14:$A$379,"&gt;="&amp;B546,'Degrémont Entrée'!$A$14:$A$379,"&lt;="&amp;EOMONTH(B546,0))</f>
        <v>#NAME?</v>
      </c>
      <c r="S561" s="1078" t="e">
        <f ca="1">MAXIFS('Degrémont Entrée'!$B$14:$B$379,'Degrémont Entrée'!$B$14:$B$379,"&lt;&gt;0",'Degrémont Entrée'!$A$14:$A$379,"&gt;="&amp;B546,'Degrémont Entrée'!$A$14:$A$379,"&lt;="&amp;EOMONTH(B546,0))</f>
        <v>#NAME?</v>
      </c>
      <c r="T561" s="1236">
        <f>COUNTIFS('Degrémont Entrée'!$B$14:$B$379,"&gt;="&amp;N561,'Degrémont Entrée'!$A$14:$A$379,"&gt;="&amp;B546,'Degrémont Entrée'!$A$14:$A$379,"&lt;="&amp;EOMONTH(B546,0))</f>
        <v>1</v>
      </c>
      <c r="U561" s="1081">
        <f>T561/O561</f>
        <v>5.8823529411764705E-2</v>
      </c>
      <c r="V561" s="1177"/>
      <c r="W561" s="1083">
        <f>Parametres!$T$20</f>
        <v>1000</v>
      </c>
      <c r="X561" s="1142">
        <f>COUNTIFS('Degrémont sortie'!$B$14:$B$379,"&gt;0",'Degrémont sortie'!$A$14:$A$379,"&gt;="&amp;B546,'Degrémont sortie'!$A$14:$A$379,"&lt;="&amp;EOMONTH(B546,0))</f>
        <v>17</v>
      </c>
      <c r="Y561" s="1085">
        <f>SUMIFS('Degrémont sortie'!$B$14:$B$379,'Degrémont sortie'!$B$14:$B$379,"&lt;&gt;0",'Degrémont sortie'!$A$14:$A$379,"&gt;="&amp;B546,'Degrémont sortie'!$A$14:$A$379,"&lt;="&amp;EOMONTH(B546,0))</f>
        <v>10156</v>
      </c>
      <c r="Z561" s="1069">
        <f>IF(X561=0,0,Y561/X561)</f>
        <v>597.41176470588232</v>
      </c>
      <c r="AA561" s="1069" t="e">
        <f ca="1">MINIFS('Degrémont sortie'!$B$14:$B$379,'Degrémont sortie'!$B$14:$B$379,"&lt;&gt;0",'Degrémont sortie'!$A$14:$A$379,"&gt;="&amp;B546,'Degrémont sortie'!$A$14:$A$379,"&lt;="&amp;EOMONTH(B546,0))</f>
        <v>#NAME?</v>
      </c>
      <c r="AB561" s="1069" t="e">
        <f ca="1">MAXIFS('Degrémont sortie'!$B$14:$B$379,'Degrémont sortie'!$B$14:$B$379,"&lt;&gt;0",'Degrémont sortie'!$A$14:$A$379,"&gt;="&amp;B546,'Degrémont sortie'!$A$14:$A$379,"&lt;="&amp;EOMONTH(B546,0))</f>
        <v>#NAME?</v>
      </c>
      <c r="AC561" s="1142">
        <f>COUNTIFS('Degrémont sortie'!$B$14:$B$379,"&gt;="&amp;W561,'Degrémont sortie'!$A$14:$A$379,"&gt;="&amp;B546,'Degrémont sortie'!$A$14:$A$379,"&lt;="&amp;EOMONTH(B546,0))</f>
        <v>1</v>
      </c>
      <c r="AD561" s="1087">
        <f>AC561/X561</f>
        <v>5.8823529411764705E-2</v>
      </c>
      <c r="AE561" s="1082"/>
      <c r="AF561" s="1205" t="e">
        <f>COUNTIFS(#REF!,"&gt;0",#REF!,"&gt;="&amp;B546,#REF!,"&lt;="&amp;EOMONTH(B546,0))</f>
        <v>#REF!</v>
      </c>
      <c r="AG561" s="1208" t="e">
        <f>SUMIFS(#REF!,#REF!,"&lt;&gt;0",#REF!,"&gt;="&amp;B546,#REF!,"&lt;="&amp;EOMONTH(B546,0))</f>
        <v>#REF!</v>
      </c>
      <c r="AH561" s="1208" t="e">
        <f>IF(AF561=0,0,AG561/AF561)</f>
        <v>#REF!</v>
      </c>
      <c r="AI561" s="1208" t="e">
        <f ca="1">MINIFS(#REF!,#REF!,"&lt;&gt;0",#REF!,"&gt;="&amp;B546,#REF!,"&lt;="&amp;EOMONTH(B546,0))</f>
        <v>#NAME?</v>
      </c>
      <c r="AJ561" s="1208" t="e">
        <f ca="1">MAXIFS(#REF!,#REF!,"&lt;&gt;0",#REF!,"&gt;="&amp;B546,#REF!,"&lt;="&amp;EOMONTH(B546,0))</f>
        <v>#NAME?</v>
      </c>
      <c r="AK561" s="1132"/>
      <c r="AL561" s="1106"/>
      <c r="AM561" s="1106"/>
      <c r="AN561" s="1106"/>
      <c r="AO561" s="1106"/>
      <c r="AP561" s="1119"/>
      <c r="AQ561" s="1132"/>
      <c r="AR561" s="1220">
        <f>Parametres!$AM$20</f>
        <v>1000000</v>
      </c>
      <c r="AS561" s="1205" t="e">
        <f>COUNTIFS(#REF!,"&gt;0",#REF!,"&gt;="&amp;B546,#REF!,"&lt;="&amp;EOMONTH(B546,0))</f>
        <v>#REF!</v>
      </c>
      <c r="AT561" s="1208" t="e">
        <f>SUMIFS(#REF!,#REF!,"&lt;&gt;0",#REF!,"&gt;="&amp;B546,#REF!,"&lt;="&amp;EOMONTH(B546,0))</f>
        <v>#REF!</v>
      </c>
      <c r="AU561" s="1208" t="e">
        <f>IF(AS561=0,0,AT561/AS561)</f>
        <v>#REF!</v>
      </c>
      <c r="AV561" s="1208" t="e">
        <f ca="1">MINIFS(#REF!,#REF!,"&lt;&gt;0",#REF!,"&gt;="&amp;B546,#REF!,"&lt;="&amp;EOMONTH(B546,0))</f>
        <v>#NAME?</v>
      </c>
      <c r="AW561" s="1222" t="e">
        <f ca="1">MAXIFS(#REF!,#REF!,"&lt;&gt;0",#REF!,"&gt;="&amp;B546,#REF!,"&lt;="&amp;EOMONTH(B546,0))</f>
        <v>#NAME?</v>
      </c>
      <c r="AX561" s="1243" t="s">
        <v>153</v>
      </c>
      <c r="AY561" s="1224" t="e">
        <f>AX561/AS561</f>
        <v>#VALUE!</v>
      </c>
      <c r="AZ561" s="1403" t="e">
        <f t="shared" si="250"/>
        <v>#REF!</v>
      </c>
      <c r="BA561" s="2"/>
    </row>
    <row r="562" spans="1:53" ht="15.75" hidden="1" customHeight="1" outlineLevel="1">
      <c r="A562" s="1027"/>
      <c r="B562" s="1404"/>
      <c r="C562" s="1402" t="s">
        <v>21</v>
      </c>
      <c r="D562" s="1122">
        <f>Parametres!$D$22</f>
        <v>2</v>
      </c>
      <c r="E562" s="1068" t="e">
        <f>COUNTIFS(#REF!,"&gt;0",#REF!,"&gt;="&amp;B546,#REF!,"&lt;="&amp;EOMONTH(B546,0))</f>
        <v>#REF!</v>
      </c>
      <c r="F562" s="1069" t="e">
        <f>SUMIFS(#REF!,#REF!,"&lt;&gt;0",#REF!,"&gt;="&amp;B546,#REF!,"&lt;="&amp;EOMONTH(B546,0))</f>
        <v>#REF!</v>
      </c>
      <c r="G562" s="1069" t="e">
        <f t="shared" si="248"/>
        <v>#REF!</v>
      </c>
      <c r="H562" s="1070" t="e">
        <f ca="1">MINIFS(#REF!,#REF!,"&lt;&gt;0",#REF!,"&gt;="&amp;B546,#REF!,"&lt;="&amp;EOMONTH(B546,0))</f>
        <v>#NAME?</v>
      </c>
      <c r="I562" s="1078" t="e">
        <f ca="1">MAXIFS(#REF!,#REF!,"&lt;&gt;0",#REF!,"&gt;="&amp;B546,#REF!,"&lt;="&amp;EOMONTH(B546,0))</f>
        <v>#NAME?</v>
      </c>
      <c r="J562" s="1072" t="e">
        <f>COUNTIFS(#REF!,"&gt;="&amp;D562,#REF!,"&gt;="&amp;B546,#REF!,"&lt;="&amp;EOMONTH(B546,0))</f>
        <v>#REF!</v>
      </c>
      <c r="K562" s="1341" t="e">
        <f t="shared" si="254"/>
        <v>#REF!</v>
      </c>
      <c r="L562" s="1115"/>
      <c r="M562" s="1082"/>
      <c r="N562" s="1171"/>
      <c r="O562" s="1171"/>
      <c r="P562" s="1173"/>
      <c r="Q562" s="1173"/>
      <c r="R562" s="1173"/>
      <c r="S562" s="1173"/>
      <c r="T562" s="1175"/>
      <c r="U562" s="1175"/>
      <c r="V562" s="1082"/>
      <c r="W562" s="1106"/>
      <c r="X562" s="1106"/>
      <c r="Y562" s="1069"/>
      <c r="Z562" s="1069"/>
      <c r="AA562" s="1069"/>
      <c r="AB562" s="1069"/>
      <c r="AC562" s="1248"/>
      <c r="AD562" s="1249"/>
      <c r="AE562" s="1082"/>
      <c r="AF562" s="1106"/>
      <c r="AG562" s="1106"/>
      <c r="AH562" s="1106"/>
      <c r="AI562" s="1106"/>
      <c r="AJ562" s="1106"/>
      <c r="AK562" s="1132"/>
      <c r="AL562" s="1106"/>
      <c r="AM562" s="1106"/>
      <c r="AN562" s="1106"/>
      <c r="AO562" s="1106"/>
      <c r="AP562" s="1119"/>
      <c r="AQ562" s="1132"/>
      <c r="AR562" s="1106"/>
      <c r="AS562" s="1106"/>
      <c r="AT562" s="1106"/>
      <c r="AU562" s="1106"/>
      <c r="AV562" s="1106"/>
      <c r="AW562" s="1119"/>
      <c r="AX562" s="1120"/>
      <c r="AY562" s="1094"/>
      <c r="AZ562" s="1403" t="e">
        <f t="shared" si="250"/>
        <v>#REF!</v>
      </c>
      <c r="BA562" s="2"/>
    </row>
    <row r="563" spans="1:53" ht="15.75" hidden="1" customHeight="1" outlineLevel="1">
      <c r="A563" s="1027"/>
      <c r="B563" s="1404"/>
      <c r="C563" s="1402" t="s">
        <v>22</v>
      </c>
      <c r="D563" s="1122">
        <f>Parametres!$D$23</f>
        <v>1000000</v>
      </c>
      <c r="E563" s="1068" t="e">
        <f>COUNTIFS(#REF!,"&gt;0",#REF!,"&gt;="&amp;B546,#REF!,"&lt;="&amp;EOMONTH(B546,0))</f>
        <v>#REF!</v>
      </c>
      <c r="F563" s="1069" t="e">
        <f>SUMIFS(#REF!,#REF!,"&lt;&gt;0",#REF!,"&gt;="&amp;B546,#REF!,"&lt;="&amp;EOMONTH(B546,0))</f>
        <v>#REF!</v>
      </c>
      <c r="G563" s="1069" t="e">
        <f t="shared" si="248"/>
        <v>#REF!</v>
      </c>
      <c r="H563" s="1070" t="e">
        <f ca="1">MINIFS(#REF!,#REF!,"&lt;&gt;0",#REF!,"&gt;="&amp;B546,#REF!,"&lt;="&amp;EOMONTH(B546,0))</f>
        <v>#NAME?</v>
      </c>
      <c r="I563" s="1078" t="e">
        <f ca="1">MAXIFS(#REF!,#REF!,"&lt;&gt;0",#REF!,"&gt;="&amp;B546,#REF!,"&lt;="&amp;EOMONTH(B546,0))</f>
        <v>#NAME?</v>
      </c>
      <c r="J563" s="1072" t="s">
        <v>153</v>
      </c>
      <c r="K563" s="1072" t="s">
        <v>153</v>
      </c>
      <c r="L563" s="1115"/>
      <c r="M563" s="1082"/>
      <c r="N563" s="1171"/>
      <c r="O563" s="1171"/>
      <c r="P563" s="1173"/>
      <c r="Q563" s="1173"/>
      <c r="R563" s="1173"/>
      <c r="S563" s="1173"/>
      <c r="T563" s="1175"/>
      <c r="U563" s="1175"/>
      <c r="V563" s="1082"/>
      <c r="W563" s="1106"/>
      <c r="X563" s="1106"/>
      <c r="Y563" s="1069"/>
      <c r="Z563" s="1069"/>
      <c r="AA563" s="1069"/>
      <c r="AB563" s="1069"/>
      <c r="AC563" s="1248"/>
      <c r="AD563" s="1249"/>
      <c r="AE563" s="1082"/>
      <c r="AF563" s="1106"/>
      <c r="AG563" s="1106"/>
      <c r="AH563" s="1106"/>
      <c r="AI563" s="1106"/>
      <c r="AJ563" s="1106"/>
      <c r="AK563" s="1132"/>
      <c r="AL563" s="1106"/>
      <c r="AM563" s="1106"/>
      <c r="AN563" s="1106"/>
      <c r="AO563" s="1106"/>
      <c r="AP563" s="1119"/>
      <c r="AQ563" s="1132"/>
      <c r="AR563" s="1106"/>
      <c r="AS563" s="1106"/>
      <c r="AT563" s="1106"/>
      <c r="AU563" s="1106"/>
      <c r="AV563" s="1106"/>
      <c r="AW563" s="1119"/>
      <c r="AX563" s="1120"/>
      <c r="AY563" s="1094"/>
      <c r="AZ563" s="1403" t="e">
        <f t="shared" si="250"/>
        <v>#REF!</v>
      </c>
      <c r="BA563" s="2"/>
    </row>
    <row r="564" spans="1:53" ht="15.75" hidden="1" customHeight="1" outlineLevel="1">
      <c r="A564" s="1027"/>
      <c r="B564" s="1404"/>
      <c r="C564" s="1031" t="s">
        <v>44</v>
      </c>
      <c r="D564" s="1122">
        <f>Parametres!$D$24</f>
        <v>5</v>
      </c>
      <c r="E564" s="1068" t="e">
        <f>COUNTIFS(#REF!,"&gt;0",#REF!,"&gt;="&amp;B546,#REF!,"&lt;="&amp;EOMONTH(B546,0))</f>
        <v>#REF!</v>
      </c>
      <c r="F564" s="1069" t="e">
        <f>SUMIFS(#REF!,#REF!,"&lt;&gt;0",#REF!,"&gt;="&amp;B546,#REF!,"&lt;="&amp;EOMONTH(B546,0))</f>
        <v>#REF!</v>
      </c>
      <c r="G564" s="1069" t="e">
        <f t="shared" si="248"/>
        <v>#REF!</v>
      </c>
      <c r="H564" s="1070" t="e">
        <f ca="1">MINIFS(#REF!,#REF!,"&lt;&gt;0",#REF!,"&gt;="&amp;B546,#REF!,"&lt;="&amp;EOMONTH(B546,0))</f>
        <v>#NAME?</v>
      </c>
      <c r="I564" s="1078" t="e">
        <f ca="1">MAXIFS(#REF!,#REF!,"&lt;&gt;0",#REF!,"&gt;="&amp;B546,#REF!,"&lt;="&amp;EOMONTH(B546,0))</f>
        <v>#NAME?</v>
      </c>
      <c r="J564" s="1072" t="e">
        <f>COUNTIFS(#REF!,"&gt;="&amp;D564,#REF!,"&gt;="&amp;B546,#REF!,"&lt;="&amp;EOMONTH(B546,0))</f>
        <v>#REF!</v>
      </c>
      <c r="K564" s="1341" t="e">
        <f t="shared" ref="K564:K572" si="255">J564/E564</f>
        <v>#REF!</v>
      </c>
      <c r="L564" s="1115"/>
      <c r="M564" s="1082"/>
      <c r="N564" s="1144">
        <f>Parametres!$L$24</f>
        <v>60</v>
      </c>
      <c r="O564" s="1077">
        <f>COUNTIFS('Degrémont Entrée'!$AP$14:$AP$379,"&gt;0",'Degrémont Entrée'!$A$14:$A$379,"&gt;="&amp;B546,'Degrémont Entrée'!$A$14:$A$379,"&lt;="&amp;EOMONTH(B546,0))</f>
        <v>4</v>
      </c>
      <c r="P564" s="1078">
        <f>SUMIFS('Degrémont Entrée'!$AP$14:$AP$379,'Degrémont Entrée'!$AP$14:$AP$379,"&lt;&gt;0",'Degrémont Entrée'!$A$14:$A$379,"&gt;="&amp;B546,'Degrémont Entrée'!$A$14:$A$379,"&lt;="&amp;EOMONTH(B546,0))</f>
        <v>1375</v>
      </c>
      <c r="Q564" s="1078">
        <f>IF(O564=0,0,P564/O564)</f>
        <v>343.75</v>
      </c>
      <c r="R564" s="1078" t="e">
        <f ca="1">MINIFS('Degrémont Entrée'!$AP$14:$AP$379,'Degrémont Entrée'!$AP$14:$AP$379,"&lt;&gt;0",'Degrémont Entrée'!$A$14:$A$379,"&gt;="&amp;B546,'Degrémont Entrée'!$A$14:$A$379,"&lt;="&amp;EOMONTH(B546,0))</f>
        <v>#NAME?</v>
      </c>
      <c r="S564" s="1078" t="e">
        <f ca="1">MAXIFS('Degrémont Entrée'!$AP$14:$AP$379,'Degrémont Entrée'!$AP$14:$AP$379,"&lt;&gt;0",'Degrémont Entrée'!$A$14:$A$379,"&gt;="&amp;B546,'Degrémont Entrée'!$A$14:$A$379,"&lt;="&amp;EOMONTH(B546,0))</f>
        <v>#NAME?</v>
      </c>
      <c r="T564" s="1080">
        <f>COUNTIFS('Degrémont Entrée'!$AP$14:$AP$379,"&gt;="&amp;N564,'Degrémont Entrée'!$A$14:$A$379,"&gt;="&amp;B546,'Degrémont Entrée'!$A$14:$A$379,"&lt;="&amp;EOMONTH(B546,0))</f>
        <v>4</v>
      </c>
      <c r="U564" s="1081">
        <f>T564/O564</f>
        <v>1</v>
      </c>
      <c r="V564" s="1082"/>
      <c r="W564" s="1083">
        <f>Parametres!$T$24</f>
        <v>1.6</v>
      </c>
      <c r="X564" s="1142">
        <f>COUNTIFS('Degrémont sortie'!$AJ$14:$AJ$379,"&gt;0",'Degrémont sortie'!$A$14:$A$379,"&gt;="&amp;B546,'Degrémont sortie'!$A$14:$A$379,"&lt;="&amp;EOMONTH(B546,0))</f>
        <v>4</v>
      </c>
      <c r="Y564" s="1085">
        <f>SUMIFS('Degrémont sortie'!$AJ$14:$AJ$379,'Degrémont sortie'!$AJ$14:$AJ$379,"&lt;&gt;0",'Degrémont sortie'!$A$14:$A$379,"&gt;="&amp;B546,'Degrémont sortie'!$A$14:$A$379,"&lt;="&amp;EOMONTH(B546,0))</f>
        <v>0.51900000000000002</v>
      </c>
      <c r="Z564" s="1069">
        <f>IF(X564=0,0,Y564/X564)</f>
        <v>0.12975</v>
      </c>
      <c r="AA564" s="1069" t="e">
        <f ca="1">MINIFS('Degrémont sortie'!$AJ$14:$AJ$379,'Degrémont sortie'!$AJ$14:$AJ$379,"&lt;&gt;0",'Degrémont sortie'!$A$14:$A$379,"&gt;="&amp;B546,'Degrémont sortie'!$A$14:$A$379,"&lt;="&amp;EOMONTH(B546,0))</f>
        <v>#NAME?</v>
      </c>
      <c r="AB564" s="1069" t="e">
        <f ca="1">MAXIFS('Degrémont sortie'!$AJ$14:$AJ$379,'Degrémont sortie'!$AJ$14:$AJ$379,"&lt;&gt;0",'Degrémont sortie'!$A$14:$A$379,"&gt;="&amp;B546,'Degrémont sortie'!$A$14:$A$379,"&lt;="&amp;EOMONTH(B546,0))</f>
        <v>#NAME?</v>
      </c>
      <c r="AC564" s="1142">
        <f>COUNTIFS('Degrémont sortie'!$AJ$14:$AJ$379,"&gt;="&amp;W564,'Degrémont sortie'!$A$14:$A$379,"&gt;="&amp;B546,'Degrémont sortie'!$A$14:$A$379,"&lt;="&amp;EOMONTH(B546,0))</f>
        <v>0</v>
      </c>
      <c r="AD564" s="1087">
        <f>AC564/X564</f>
        <v>0</v>
      </c>
      <c r="AE564" s="1082"/>
      <c r="AF564" s="1106"/>
      <c r="AG564" s="1106"/>
      <c r="AH564" s="1106"/>
      <c r="AI564" s="1106"/>
      <c r="AJ564" s="1106"/>
      <c r="AK564" s="1132"/>
      <c r="AL564" s="1106"/>
      <c r="AM564" s="1106"/>
      <c r="AN564" s="1106"/>
      <c r="AO564" s="1106"/>
      <c r="AP564" s="1119"/>
      <c r="AQ564" s="1132"/>
      <c r="AR564" s="1106"/>
      <c r="AS564" s="1106"/>
      <c r="AT564" s="1106"/>
      <c r="AU564" s="1106"/>
      <c r="AV564" s="1106"/>
      <c r="AW564" s="1119"/>
      <c r="AX564" s="1120"/>
      <c r="AY564" s="1094"/>
      <c r="AZ564" s="1403" t="e">
        <f t="shared" si="250"/>
        <v>#REF!</v>
      </c>
      <c r="BA564" s="2"/>
    </row>
    <row r="565" spans="1:53" ht="15.75" hidden="1" customHeight="1" outlineLevel="1">
      <c r="A565" s="1027"/>
      <c r="B565" s="1404"/>
      <c r="C565" s="1402" t="s">
        <v>169</v>
      </c>
      <c r="D565" s="1122">
        <f>Parametres!$D$25</f>
        <v>4</v>
      </c>
      <c r="E565" s="1068" t="e">
        <f>COUNTIFS(#REF!,"&gt;0",#REF!,"&gt;="&amp;B546,#REF!,"&lt;="&amp;EOMONTH(B546,0))</f>
        <v>#REF!</v>
      </c>
      <c r="F565" s="1069" t="e">
        <f>SUMIFS(#REF!,#REF!,"&lt;&gt;0",#REF!,"&gt;="&amp;B546,#REF!,"&lt;="&amp;EOMONTH(B546,0))</f>
        <v>#REF!</v>
      </c>
      <c r="G565" s="1069" t="e">
        <f t="shared" si="248"/>
        <v>#REF!</v>
      </c>
      <c r="H565" s="1070" t="e">
        <f ca="1">MINIFS(#REF!,#REF!,"&lt;&gt;0",#REF!,"&gt;="&amp;B546,#REF!,"&lt;="&amp;EOMONTH(B546,0))</f>
        <v>#NAME?</v>
      </c>
      <c r="I565" s="1078" t="e">
        <f ca="1">MAXIFS(#REF!,#REF!,"&lt;&gt;0",#REF!,"&gt;="&amp;B546,#REF!,"&lt;="&amp;EOMONTH(B546,0))</f>
        <v>#NAME?</v>
      </c>
      <c r="J565" s="1072" t="e">
        <f>COUNTIFS(#REF!,"&gt;="&amp;D565,#REF!,"&gt;="&amp;B546,#REF!,"&lt;="&amp;EOMONTH(B546,0))</f>
        <v>#REF!</v>
      </c>
      <c r="K565" s="1341" t="e">
        <f t="shared" si="255"/>
        <v>#REF!</v>
      </c>
      <c r="L565" s="1115"/>
      <c r="M565" s="1082"/>
      <c r="N565" s="1263"/>
      <c r="O565" s="1263"/>
      <c r="P565" s="1078"/>
      <c r="Q565" s="1078"/>
      <c r="R565" s="1078"/>
      <c r="S565" s="1078"/>
      <c r="T565" s="1264"/>
      <c r="U565" s="1264"/>
      <c r="V565" s="1082"/>
      <c r="W565" s="1106"/>
      <c r="X565" s="1106"/>
      <c r="Y565" s="1069"/>
      <c r="Z565" s="1069"/>
      <c r="AA565" s="1069"/>
      <c r="AB565" s="1069"/>
      <c r="AC565" s="1248"/>
      <c r="AD565" s="1249"/>
      <c r="AE565" s="1082"/>
      <c r="AF565" s="1106"/>
      <c r="AG565" s="1106"/>
      <c r="AH565" s="1106"/>
      <c r="AI565" s="1106"/>
      <c r="AJ565" s="1106"/>
      <c r="AK565" s="1132"/>
      <c r="AL565" s="1106"/>
      <c r="AM565" s="1106"/>
      <c r="AN565" s="1106"/>
      <c r="AO565" s="1106"/>
      <c r="AP565" s="1138"/>
      <c r="AQ565" s="1132"/>
      <c r="AR565" s="1106"/>
      <c r="AS565" s="1106"/>
      <c r="AT565" s="1106"/>
      <c r="AU565" s="1106"/>
      <c r="AV565" s="1106"/>
      <c r="AW565" s="1119"/>
      <c r="AX565" s="1120"/>
      <c r="AY565" s="1094"/>
      <c r="AZ565" s="1403" t="e">
        <f t="shared" si="250"/>
        <v>#REF!</v>
      </c>
      <c r="BA565" s="2"/>
    </row>
    <row r="566" spans="1:53" ht="15.75" hidden="1" customHeight="1" outlineLevel="1">
      <c r="A566" s="1027"/>
      <c r="B566" s="1404"/>
      <c r="C566" s="1031" t="s">
        <v>165</v>
      </c>
      <c r="D566" s="1122">
        <f>Parametres!$D$26</f>
        <v>10</v>
      </c>
      <c r="E566" s="1068" t="e">
        <f>COUNTIFS(#REF!,"&gt;0",#REF!,"&gt;="&amp;B546,#REF!,"&lt;="&amp;EOMONTH(B546,0))</f>
        <v>#REF!</v>
      </c>
      <c r="F566" s="1069" t="e">
        <f>SUMIFS(#REF!,#REF!,"&lt;&gt;0",#REF!,"&gt;="&amp;B546,#REF!,"&lt;="&amp;EOMONTH(B546,0))</f>
        <v>#REF!</v>
      </c>
      <c r="G566" s="1069" t="e">
        <f t="shared" si="248"/>
        <v>#REF!</v>
      </c>
      <c r="H566" s="1070" t="e">
        <f ca="1">MINIFS(#REF!,#REF!,"&lt;&gt;0",#REF!,"&gt;="&amp;B546,#REF!,"&lt;="&amp;EOMONTH(B546,0))</f>
        <v>#NAME?</v>
      </c>
      <c r="I566" s="1078" t="e">
        <f ca="1">MAXIFS(#REF!,#REF!,"&lt;&gt;0",#REF!,"&gt;="&amp;B546,#REF!,"&lt;="&amp;EOMONTH(B546,0))</f>
        <v>#NAME?</v>
      </c>
      <c r="J566" s="1114" t="e">
        <f>COUNTIFS(#REF!,"&gt;="&amp;D566,#REF!,"&gt;="&amp;B546,#REF!,"&lt;="&amp;EOMONTH(B546,0))</f>
        <v>#REF!</v>
      </c>
      <c r="K566" s="1341" t="e">
        <f t="shared" si="255"/>
        <v>#REF!</v>
      </c>
      <c r="L566" s="1115"/>
      <c r="M566" s="1075"/>
      <c r="N566" s="1265"/>
      <c r="O566" s="1265"/>
      <c r="P566" s="1266"/>
      <c r="Q566" s="1266"/>
      <c r="R566" s="1266"/>
      <c r="S566" s="1266"/>
      <c r="T566" s="1267"/>
      <c r="U566" s="1267"/>
      <c r="V566" s="1075"/>
      <c r="W566" s="1106"/>
      <c r="X566" s="1106"/>
      <c r="Y566" s="1069"/>
      <c r="Z566" s="1069"/>
      <c r="AA566" s="1069"/>
      <c r="AB566" s="1069"/>
      <c r="AC566" s="1248"/>
      <c r="AD566" s="1249"/>
      <c r="AE566" s="1082"/>
      <c r="AF566" s="1106"/>
      <c r="AG566" s="1106"/>
      <c r="AH566" s="1106"/>
      <c r="AI566" s="1106"/>
      <c r="AJ566" s="1106"/>
      <c r="AK566" s="1132"/>
      <c r="AL566" s="1106"/>
      <c r="AM566" s="1106"/>
      <c r="AN566" s="1106"/>
      <c r="AO566" s="1106"/>
      <c r="AP566" s="1138"/>
      <c r="AQ566" s="1132"/>
      <c r="AR566" s="1106"/>
      <c r="AS566" s="1106"/>
      <c r="AT566" s="1106"/>
      <c r="AU566" s="1106"/>
      <c r="AV566" s="1106"/>
      <c r="AW566" s="1119"/>
      <c r="AX566" s="1120"/>
      <c r="AY566" s="1094"/>
      <c r="AZ566" s="1403" t="e">
        <f t="shared" si="250"/>
        <v>#REF!</v>
      </c>
      <c r="BA566" s="2"/>
    </row>
    <row r="567" spans="1:53" ht="15.75" hidden="1" customHeight="1" outlineLevel="1">
      <c r="A567" s="1027"/>
      <c r="B567" s="1404"/>
      <c r="C567" s="1402" t="s">
        <v>23</v>
      </c>
      <c r="D567" s="1122">
        <f>Parametres!$D$27</f>
        <v>0.05</v>
      </c>
      <c r="E567" s="1068" t="e">
        <f>COUNTIFS(#REF!,"&gt;0",#REF!,"&gt;="&amp;B546,#REF!,"&lt;="&amp;EOMONTH(B546,0))</f>
        <v>#REF!</v>
      </c>
      <c r="F567" s="1069" t="e">
        <f>SUMIFS(#REF!,#REF!,"&lt;&gt;0",#REF!,"&gt;="&amp;B546,#REF!,"&lt;="&amp;EOMONTH(B546,0))</f>
        <v>#REF!</v>
      </c>
      <c r="G567" s="1069" t="e">
        <f t="shared" si="248"/>
        <v>#REF!</v>
      </c>
      <c r="H567" s="1070" t="e">
        <f ca="1">MINIFS(#REF!,#REF!,"&lt;&gt;0",#REF!,"&gt;="&amp;B546,#REF!,"&lt;="&amp;EOMONTH(B546,0))</f>
        <v>#NAME?</v>
      </c>
      <c r="I567" s="1078" t="e">
        <f ca="1">MAXIFS(#REF!,#REF!,"&lt;&gt;0",#REF!,"&gt;="&amp;B546,#REF!,"&lt;="&amp;EOMONTH(B546,0))</f>
        <v>#NAME?</v>
      </c>
      <c r="J567" s="1072" t="e">
        <f>COUNTIFS(#REF!,"&gt;="&amp;D567,#REF!,"&gt;="&amp;B546,#REF!,"&lt;="&amp;EOMONTH(B546,0))</f>
        <v>#REF!</v>
      </c>
      <c r="K567" s="1341" t="e">
        <f t="shared" si="255"/>
        <v>#REF!</v>
      </c>
      <c r="L567" s="1115"/>
      <c r="M567" s="1082"/>
      <c r="N567" s="1129"/>
      <c r="O567" s="1129"/>
      <c r="P567" s="1069"/>
      <c r="Q567" s="1069"/>
      <c r="R567" s="1069"/>
      <c r="S567" s="1069"/>
      <c r="T567" s="1143"/>
      <c r="U567" s="1143"/>
      <c r="V567" s="1132"/>
      <c r="W567" s="1106"/>
      <c r="X567" s="1106"/>
      <c r="Y567" s="1069"/>
      <c r="Z567" s="1069"/>
      <c r="AA567" s="1069"/>
      <c r="AB567" s="1069"/>
      <c r="AC567" s="1248"/>
      <c r="AD567" s="1249"/>
      <c r="AE567" s="1132"/>
      <c r="AF567" s="1106"/>
      <c r="AG567" s="1106"/>
      <c r="AH567" s="1106"/>
      <c r="AI567" s="1106"/>
      <c r="AJ567" s="1106"/>
      <c r="AK567" s="1132"/>
      <c r="AL567" s="1106"/>
      <c r="AM567" s="1106"/>
      <c r="AN567" s="1106"/>
      <c r="AO567" s="1106"/>
      <c r="AP567" s="1138"/>
      <c r="AQ567" s="1132"/>
      <c r="AR567" s="1106"/>
      <c r="AS567" s="1106"/>
      <c r="AT567" s="1106"/>
      <c r="AU567" s="1106"/>
      <c r="AV567" s="1106"/>
      <c r="AW567" s="1119"/>
      <c r="AX567" s="1120"/>
      <c r="AY567" s="1094"/>
      <c r="AZ567" s="1403" t="e">
        <f t="shared" si="250"/>
        <v>#REF!</v>
      </c>
      <c r="BA567" s="2"/>
    </row>
    <row r="568" spans="1:53" ht="15.75" hidden="1" customHeight="1" outlineLevel="1">
      <c r="A568" s="1027"/>
      <c r="B568" s="1404"/>
      <c r="C568" s="1031" t="s">
        <v>201</v>
      </c>
      <c r="D568" s="1122">
        <f>Parametres!$D$28</f>
        <v>8</v>
      </c>
      <c r="E568" s="1068" t="e">
        <f>COUNTIFS(#REF!,"&gt;0",#REF!,"&gt;="&amp;B546,#REF!,"&lt;="&amp;EOMONTH(B546,0))</f>
        <v>#REF!</v>
      </c>
      <c r="F568" s="1069" t="e">
        <f>SUMIFS(#REF!,#REF!,"&lt;&gt;0",#REF!,"&gt;="&amp;B546,#REF!,"&lt;="&amp;EOMONTH(B546,0))</f>
        <v>#REF!</v>
      </c>
      <c r="G568" s="1069" t="e">
        <f t="shared" si="248"/>
        <v>#REF!</v>
      </c>
      <c r="H568" s="1070" t="e">
        <f ca="1">MINIFS(#REF!,#REF!,"&lt;&gt;0",#REF!,"&gt;="&amp;B546,#REF!,"&lt;="&amp;EOMONTH(B546,0))</f>
        <v>#NAME?</v>
      </c>
      <c r="I568" s="1078" t="e">
        <f ca="1">MAXIFS(#REF!,#REF!,"&lt;&gt;0",#REF!,"&gt;="&amp;B546,#REF!,"&lt;="&amp;EOMONTH(B546,0))</f>
        <v>#NAME?</v>
      </c>
      <c r="J568" s="1114" t="e">
        <f>COUNTIFS(#REF!,"&gt;="&amp;D568,#REF!,"&gt;="&amp;B546,#REF!,"&lt;="&amp;EOMONTH(B546,0))</f>
        <v>#REF!</v>
      </c>
      <c r="K568" s="1341" t="e">
        <f t="shared" si="255"/>
        <v>#REF!</v>
      </c>
      <c r="L568" s="1115"/>
      <c r="M568" s="1082"/>
      <c r="N568" s="1171"/>
      <c r="O568" s="1171"/>
      <c r="P568" s="1173"/>
      <c r="Q568" s="1173"/>
      <c r="R568" s="1173"/>
      <c r="S568" s="1173"/>
      <c r="T568" s="1175"/>
      <c r="U568" s="1175"/>
      <c r="V568" s="1177"/>
      <c r="W568" s="1106"/>
      <c r="X568" s="1106"/>
      <c r="Y568" s="1069"/>
      <c r="Z568" s="1069"/>
      <c r="AA568" s="1069"/>
      <c r="AB568" s="1069"/>
      <c r="AC568" s="1248"/>
      <c r="AD568" s="1249"/>
      <c r="AE568" s="1082"/>
      <c r="AF568" s="1106"/>
      <c r="AG568" s="1106"/>
      <c r="AH568" s="1106"/>
      <c r="AI568" s="1106"/>
      <c r="AJ568" s="1106"/>
      <c r="AK568" s="1082"/>
      <c r="AL568" s="1205" t="e">
        <f>COUNTIFS(#REF!,"&gt;0",#REF!,"&gt;="&amp;B546,#REF!,"&lt;="&amp;EOMONTH(B546,0))</f>
        <v>#REF!</v>
      </c>
      <c r="AM568" s="1208" t="e">
        <f>SUMIFS(#REF!,#REF!,"&lt;&gt;0",#REF!,"&gt;="&amp;B546,#REF!,"&lt;="&amp;EOMONTH(B546,0))</f>
        <v>#REF!</v>
      </c>
      <c r="AN568" s="1208" t="e">
        <f>IF(AL568=0,0,AM568/AL568)</f>
        <v>#REF!</v>
      </c>
      <c r="AO568" s="1269" t="e">
        <f ca="1">MINIFS(#REF!,#REF!,"&lt;&gt;0",#REF!,"&gt;="&amp;B546,#REF!,"&lt;="&amp;EOMONTH(B546,0))</f>
        <v>#NAME?</v>
      </c>
      <c r="AP568" s="1269" t="e">
        <f ca="1">MAXIFS(#REF!,#REF!,"&lt;&gt;0",#REF!,"&gt;="&amp;B546,#REF!,"&lt;="&amp;EOMONTH(B546,0))</f>
        <v>#NAME?</v>
      </c>
      <c r="AQ568" s="1082"/>
      <c r="AR568" s="1220">
        <f>Parametres!$AM$28</f>
        <v>500</v>
      </c>
      <c r="AS568" s="1205" t="e">
        <f>COUNTIFS(#REF!,"&gt;0",#REF!,"&gt;="&amp;B546,#REF!,"&lt;="&amp;EOMONTH(B546,0))</f>
        <v>#REF!</v>
      </c>
      <c r="AT568" s="1208" t="e">
        <f>SUMIFS(#REF!,#REF!,"&lt;&gt;0",#REF!,"&gt;="&amp;B546,#REF!,"&lt;="&amp;EOMONTH(B546,0))</f>
        <v>#REF!</v>
      </c>
      <c r="AU568" s="1208" t="e">
        <f>IF(AS568=0,0,AT568/AS568)</f>
        <v>#REF!</v>
      </c>
      <c r="AV568" s="1208" t="e">
        <f ca="1">MINIFS(#REF!,#REF!,"&lt;&gt;0",#REF!,"&gt;="&amp;B546,#REF!,"&lt;="&amp;EOMONTH(B546,0))</f>
        <v>#NAME?</v>
      </c>
      <c r="AW568" s="1222" t="e">
        <f ca="1">MAXIFS(#REF!,#REF!,"&lt;&gt;0",#REF!,"&gt;="&amp;B546,#REF!,"&lt;="&amp;EOMONTH(B546,0))</f>
        <v>#NAME?</v>
      </c>
      <c r="AX568" s="1223" t="e">
        <f>COUNTIFS(#REF!,"&gt;="&amp;AR568,#REF!,"&gt;="&amp;B546,#REF!,"&lt;="&amp;EOMONTH(B546,0))</f>
        <v>#REF!</v>
      </c>
      <c r="AY568" s="1224" t="e">
        <f>AX568/AS568</f>
        <v>#REF!</v>
      </c>
      <c r="AZ568" s="1403" t="e">
        <f t="shared" si="250"/>
        <v>#REF!</v>
      </c>
      <c r="BA568" s="2"/>
    </row>
    <row r="569" spans="1:53" ht="15.75" hidden="1" customHeight="1" outlineLevel="1">
      <c r="A569" s="1027"/>
      <c r="B569" s="1404"/>
      <c r="C569" s="1402" t="s">
        <v>333</v>
      </c>
      <c r="D569" s="1122">
        <f>Parametres!$D$29</f>
        <v>0.3</v>
      </c>
      <c r="E569" s="1068" t="e">
        <f>COUNTIFS(#REF!,"&gt;0",#REF!,"&gt;="&amp;B546,#REF!,"&lt;="&amp;EOMONTH(B546,0))</f>
        <v>#REF!</v>
      </c>
      <c r="F569" s="1069" t="e">
        <f>SUMIFS(#REF!,#REF!,"&lt;&gt;0",#REF!,"&gt;="&amp;B546,#REF!,"&lt;="&amp;EOMONTH(B546,0))</f>
        <v>#REF!</v>
      </c>
      <c r="G569" s="1069" t="e">
        <f t="shared" si="248"/>
        <v>#REF!</v>
      </c>
      <c r="H569" s="1070" t="e">
        <f ca="1">MINIFS(#REF!,#REF!,"&lt;&gt;0",#REF!,"&gt;="&amp;B546,#REF!,"&lt;="&amp;EOMONTH(B546,0))</f>
        <v>#NAME?</v>
      </c>
      <c r="I569" s="1069" t="e">
        <f ca="1">MAXIFS(#REF!,#REF!,"&lt;&gt;0",#REF!,"&gt;="&amp;B546,#REF!,"&lt;="&amp;EOMONTH(B546,0))</f>
        <v>#NAME?</v>
      </c>
      <c r="J569" s="1072" t="e">
        <f>COUNTIFS(#REF!,"&gt;="&amp;D569,#REF!,"&gt;="&amp;B546,#REF!,"&lt;="&amp;EOMONTH(B546,0))</f>
        <v>#REF!</v>
      </c>
      <c r="K569" s="1341" t="e">
        <f t="shared" si="255"/>
        <v>#REF!</v>
      </c>
      <c r="L569" s="1099"/>
      <c r="M569" s="1132"/>
      <c r="N569" s="1102"/>
      <c r="O569" s="1102"/>
      <c r="P569" s="1069"/>
      <c r="Q569" s="1069"/>
      <c r="R569" s="1069"/>
      <c r="S569" s="1069"/>
      <c r="T569" s="1270"/>
      <c r="U569" s="1270"/>
      <c r="V569" s="1132"/>
      <c r="W569" s="1106"/>
      <c r="X569" s="1106"/>
      <c r="Y569" s="1069"/>
      <c r="Z569" s="1069"/>
      <c r="AA569" s="1069"/>
      <c r="AB569" s="1069"/>
      <c r="AC569" s="1248"/>
      <c r="AD569" s="1249"/>
      <c r="AE569" s="1132"/>
      <c r="AF569" s="1106"/>
      <c r="AG569" s="1106"/>
      <c r="AH569" s="1106"/>
      <c r="AI569" s="1106"/>
      <c r="AJ569" s="1106"/>
      <c r="AK569" s="1082"/>
      <c r="AL569" s="1117"/>
      <c r="AM569" s="1117"/>
      <c r="AN569" s="1117"/>
      <c r="AO569" s="1117"/>
      <c r="AP569" s="1117"/>
      <c r="AQ569" s="1082"/>
      <c r="AR569" s="1106"/>
      <c r="AS569" s="1106"/>
      <c r="AT569" s="1106"/>
      <c r="AU569" s="1106"/>
      <c r="AV569" s="1106"/>
      <c r="AW569" s="1119"/>
      <c r="AX569" s="1120"/>
      <c r="AY569" s="1094"/>
      <c r="AZ569" s="1403" t="e">
        <f t="shared" si="250"/>
        <v>#REF!</v>
      </c>
      <c r="BA569" s="2"/>
    </row>
    <row r="570" spans="1:53" ht="15.75" hidden="1" customHeight="1" outlineLevel="1">
      <c r="A570" s="1027"/>
      <c r="B570" s="1404"/>
      <c r="C570" s="1031" t="s">
        <v>46</v>
      </c>
      <c r="D570" s="1122">
        <f>Parametres!$D$30</f>
        <v>1</v>
      </c>
      <c r="E570" s="1068" t="e">
        <f>COUNTIFS(#REF!,"&gt;0",#REF!,"&gt;="&amp;B546,#REF!,"&lt;="&amp;EOMONTH(B546,0))</f>
        <v>#REF!</v>
      </c>
      <c r="F570" s="1069" t="e">
        <f>SUMIFS(#REF!,#REF!,"&lt;&gt;0",#REF!,"&gt;="&amp;B546,#REF!,"&lt;="&amp;EOMONTH(B546,0))</f>
        <v>#REF!</v>
      </c>
      <c r="G570" s="1069" t="e">
        <f t="shared" si="248"/>
        <v>#REF!</v>
      </c>
      <c r="H570" s="1070" t="e">
        <f ca="1">MINIFS(#REF!,#REF!,"&lt;&gt;0",#REF!,"&gt;="&amp;B546,#REF!,"&lt;="&amp;EOMONTH(B546,0))</f>
        <v>#NAME?</v>
      </c>
      <c r="I570" s="1266" t="e">
        <f ca="1">MAXIFS(#REF!,#REF!,"&lt;&gt;0",#REF!,"&gt;="&amp;B546,#REF!,"&lt;="&amp;EOMONTH(B546,0))</f>
        <v>#NAME?</v>
      </c>
      <c r="J570" s="1072" t="e">
        <f>COUNTIFS(#REF!,"&gt;="&amp;D570,#REF!,"&gt;="&amp;B546,#REF!,"&lt;="&amp;EOMONTH(B546,0))</f>
        <v>#REF!</v>
      </c>
      <c r="K570" s="1341" t="e">
        <f t="shared" si="255"/>
        <v>#REF!</v>
      </c>
      <c r="L570" s="1273"/>
      <c r="M570" s="1274"/>
      <c r="N570" s="1144">
        <f>Parametres!$L$30</f>
        <v>40</v>
      </c>
      <c r="O570" s="1077">
        <f>COUNTIFS('Degrémont Entrée'!$AV$14:$AV$379,"&gt;0",'Degrémont Entrée'!$A$14:$A$379,"&gt;="&amp;B546,'Degrémont Entrée'!$A$14:$A$379,"&lt;="&amp;EOMONTH(B546,0))</f>
        <v>4</v>
      </c>
      <c r="P570" s="1078">
        <f>SUMIFS('Degrémont Entrée'!$AV$14:$AV$379,'Degrémont Entrée'!$AV$14:$AV$379,"&lt;&gt;0",'Degrémont Entrée'!$A$14:$A$379,"&gt;="&amp;B546,'Degrémont Entrée'!$A$14:$A$379,"&lt;="&amp;EOMONTH(B546,0))</f>
        <v>110.94</v>
      </c>
      <c r="Q570" s="1266">
        <f t="shared" ref="Q570:Q571" si="256">IF(O570=0,0,P570/O570)</f>
        <v>27.734999999999999</v>
      </c>
      <c r="R570" s="1266" t="e">
        <f ca="1">MINIFS('Degrémont Entrée'!$AV$14:$AV$379,'Degrémont Entrée'!$AV$14:$AV$379,"&lt;&gt;0",'Degrémont Entrée'!$A$14:$A$379,"&gt;="&amp;B546,'Degrémont Entrée'!$A$14:$A$379,"&lt;="&amp;EOMONTH(B546,0))</f>
        <v>#NAME?</v>
      </c>
      <c r="S570" s="1266" t="e">
        <f ca="1">MAXIFS('Degrémont Entrée'!$AV$14:$AV$379,'Degrémont Entrée'!$AV$14:$AV$379,"&lt;&gt;0",'Degrémont Entrée'!$A$14:$A$379,"&gt;="&amp;B546,'Degrémont Entrée'!$A$14:$A$379,"&lt;="&amp;EOMONTH(B546,0))</f>
        <v>#NAME?</v>
      </c>
      <c r="T570" s="1276">
        <f>COUNTIFS('Degrémont Entrée'!$AV$14:$AV$379,"&gt;="&amp;N570,'Degrémont Entrée'!$A$14:$A$379,"&gt;="&amp;B546,'Degrémont Entrée'!$A$14:$A$379,"&lt;="&amp;EOMONTH(B546,0))</f>
        <v>1</v>
      </c>
      <c r="U570" s="1081">
        <f t="shared" ref="U570:U571" si="257">T570/O570</f>
        <v>0.25</v>
      </c>
      <c r="V570" s="1075"/>
      <c r="W570" s="1083">
        <f>Parametres!$T$30</f>
        <v>0.8</v>
      </c>
      <c r="X570" s="1142">
        <f>COUNTIFS('Degrémont sortie'!$AP$14:$AP$379,"&gt;0",'Degrémont sortie'!$A$14:$A$379,"&gt;="&amp;B546,'Degrémont sortie'!$A$14:$A$379,"&lt;="&amp;EOMONTH(B546,0))</f>
        <v>4</v>
      </c>
      <c r="Y570" s="1085">
        <f>SUMIFS('Degrémont sortie'!$AP$14:$AP$379,'Degrémont sortie'!$AP$14:$AP$379,"&lt;&gt;0",'Degrémont sortie'!$A$14:$A$379,"&gt;="&amp;B546,'Degrémont sortie'!$A$14:$A$379,"&lt;="&amp;EOMONTH(B546,0))</f>
        <v>0.371</v>
      </c>
      <c r="Z570" s="1069">
        <f t="shared" ref="Z570:Z572" si="258">IF(X570=0,0,Y570/X570)</f>
        <v>9.2749999999999999E-2</v>
      </c>
      <c r="AA570" s="1277" t="e">
        <f ca="1">MINIFS('Degrémont sortie'!$AP$14:$AP$379,'Degrémont sortie'!$AP$14:$AP$379,"&lt;&gt;0",'Degrémont sortie'!$A$14:$A$379,"&gt;="&amp;B546,'Degrémont sortie'!$A$14:$A$379,"&lt;="&amp;EOMONTH(B546,0))</f>
        <v>#NAME?</v>
      </c>
      <c r="AB570" s="1069" t="e">
        <f ca="1">MAXIFS('Degrémont sortie'!$AP$14:$AP$379,'Degrémont sortie'!$AP$14:$AP$379,"&lt;&gt;0",'Degrémont sortie'!$A$14:$A$379,"&gt;="&amp;B546,'Degrémont sortie'!$A$14:$A$379,"&lt;="&amp;EOMONTH(B546,0))</f>
        <v>#NAME?</v>
      </c>
      <c r="AC570" s="1142">
        <f>COUNTIFS('Degrémont sortie'!$AP$14:$AP$379,"&gt;="&amp;W570,'Degrémont sortie'!$A$14:$A$379,"&gt;="&amp;B546,'Degrémont sortie'!$A$14:$A$379,"&lt;="&amp;EOMONTH(B546,0))</f>
        <v>0</v>
      </c>
      <c r="AD570" s="1087">
        <f t="shared" ref="AD570:AD571" si="259">AC570/X570</f>
        <v>0</v>
      </c>
      <c r="AE570" s="1075"/>
      <c r="AF570" s="1278"/>
      <c r="AG570" s="1278"/>
      <c r="AH570" s="1278"/>
      <c r="AI570" s="1278"/>
      <c r="AJ570" s="1278"/>
      <c r="AK570" s="1279"/>
      <c r="AL570" s="1278"/>
      <c r="AM570" s="1278"/>
      <c r="AN570" s="1278"/>
      <c r="AO570" s="1278"/>
      <c r="AP570" s="1278"/>
      <c r="AQ570" s="1279"/>
      <c r="AR570" s="1278"/>
      <c r="AS570" s="1278"/>
      <c r="AT570" s="1278"/>
      <c r="AU570" s="1278"/>
      <c r="AV570" s="1278"/>
      <c r="AW570" s="1278"/>
      <c r="AX570" s="1280"/>
      <c r="AY570" s="1094"/>
      <c r="AZ570" s="1403" t="e">
        <f t="shared" si="250"/>
        <v>#REF!</v>
      </c>
      <c r="BA570" s="2"/>
    </row>
    <row r="571" spans="1:53" ht="15.75" hidden="1" customHeight="1" outlineLevel="1">
      <c r="A571" s="1027"/>
      <c r="B571" s="1404"/>
      <c r="C571" s="1031" t="s">
        <v>34</v>
      </c>
      <c r="D571" s="1122">
        <f>Parametres!$D$32</f>
        <v>400</v>
      </c>
      <c r="E571" s="1068" t="e">
        <f>COUNTIFS(#REF!,"&gt;0",#REF!,"&gt;="&amp;B546,#REF!,"&lt;="&amp;EOMONTH(B546,0))</f>
        <v>#REF!</v>
      </c>
      <c r="F571" s="1069" t="e">
        <f>SUMIFS(#REF!,#REF!,"&lt;&gt;0",#REF!,"&gt;="&amp;B546,#REF!,"&lt;="&amp;EOMONTH(B546,0))</f>
        <v>#REF!</v>
      </c>
      <c r="G571" s="1069" t="e">
        <f t="shared" si="248"/>
        <v>#REF!</v>
      </c>
      <c r="H571" s="1070" t="e">
        <f ca="1">MINIFS(#REF!,#REF!,"&lt;&gt;0",#REF!,"&gt;="&amp;B546,#REF!,"&lt;="&amp;EOMONTH(B546,0))</f>
        <v>#NAME?</v>
      </c>
      <c r="I571" s="1069" t="e">
        <f ca="1">MAXIFS(#REF!,#REF!,"&lt;&gt;0",#REF!,"&gt;="&amp;B546,#REF!,"&lt;="&amp;EOMONTH(B546,0))</f>
        <v>#NAME?</v>
      </c>
      <c r="J571" s="1114" t="e">
        <f>COUNTIFS(#REF!,"&gt;="&amp;D571,#REF!,"&gt;="&amp;B546,#REF!,"&lt;="&amp;EOMONTH(B546,0))</f>
        <v>#REF!</v>
      </c>
      <c r="K571" s="1341" t="e">
        <f t="shared" si="255"/>
        <v>#REF!</v>
      </c>
      <c r="L571" s="1281"/>
      <c r="M571" s="1282"/>
      <c r="N571" s="1144">
        <f>Parametres!$L$32</f>
        <v>4000</v>
      </c>
      <c r="O571" s="1077">
        <f>COUNTIFS('Degrémont Entrée'!$G$14:$G$379,"&gt;0",'Degrémont Entrée'!$A$14:$A$379,"&gt;="&amp;B546,'Degrémont Entrée'!$A$14:$A$379,"&lt;="&amp;EOMONTH(B546,0))</f>
        <v>15</v>
      </c>
      <c r="P571" s="1078">
        <f>SUMIFS('Degrémont Entrée'!$G$14:$G$379,'Degrémont Entrée'!$G$14:$G$379,"&lt;&gt;0",'Degrémont Entrée'!$A$14:$A$379,"&gt;="&amp;B546,'Degrémont Entrée'!$A$14:$A$379,"&lt;="&amp;EOMONTH(B546,0))</f>
        <v>162816.28205128209</v>
      </c>
      <c r="Q571" s="1283">
        <f t="shared" si="256"/>
        <v>10854.418803418806</v>
      </c>
      <c r="R571" s="1069" t="e">
        <f ca="1">MINIFS('Degrémont Entrée'!$G$14:$G$379,'Degrémont Entrée'!$G$14:$G$379,"&lt;&gt;0",'Degrémont Entrée'!$A$14:$A$379,"&gt;="&amp;B546,'Degrémont Entrée'!$A$14:$A$379,"&lt;="&amp;EOMONTH(B546,0))</f>
        <v>#NAME?</v>
      </c>
      <c r="S571" s="1284" t="e">
        <f ca="1">MAXIFS('Degrémont Entrée'!$G$14:$G$379,'Degrémont Entrée'!$G$14:$G$379,"&lt;&gt;0",'Degrémont Entrée'!$A$14:$A$379,"&gt;="&amp;B546,'Degrémont Entrée'!$A$14:$A$379,"&lt;="&amp;EOMONTH(B546,0))</f>
        <v>#NAME?</v>
      </c>
      <c r="T571" s="1141">
        <f>COUNTIFS('Degrémont Entrée'!$G$14:$G$379,"&gt;="&amp;N571,'Degrémont Entrée'!$A$14:$A$379,"&gt;="&amp;B546,'Degrémont Entrée'!$A$14:$A$379,"&lt;="&amp;EOMONTH(B546,0))</f>
        <v>13</v>
      </c>
      <c r="U571" s="1081">
        <f t="shared" si="257"/>
        <v>0.8666666666666667</v>
      </c>
      <c r="V571" s="1285"/>
      <c r="W571" s="1083">
        <f>Parametres!$T$32</f>
        <v>55</v>
      </c>
      <c r="X571" s="1142">
        <f>COUNTIFS('Degrémont sortie'!$G$14:$G$379,"&gt;0",'Degrémont sortie'!$A$14:$A$379,"&gt;="&amp;B546,'Degrémont sortie'!$A$14:$A$379,"&lt;="&amp;EOMONTH(B546,0))</f>
        <v>15</v>
      </c>
      <c r="Y571" s="1085">
        <f>SUMIFS('Degrémont sortie'!$G$14:$G$379,'Degrémont sortie'!$G$14:$G$379,"&lt;&gt;0",'Degrémont sortie'!$A$14:$A$379,"&gt;="&amp;B546,'Degrémont sortie'!$A$14:$A$379,"&lt;="&amp;EOMONTH(B546,0))</f>
        <v>423.15034562211963</v>
      </c>
      <c r="Z571" s="1069">
        <f t="shared" si="258"/>
        <v>28.210023041474642</v>
      </c>
      <c r="AA571" s="1286" t="e">
        <f ca="1">MINIFS('Degrémont sortie'!$G$14:$G$379,'Degrémont sortie'!$G$14:G$379,"&lt;&gt;0",'Degrémont sortie'!$A$14:$A$379,"&gt;="&amp;B546,'Degrémont sortie'!$A$14:$A$379,"&lt;="&amp;EOMONTH(B546,0))</f>
        <v>#NAME?</v>
      </c>
      <c r="AB571" s="1286" t="e">
        <f ca="1">MAXIFS('Degrémont sortie'!$G$14:$G$379,'Degrémont sortie'!$G$14:$G$379,"&lt;&gt;0",'Degrémont sortie'!$A$14:$A$379,"&gt;="&amp;B546,'Degrémont sortie'!$A$14:$A$379,"&lt;="&amp;EOMONTH(B546,0))</f>
        <v>#NAME?</v>
      </c>
      <c r="AC571" s="1141">
        <f>COUNTIFS('Degrémont sortie'!$G$14:$G$379,"&gt;="&amp;W571,'Degrémont sortie'!$A$14:$A$379,"&gt;="&amp;B546,'Degrémont sortie'!$A$14:$A$379,"&lt;="&amp;EOMONTH(B546,0))</f>
        <v>1</v>
      </c>
      <c r="AD571" s="1087">
        <f t="shared" si="259"/>
        <v>6.6666666666666666E-2</v>
      </c>
      <c r="AE571" s="1285"/>
      <c r="AF571" s="1205" t="e">
        <f>COUNTIFS(#REF!,"&gt;0",#REF!,"&gt;="&amp;B546,#REF!,"&lt;="&amp;EOMONTH(B546,0))</f>
        <v>#REF!</v>
      </c>
      <c r="AG571" s="1208" t="e">
        <f>SUMIFS(#REF!,#REF!,"&lt;&gt;0",#REF!,"&gt;="&amp;B546,#REF!,"&lt;="&amp;EOMONTH(B546,0))</f>
        <v>#REF!</v>
      </c>
      <c r="AH571" s="1208" t="e">
        <f>IF(AF571=0,0,AG571/AF571)</f>
        <v>#REF!</v>
      </c>
      <c r="AI571" s="1208" t="e">
        <f ca="1">MINIFS(#REF!,#REF!,"&lt;&gt;0",#REF!,"&gt;="&amp;B546,#REF!,"&lt;="&amp;EOMONTH(B546,0))</f>
        <v>#NAME?</v>
      </c>
      <c r="AJ571" s="1208" t="e">
        <f ca="1">MAXIFS(#REF!,#REF!,"&lt;&gt;0",#REF!,"&gt;="&amp;B546,#REF!,"&lt;="&amp;EOMONTH(B546,0))</f>
        <v>#NAME?</v>
      </c>
      <c r="AK571" s="1285"/>
      <c r="AL571" s="1205" t="e">
        <f>COUNTIFS(#REF!,"&gt;0",#REF!,"&gt;="&amp;B546,#REF!,"&lt;="&amp;EOMONTH(B546,0))</f>
        <v>#REF!</v>
      </c>
      <c r="AM571" s="1208" t="e">
        <f>SUMIFS(#REF!,#REF!,"&lt;&gt;0",#REF!,"&gt;="&amp;B546,#REF!,"&lt;="&amp;EOMONTH(B546,0))</f>
        <v>#REF!</v>
      </c>
      <c r="AN571" s="1208" t="e">
        <f>IF(AL571=0,0,AM571/AL571)</f>
        <v>#REF!</v>
      </c>
      <c r="AO571" s="1141" t="e">
        <f ca="1">MINIFS(#REF!,#REF!,"&lt;&gt;0",#REF!,"&gt;="&amp;B546,#REF!,"&lt;="&amp;EOMONTH(B546,0))</f>
        <v>#NAME?</v>
      </c>
      <c r="AP571" s="1141" t="e">
        <f ca="1">MAXIFS(#REF!,#REF!,"&lt;&gt;0",#REF!,"&gt;="&amp;B546,#REF!,"&lt;="&amp;EOMONTH(B546,0))</f>
        <v>#NAME?</v>
      </c>
      <c r="AQ571" s="1285"/>
      <c r="AR571" s="1220">
        <f>Parametres!$AM$32</f>
        <v>2600</v>
      </c>
      <c r="AS571" s="1205" t="e">
        <f>COUNTIFS(#REF!,"&gt;0",#REF!,"&gt;="&amp;B546,#REF!,"&lt;="&amp;EOMONTH(B546,0))</f>
        <v>#REF!</v>
      </c>
      <c r="AT571" s="1208" t="e">
        <f>SUMIFS(#REF!,#REF!,"&lt;&gt;0",#REF!,"&gt;="&amp;B546,#REF!,"&lt;="&amp;EOMONTH(B546,0))</f>
        <v>#REF!</v>
      </c>
      <c r="AU571" s="1208" t="e">
        <f>IF(AS571=0,0,AT571/AS571)</f>
        <v>#REF!</v>
      </c>
      <c r="AV571" s="1287" t="e">
        <f ca="1">MINIFS(#REF!,#REF!,"&lt;&gt;0",#REF!,"&gt;="&amp;B546,#REF!,"&lt;="&amp;EOMONTH(B546,0))</f>
        <v>#NAME?</v>
      </c>
      <c r="AW571" s="1141" t="e">
        <f ca="1">MAXIFS(#REF!,#REF!,"&lt;&gt;0",#REF!,"&gt;="&amp;B546,#REF!,"&lt;="&amp;EOMONTH(B546,0))</f>
        <v>#NAME?</v>
      </c>
      <c r="AX571" s="1288" t="e">
        <f>COUNTIFS(#REF!,"&gt;="&amp;AR571,#REF!,"&gt;="&amp;B546,#REF!,"&lt;="&amp;EOMONTH(B546,0))</f>
        <v>#REF!</v>
      </c>
      <c r="AY571" s="1224" t="e">
        <f>AX571/AS571</f>
        <v>#REF!</v>
      </c>
      <c r="AZ571" s="1403" t="e">
        <f t="shared" si="250"/>
        <v>#REF!</v>
      </c>
      <c r="BA571" s="2"/>
    </row>
    <row r="572" spans="1:53" ht="15.75" hidden="1" customHeight="1" outlineLevel="1">
      <c r="A572" s="1027"/>
      <c r="B572" s="1404"/>
      <c r="C572" s="1031" t="s">
        <v>118</v>
      </c>
      <c r="D572" s="1122">
        <f>Parametres!$D$33</f>
        <v>75</v>
      </c>
      <c r="E572" s="1068" t="e">
        <f>COUNTIFS(#REF!,"&gt;0",#REF!,"&gt;="&amp;B546,#REF!,"&lt;="&amp;EOMONTH(B546,0))</f>
        <v>#REF!</v>
      </c>
      <c r="F572" s="1069" t="e">
        <f>SUMIFS(#REF!,#REF!,"&lt;&gt;0",#REF!,"&gt;="&amp;B546,#REF!,"&lt;="&amp;EOMONTH(B546,0))</f>
        <v>#REF!</v>
      </c>
      <c r="G572" s="1069" t="e">
        <f t="shared" si="248"/>
        <v>#REF!</v>
      </c>
      <c r="H572" s="1070" t="e">
        <f ca="1">MINIFS(#REF!,#REF!,"&lt;&gt;0",#REF!,"&gt;="&amp;B546,#REF!,"&lt;="&amp;EOMONTH(B546,0))</f>
        <v>#NAME?</v>
      </c>
      <c r="I572" s="1069" t="e">
        <f ca="1">MAXIFS(#REF!,#REF!,"&lt;&gt;0",#REF!,"&gt;="&amp;B546,#REF!,"&lt;="&amp;EOMONTH(B546,0))</f>
        <v>#NAME?</v>
      </c>
      <c r="J572" s="1114" t="e">
        <f>COUNTIFS(#REF!,"&gt;="&amp;D572,#REF!,"&gt;="&amp;B546,#REF!,"&lt;="&amp;EOMONTH(B546,0))</f>
        <v>#REF!</v>
      </c>
      <c r="K572" s="1341" t="e">
        <f t="shared" si="255"/>
        <v>#REF!</v>
      </c>
      <c r="L572" s="1281"/>
      <c r="M572" s="1289"/>
      <c r="N572" s="1290"/>
      <c r="O572" s="1290"/>
      <c r="P572" s="1286"/>
      <c r="Q572" s="1283"/>
      <c r="R572" s="1286"/>
      <c r="S572" s="1286"/>
      <c r="T572" s="1290"/>
      <c r="U572" s="1290"/>
      <c r="V572" s="1285"/>
      <c r="W572" s="1083">
        <f>Parametres!$T$33</f>
        <v>150</v>
      </c>
      <c r="X572" s="1142">
        <f>COUNTIFS('Degrémont sortie'!$X$14:$X$379,"&gt;0",'Degrémont sortie'!$A$14:$A$379,"&gt;="&amp;B546,'Degrémont sortie'!$A$14:$A$379,"&lt;="&amp;EOMONTH(B546,0))</f>
        <v>16</v>
      </c>
      <c r="Y572" s="1085">
        <f>SUMIFS('Degrémont sortie'!$X$14:$X$379,'Degrémont sortie'!$X$14:$X$379,"&lt;&gt;0",'Degrémont sortie'!$A$14:$A$379,"&gt;="&amp;B546,'Degrémont sortie'!$A$14:$A$379,"&lt;="&amp;EOMONTH(B546,0))</f>
        <v>258.58999999999997</v>
      </c>
      <c r="Z572" s="1069">
        <f t="shared" si="258"/>
        <v>16.161874999999998</v>
      </c>
      <c r="AA572" s="1286" t="e">
        <f ca="1">MINIFS('Degrémont sortie'!$X$14:$X$379,'Degrémont sortie'!$X$14:$X$379,"&lt;&gt;0",'Degrémont sortie'!$A$14:$A$379,"&gt;="&amp;B546,'Degrémont sortie'!$A$14:$A$379,"&lt;="&amp;EOMONTH(B546,0))</f>
        <v>#NAME?</v>
      </c>
      <c r="AB572" s="1286" t="e">
        <f ca="1">MAXIFS('Degrémont sortie'!$X$14:$X$379,'Degrémont sortie'!$X$14:$X$379,"&lt;&gt;0",'Degrémont sortie'!$A$14:$A$379,"&gt;="&amp;B546,'Degrémont sortie'!$A$14:$A$379,"&lt;="&amp;EOMONTH(B546,0))</f>
        <v>#NAME?</v>
      </c>
      <c r="AC572" s="1291" t="s">
        <v>153</v>
      </c>
      <c r="AD572" s="1292" t="s">
        <v>153</v>
      </c>
      <c r="AE572" s="1285"/>
      <c r="AF572" s="1293"/>
      <c r="AG572" s="1293"/>
      <c r="AH572" s="1293"/>
      <c r="AI572" s="1293"/>
      <c r="AJ572" s="1293"/>
      <c r="AK572" s="1285"/>
      <c r="AL572" s="1293"/>
      <c r="AM572" s="1293"/>
      <c r="AN572" s="1293"/>
      <c r="AO572" s="1293"/>
      <c r="AP572" s="1293"/>
      <c r="AQ572" s="1285"/>
      <c r="AR572" s="1293"/>
      <c r="AS572" s="1293"/>
      <c r="AT572" s="1293"/>
      <c r="AU572" s="1293"/>
      <c r="AV572" s="1293"/>
      <c r="AW572" s="1293"/>
      <c r="AX572" s="1294"/>
      <c r="AY572" s="1295"/>
      <c r="AZ572" s="1403" t="e">
        <f t="shared" si="250"/>
        <v>#REF!</v>
      </c>
      <c r="BA572" s="2"/>
    </row>
    <row r="573" spans="1:53" ht="15.75" hidden="1" customHeight="1" outlineLevel="1">
      <c r="A573" s="1027"/>
      <c r="B573" s="1404"/>
      <c r="C573" s="1031" t="s">
        <v>285</v>
      </c>
      <c r="D573" s="1122">
        <f>Parametres!$D$34</f>
        <v>10000000</v>
      </c>
      <c r="E573" s="1068" t="e">
        <f>COUNTIFS(#REF!,"&gt;0",#REF!,"&gt;="&amp;B546,#REF!,"&lt;="&amp;EOMONTH(B546,0))</f>
        <v>#REF!</v>
      </c>
      <c r="F573" s="1069" t="e">
        <f>SUMIFS(#REF!,#REF!,"&lt;&gt;0",#REF!,"&gt;="&amp;B546,#REF!,"&lt;="&amp;EOMONTH(B546,0))</f>
        <v>#REF!</v>
      </c>
      <c r="G573" s="1069" t="e">
        <f t="shared" si="248"/>
        <v>#REF!</v>
      </c>
      <c r="H573" s="1070" t="e">
        <f ca="1">MINIFS(#REF!,#REF!,"&lt;&gt;0",#REF!,"&gt;="&amp;B546,#REF!,"&lt;="&amp;EOMONTH(B546,0))</f>
        <v>#NAME?</v>
      </c>
      <c r="I573" s="1069" t="e">
        <f ca="1">MAXIFS(#REF!,#REF!,"&lt;&gt;0",#REF!,"&gt;="&amp;B546,#REF!,"&lt;="&amp;EOMONTH(B546,0))</f>
        <v>#NAME?</v>
      </c>
      <c r="J573" s="1072" t="s">
        <v>153</v>
      </c>
      <c r="K573" s="1072" t="s">
        <v>153</v>
      </c>
      <c r="L573" s="1281"/>
      <c r="M573" s="1289"/>
      <c r="N573" s="1290"/>
      <c r="O573" s="1290"/>
      <c r="P573" s="1286"/>
      <c r="Q573" s="1283"/>
      <c r="R573" s="1286"/>
      <c r="S573" s="1286"/>
      <c r="T573" s="1290"/>
      <c r="U573" s="1290"/>
      <c r="V573" s="1285"/>
      <c r="W573" s="1293"/>
      <c r="X573" s="1293"/>
      <c r="Y573" s="1286"/>
      <c r="Z573" s="1286"/>
      <c r="AA573" s="1286"/>
      <c r="AB573" s="1286"/>
      <c r="AC573" s="1293"/>
      <c r="AD573" s="1249"/>
      <c r="AE573" s="1285"/>
      <c r="AF573" s="1293"/>
      <c r="AG573" s="1293"/>
      <c r="AH573" s="1293"/>
      <c r="AI573" s="1293"/>
      <c r="AJ573" s="1293"/>
      <c r="AK573" s="1285"/>
      <c r="AL573" s="1293"/>
      <c r="AM573" s="1293"/>
      <c r="AN573" s="1293"/>
      <c r="AO573" s="1293"/>
      <c r="AP573" s="1293"/>
      <c r="AQ573" s="1285"/>
      <c r="AR573" s="1293"/>
      <c r="AS573" s="1293"/>
      <c r="AT573" s="1293"/>
      <c r="AU573" s="1293"/>
      <c r="AV573" s="1293"/>
      <c r="AW573" s="1293"/>
      <c r="AX573" s="1294"/>
      <c r="AY573" s="1295"/>
      <c r="AZ573" s="1403" t="e">
        <f t="shared" si="250"/>
        <v>#REF!</v>
      </c>
      <c r="BA573" s="2"/>
    </row>
    <row r="574" spans="1:53" ht="15.75" hidden="1" customHeight="1" outlineLevel="1">
      <c r="A574" s="1027"/>
      <c r="B574" s="1404"/>
      <c r="C574" s="1031" t="s">
        <v>48</v>
      </c>
      <c r="D574" s="1122">
        <f>Parametres!$D$35</f>
        <v>0.5</v>
      </c>
      <c r="E574" s="1068" t="e">
        <f>COUNTIFS(#REF!,"&gt;0",#REF!,"&gt;="&amp;B546,#REF!,"&lt;="&amp;EOMONTH(B546,0))</f>
        <v>#REF!</v>
      </c>
      <c r="F574" s="1069" t="e">
        <f>SUMIFS(#REF!,#REF!,"&lt;&gt;0",#REF!,"&gt;="&amp;B546,#REF!,"&lt;="&amp;EOMONTH(B546,0))</f>
        <v>#REF!</v>
      </c>
      <c r="G574" s="1069" t="e">
        <f t="shared" si="248"/>
        <v>#REF!</v>
      </c>
      <c r="H574" s="1070" t="e">
        <f ca="1">MINIFS(#REF!,#REF!,"&lt;&gt;0",#REF!,"&gt;="&amp;B546,#REF!,"&lt;="&amp;EOMONTH(B546,0))</f>
        <v>#NAME?</v>
      </c>
      <c r="I574" s="1069" t="e">
        <f ca="1">MAXIFS(#REF!,#REF!,"&lt;&gt;0",#REF!,"&gt;="&amp;B546,#REF!,"&lt;="&amp;EOMONTH(B546,0))</f>
        <v>#NAME?</v>
      </c>
      <c r="J574" s="1114" t="e">
        <f>COUNTIFS(#REF!,"&gt;="&amp;D574,#REF!,"&gt;="&amp;B546,#REF!,"&lt;="&amp;EOMONTH(B546,0))</f>
        <v>#REF!</v>
      </c>
      <c r="K574" s="1341" t="e">
        <f>J574/E574</f>
        <v>#REF!</v>
      </c>
      <c r="L574" s="1281"/>
      <c r="M574" s="1289"/>
      <c r="N574" s="1144">
        <f>Parametres!$L$35</f>
        <v>30</v>
      </c>
      <c r="O574" s="1077">
        <f>COUNTIFS('Degrémont Entrée'!$BB$14:$BB$379,"&gt;0",'Degrémont Entrée'!$A$14:$A$379,"&gt;="&amp;B546,'Degrémont Entrée'!$A$14:$A$379,"&lt;="&amp;EOMONTH(B546,0))</f>
        <v>4</v>
      </c>
      <c r="P574" s="1078">
        <f>SUMIFS('Degrémont Entrée'!$BB$14:$BB$379,'Degrémont Entrée'!$BB$14:$BB$379,"&lt;&gt;0",'Degrémont Entrée'!$A$14:$A$379,"&gt;="&amp;B546,'Degrémont Entrée'!$A$14:$A$379,"&lt;="&amp;EOMONTH(B546,0))</f>
        <v>3.6139999999999999</v>
      </c>
      <c r="Q574" s="1283">
        <f>IF(O574=0,0,P574/O574)</f>
        <v>0.90349999999999997</v>
      </c>
      <c r="R574" s="1286" t="e">
        <f ca="1">MINIFS('Degrémont Entrée'!$BB$14:$BB$379,'Degrémont Entrée'!$BB$14:$BB$379,"&lt;&gt;0",'Degrémont Entrée'!$A$14:$A$379,"&gt;="&amp;B546,'Degrémont Entrée'!$A$14:$A$379,"&lt;="&amp;EOMONTH(B546,0))</f>
        <v>#NAME?</v>
      </c>
      <c r="S574" s="1286" t="e">
        <f ca="1">MAXIFS('Degrémont Entrée'!$BB$14:$BB$379,'Degrémont Entrée'!$BB$14:$BB$379,"&lt;&gt;0",'Degrémont Entrée'!$A$14:$A$379,"&gt;="&amp;B546,'Degrémont Entrée'!$A$14:$A$379,"&lt;="&amp;EOMONTH(B546,0))</f>
        <v>#NAME?</v>
      </c>
      <c r="T574" s="1141">
        <f>COUNTIFS('Degrémont Entrée'!$BB$14:$BB$379,"&gt;="&amp;N574,'Degrémont Entrée'!$A$14:$A$379,"&gt;="&amp;B546,'Degrémont Entrée'!$A$14:$A$379,"&lt;="&amp;EOMONTH(B546,0))</f>
        <v>0</v>
      </c>
      <c r="U574" s="1081">
        <f>T574/O574</f>
        <v>0</v>
      </c>
      <c r="V574" s="1285"/>
      <c r="W574" s="1083">
        <f>Parametres!$T$35</f>
        <v>0.16</v>
      </c>
      <c r="X574" s="1142">
        <f>COUNTIFS('Degrémont sortie'!$AV$14:$AV$379,"&gt;0",'Degrémont sortie'!$A$14:$A$379,"&gt;="&amp;B546,'Degrémont sortie'!$A$14:$A$379,"&lt;="&amp;EOMONTH(B546,0))</f>
        <v>4</v>
      </c>
      <c r="Y574" s="1085">
        <f>SUMIFS('Degrémont sortie'!$AV$14:$AV$379,'Degrémont sortie'!$AV$14:$AV$379,"&lt;&gt;0",'Degrémont sortie'!$A$14:$A$379,"&gt;="&amp;B546,'Degrémont sortie'!$A$14:$A$379,"&lt;="&amp;EOMONTH(B546,0))</f>
        <v>3.2000000000000001E-2</v>
      </c>
      <c r="Z574" s="1069">
        <f t="shared" ref="Z574:Z576" si="260">IF(X574=0,0,Y574/X574)</f>
        <v>8.0000000000000002E-3</v>
      </c>
      <c r="AA574" s="1286" t="e">
        <f ca="1">MINIFS('Degrémont sortie'!$AV$14:$AV$379,'Degrémont sortie'!$AV$14:$AV$379,"&lt;&gt;0",'Degrémont sortie'!$A$14:$A$379,"&gt;="&amp;B546,'Degrémont sortie'!$A$14:$A$379,"&lt;="&amp;EOMONTH(B546,0))</f>
        <v>#NAME?</v>
      </c>
      <c r="AB574" s="1286" t="e">
        <f ca="1">MAXIFS('Degrémont sortie'!$AV$14:$AV$379,'Degrémont sortie'!$AV$14:$AV$379,"&lt;&gt;0",'Degrémont sortie'!$A$14:$A$379,"&gt;="&amp;B546,'Degrémont sortie'!$A$14:$A$379,"&lt;="&amp;EOMONTH(B546,0))</f>
        <v>#NAME?</v>
      </c>
      <c r="AC574" s="1141">
        <f>COUNTIFS('Degrémont sortie'!$AV$14:$AV$379,"&gt;="&amp;W574,'Degrémont sortie'!$A$14:$A$379,"&gt;="&amp;B546,'Degrémont sortie'!$A$14:$A$379,"&lt;="&amp;EOMONTH(B546,0))</f>
        <v>0</v>
      </c>
      <c r="AD574" s="1087">
        <f>AC574/X574</f>
        <v>0</v>
      </c>
      <c r="AE574" s="1285"/>
      <c r="AF574" s="1293"/>
      <c r="AG574" s="1293"/>
      <c r="AH574" s="1293"/>
      <c r="AI574" s="1293"/>
      <c r="AJ574" s="1293"/>
      <c r="AK574" s="1285"/>
      <c r="AL574" s="1293"/>
      <c r="AM574" s="1293"/>
      <c r="AN574" s="1293"/>
      <c r="AO574" s="1293"/>
      <c r="AP574" s="1293"/>
      <c r="AQ574" s="1285"/>
      <c r="AR574" s="1293"/>
      <c r="AS574" s="1293"/>
      <c r="AT574" s="1293"/>
      <c r="AU574" s="1293"/>
      <c r="AV574" s="1293"/>
      <c r="AW574" s="1293"/>
      <c r="AX574" s="1294"/>
      <c r="AY574" s="1295"/>
      <c r="AZ574" s="1403" t="e">
        <f t="shared" si="250"/>
        <v>#REF!</v>
      </c>
      <c r="BA574" s="2"/>
    </row>
    <row r="575" spans="1:53" ht="15.75" hidden="1" customHeight="1" outlineLevel="1">
      <c r="A575" s="1027"/>
      <c r="B575" s="1404"/>
      <c r="C575" s="1031" t="s">
        <v>39</v>
      </c>
      <c r="D575" s="1122">
        <f>Parametres!$D$36</f>
        <v>10000000</v>
      </c>
      <c r="E575" s="1068" t="e">
        <f>COUNTIFS(#REF!,"&gt;0",#REF!,"&gt;="&amp;B546,#REF!,"&lt;="&amp;EOMONTH(B546,0))</f>
        <v>#REF!</v>
      </c>
      <c r="F575" s="1069" t="e">
        <f>SUMIFS(#REF!,#REF!,"&lt;&gt;0",#REF!,"&gt;="&amp;B546,#REF!,"&lt;="&amp;EOMONTH(B546,0))</f>
        <v>#REF!</v>
      </c>
      <c r="G575" s="1069" t="e">
        <f t="shared" si="248"/>
        <v>#REF!</v>
      </c>
      <c r="H575" s="1070" t="e">
        <f ca="1">MINIFS(#REF!,#REF!,"&lt;&gt;0",#REF!,"&gt;="&amp;B546,#REF!,"&lt;="&amp;EOMONTH(B546,0))</f>
        <v>#NAME?</v>
      </c>
      <c r="I575" s="1277" t="e">
        <f ca="1">MAXIFS(#REF!,#REF!,"&lt;&gt;0",#REF!,"&gt;="&amp;B546,#REF!,"&lt;="&amp;EOMONTH(B546,0))</f>
        <v>#NAME?</v>
      </c>
      <c r="J575" s="1072" t="s">
        <v>153</v>
      </c>
      <c r="K575" s="1072" t="s">
        <v>153</v>
      </c>
      <c r="L575" s="1281"/>
      <c r="M575" s="1289"/>
      <c r="N575" s="1290"/>
      <c r="O575" s="1290"/>
      <c r="P575" s="1286"/>
      <c r="Q575" s="1286"/>
      <c r="R575" s="1286"/>
      <c r="S575" s="1286"/>
      <c r="T575" s="1290"/>
      <c r="U575" s="1290"/>
      <c r="V575" s="1285"/>
      <c r="W575" s="1083">
        <f>Parametres!$T$36</f>
        <v>100000000</v>
      </c>
      <c r="X575" s="1142">
        <f>COUNTIFS('Degrémont sortie'!$R$14:$R$379,"&gt;0",'Degrémont sortie'!$A$14:$A$379,"&gt;="&amp;B546,'Degrémont sortie'!$A$14:$A$379,"&lt;="&amp;EOMONTH(B546,0))</f>
        <v>11</v>
      </c>
      <c r="Y575" s="1085">
        <f>SUMIFS('Degrémont sortie'!$R$14:$R$379,'Degrémont sortie'!$R$14:$R$379,"&lt;&gt;0",'Degrémont sortie'!$A$14:$A$379,"&gt;="&amp;B546,'Degrémont sortie'!$A$14:$A$379,"&lt;="&amp;EOMONTH(B546,0))</f>
        <v>10.299999999999999</v>
      </c>
      <c r="Z575" s="1069">
        <f t="shared" si="260"/>
        <v>0.93636363636363629</v>
      </c>
      <c r="AA575" s="1286" t="e">
        <f ca="1">MINIFS('Degrémont sortie'!$R$14:$R$379,'Degrémont sortie'!$R$14:$R$379,"&lt;&gt;0",'Degrémont sortie'!$A$14:$A$379,"&gt;="&amp;B546,'Degrémont sortie'!$A$14:$A$379,"&lt;="&amp;EOMONTH(B546,0))</f>
        <v>#NAME?</v>
      </c>
      <c r="AB575" s="1286" t="e">
        <f ca="1">MAXIFS('Degrémont sortie'!$R$14:$R$379,'Degrémont sortie'!$R$14:$R$379,"&lt;&gt;0",'Degrémont sortie'!$A$14:$A$379,"&gt;="&amp;B546,'Degrémont sortie'!$A$14:$A$379,"&lt;="&amp;EOMONTH(B546,0))</f>
        <v>#NAME?</v>
      </c>
      <c r="AC575" s="1291" t="s">
        <v>153</v>
      </c>
      <c r="AD575" s="1292" t="s">
        <v>153</v>
      </c>
      <c r="AE575" s="1285"/>
      <c r="AF575" s="1293"/>
      <c r="AG575" s="1293"/>
      <c r="AH575" s="1293"/>
      <c r="AI575" s="1293"/>
      <c r="AJ575" s="1293"/>
      <c r="AK575" s="1285"/>
      <c r="AL575" s="1293"/>
      <c r="AM575" s="1293"/>
      <c r="AN575" s="1293"/>
      <c r="AO575" s="1293"/>
      <c r="AP575" s="1293"/>
      <c r="AQ575" s="1285"/>
      <c r="AR575" s="1293"/>
      <c r="AS575" s="1293"/>
      <c r="AT575" s="1293"/>
      <c r="AU575" s="1293"/>
      <c r="AV575" s="1293"/>
      <c r="AW575" s="1293"/>
      <c r="AX575" s="1294"/>
      <c r="AY575" s="1295"/>
      <c r="AZ575" s="1403" t="e">
        <f t="shared" si="250"/>
        <v>#REF!</v>
      </c>
      <c r="BA575" s="2"/>
    </row>
    <row r="576" spans="1:53" ht="15.75" hidden="1" customHeight="1" outlineLevel="1">
      <c r="A576" s="1027"/>
      <c r="B576" s="1404"/>
      <c r="C576" s="1031" t="s">
        <v>40</v>
      </c>
      <c r="D576" s="1122">
        <f>Parametres!$D$37</f>
        <v>10000000</v>
      </c>
      <c r="E576" s="1068" t="e">
        <f>COUNTIFS(#REF!,"&gt;0",#REF!,"&gt;="&amp;B546,#REF!,"&lt;="&amp;EOMONTH(B546,0))</f>
        <v>#REF!</v>
      </c>
      <c r="F576" s="1069" t="e">
        <f>SUMIFS(#REF!,#REF!,"&lt;&gt;0",#REF!,"&gt;="&amp;B546,#REF!,"&lt;="&amp;EOMONTH(B546,0))</f>
        <v>#REF!</v>
      </c>
      <c r="G576" s="1069" t="e">
        <f t="shared" si="248"/>
        <v>#REF!</v>
      </c>
      <c r="H576" s="1070" t="e">
        <f ca="1">MINIFS(#REF!,#REF!,"&lt;&gt;0",#REF!,"&gt;="&amp;B546,#REF!,"&lt;="&amp;EOMONTH(B546,0))</f>
        <v>#NAME?</v>
      </c>
      <c r="I576" s="1069" t="e">
        <f ca="1">MAXIFS(#REF!,#REF!,"&lt;&gt;0",#REF!,"&gt;="&amp;B546,#REF!,"&lt;="&amp;EOMONTH(B546,0))</f>
        <v>#NAME?</v>
      </c>
      <c r="J576" s="1072" t="s">
        <v>153</v>
      </c>
      <c r="K576" s="1072" t="s">
        <v>153</v>
      </c>
      <c r="L576" s="1281"/>
      <c r="M576" s="1289"/>
      <c r="N576" s="1290"/>
      <c r="O576" s="1290"/>
      <c r="P576" s="1286"/>
      <c r="Q576" s="1286"/>
      <c r="R576" s="1286"/>
      <c r="S576" s="1286"/>
      <c r="T576" s="1290"/>
      <c r="U576" s="1290"/>
      <c r="V576" s="1285"/>
      <c r="W576" s="1083">
        <f>Parametres!$T$37</f>
        <v>100000000</v>
      </c>
      <c r="X576" s="1142">
        <f>COUNTIFS('Degrémont sortie'!$U$14:$U$379,"&gt;0",'Degrémont sortie'!$A$14:$A$379,"&gt;="&amp;B546,'Degrémont sortie'!$A$14:$A$379,"&lt;="&amp;EOMONTH(B546,0))</f>
        <v>11</v>
      </c>
      <c r="Y576" s="1085">
        <f>SUMIFS('Degrémont sortie'!$U$14:$U$379,'Degrémont sortie'!$U$14:$U$379,"&lt;&gt;0",'Degrémont sortie'!$A$14:$A$379,"&gt;="&amp;B546,'Degrémont sortie'!$A$14:$A$379,"&lt;="&amp;EOMONTH(B546,0))</f>
        <v>25.380000000000003</v>
      </c>
      <c r="Z576" s="1069">
        <f t="shared" si="260"/>
        <v>2.3072727272727276</v>
      </c>
      <c r="AA576" s="1286" t="e">
        <f ca="1">MINIFS('Degrémont sortie'!$U$14:$U$379,'Degrémont sortie'!$U$14:$U$379,"&lt;&gt;0",'Degrémont sortie'!$A$14:$A$379,"&gt;="&amp;B546,'Degrémont sortie'!$A$14:$A$379,"&lt;="&amp;EOMONTH(B546,0))</f>
        <v>#NAME?</v>
      </c>
      <c r="AB576" s="1286" t="e">
        <f ca="1">MAXIFS('Degrémont sortie'!$U$14:$U$379,'Degrémont sortie'!$U$14:$U$379,"&lt;&gt;0",'Degrémont sortie'!$A$14:$A$379,"&gt;="&amp;B546,'Degrémont sortie'!$A$14:$A$379,"&lt;="&amp;EOMONTH(B546,0))</f>
        <v>#NAME?</v>
      </c>
      <c r="AC576" s="1291" t="s">
        <v>153</v>
      </c>
      <c r="AD576" s="1292" t="s">
        <v>153</v>
      </c>
      <c r="AE576" s="1285"/>
      <c r="AF576" s="1293"/>
      <c r="AG576" s="1293"/>
      <c r="AH576" s="1293"/>
      <c r="AI576" s="1293"/>
      <c r="AJ576" s="1293"/>
      <c r="AK576" s="1285"/>
      <c r="AL576" s="1293"/>
      <c r="AM576" s="1293"/>
      <c r="AN576" s="1293"/>
      <c r="AO576" s="1293"/>
      <c r="AP576" s="1293"/>
      <c r="AQ576" s="1285"/>
      <c r="AR576" s="1293"/>
      <c r="AS576" s="1293"/>
      <c r="AT576" s="1293"/>
      <c r="AU576" s="1293"/>
      <c r="AV576" s="1293"/>
      <c r="AW576" s="1293"/>
      <c r="AX576" s="1294"/>
      <c r="AY576" s="1295"/>
      <c r="AZ576" s="1403" t="e">
        <f t="shared" si="250"/>
        <v>#REF!</v>
      </c>
      <c r="BA576" s="2"/>
    </row>
    <row r="577" spans="1:53" ht="15.75" hidden="1" customHeight="1" outlineLevel="1">
      <c r="A577" s="1027"/>
      <c r="B577" s="1404"/>
      <c r="C577" s="1402" t="s">
        <v>15</v>
      </c>
      <c r="D577" s="1122">
        <f>Parametres!$D$38</f>
        <v>1000000</v>
      </c>
      <c r="E577" s="1068" t="e">
        <f>COUNTIFS(#REF!,"&gt;0",#REF!,"&gt;="&amp;B546,#REF!,"&lt;="&amp;EOMONTH(B546,0))</f>
        <v>#REF!</v>
      </c>
      <c r="F577" s="1069" t="e">
        <f>SUMIFS(#REF!,#REF!,"&lt;&gt;0",#REF!,"&gt;="&amp;B546,#REF!,"&lt;="&amp;EOMONTH(B546,0))</f>
        <v>#REF!</v>
      </c>
      <c r="G577" s="1069" t="e">
        <f t="shared" si="248"/>
        <v>#REF!</v>
      </c>
      <c r="H577" s="1070" t="e">
        <f ca="1">MINIFS(#REF!,#REF!,"&lt;&gt;0",#REF!,"&gt;="&amp;B546,#REF!,"&lt;="&amp;EOMONTH(B546,0))</f>
        <v>#NAME?</v>
      </c>
      <c r="I577" s="1069" t="e">
        <f ca="1">MAXIFS(#REF!,#REF!,"&lt;&gt;0",#REF!,"&gt;="&amp;B546,#REF!,"&lt;="&amp;EOMONTH(B546,0))</f>
        <v>#NAME?</v>
      </c>
      <c r="J577" s="1072" t="e">
        <f>COUNTIFS(#REF!,"&gt;="&amp;D577,#REF!,"&gt;="&amp;B546,#REF!,"&lt;="&amp;EOMONTH(B546,0))</f>
        <v>#REF!</v>
      </c>
      <c r="K577" s="1341" t="e">
        <f t="shared" ref="K577:K578" si="261">J577/E577</f>
        <v>#REF!</v>
      </c>
      <c r="L577" s="1281"/>
      <c r="M577" s="1289"/>
      <c r="N577" s="1290"/>
      <c r="O577" s="1290"/>
      <c r="P577" s="1286"/>
      <c r="Q577" s="1286"/>
      <c r="R577" s="1286"/>
      <c r="S577" s="1286"/>
      <c r="T577" s="1290"/>
      <c r="U577" s="1290"/>
      <c r="V577" s="1285"/>
      <c r="W577" s="1293"/>
      <c r="X577" s="1293"/>
      <c r="Y577" s="1286"/>
      <c r="Z577" s="1286"/>
      <c r="AA577" s="1286"/>
      <c r="AB577" s="1286"/>
      <c r="AC577" s="1293"/>
      <c r="AD577" s="1249"/>
      <c r="AE577" s="1285"/>
      <c r="AF577" s="1293"/>
      <c r="AG577" s="1293"/>
      <c r="AH577" s="1293"/>
      <c r="AI577" s="1293"/>
      <c r="AJ577" s="1293"/>
      <c r="AK577" s="1285"/>
      <c r="AL577" s="1293"/>
      <c r="AM577" s="1293"/>
      <c r="AN577" s="1293"/>
      <c r="AO577" s="1293"/>
      <c r="AP577" s="1293"/>
      <c r="AQ577" s="1285"/>
      <c r="AR577" s="1293"/>
      <c r="AS577" s="1293"/>
      <c r="AT577" s="1293"/>
      <c r="AU577" s="1293"/>
      <c r="AV577" s="1293"/>
      <c r="AW577" s="1293"/>
      <c r="AX577" s="1294"/>
      <c r="AY577" s="1295"/>
      <c r="AZ577" s="1403" t="e">
        <f t="shared" si="250"/>
        <v>#REF!</v>
      </c>
      <c r="BA577" s="2"/>
    </row>
    <row r="578" spans="1:53" ht="15.75" hidden="1" customHeight="1" outlineLevel="1">
      <c r="A578" s="1027"/>
      <c r="B578" s="1404"/>
      <c r="C578" s="1121" t="s">
        <v>170</v>
      </c>
      <c r="D578" s="1122">
        <f>Parametres!$D$40</f>
        <v>10000000</v>
      </c>
      <c r="E578" s="1068" t="e">
        <f>COUNTIFS(#REF!,"&gt;0",#REF!,"&gt;="&amp;B546,#REF!,"&lt;="&amp;EOMONTH(B546,0))</f>
        <v>#REF!</v>
      </c>
      <c r="F578" s="1069" t="e">
        <f>SUMIFS(#REF!,#REF!,"&lt;&gt;0",#REF!,"&gt;="&amp;B546,#REF!,"&lt;="&amp;EOMONTH(B546,0))</f>
        <v>#REF!</v>
      </c>
      <c r="G578" s="1069" t="e">
        <f t="shared" si="248"/>
        <v>#REF!</v>
      </c>
      <c r="H578" s="1070" t="e">
        <f ca="1">MINIFS(#REF!,#REF!,"&lt;&gt;0",#REF!,"&gt;="&amp;B546,#REF!,"&lt;="&amp;EOMONTH(B546,0))</f>
        <v>#NAME?</v>
      </c>
      <c r="I578" s="1069" t="e">
        <f ca="1">MAXIFS(#REF!,#REF!,"&lt;&gt;0",#REF!,"&gt;="&amp;B546,#REF!,"&lt;="&amp;EOMONTH(B546,0))</f>
        <v>#NAME?</v>
      </c>
      <c r="J578" s="1114" t="e">
        <f>COUNTIFS(#REF!,"&gt;="&amp;D578,#REF!,"&gt;="&amp;B547,#REF!,"&lt;="&amp;EOMONTH(B547,0))</f>
        <v>#REF!</v>
      </c>
      <c r="K578" s="1341" t="e">
        <f t="shared" si="261"/>
        <v>#REF!</v>
      </c>
      <c r="L578" s="1281"/>
      <c r="M578" s="1289"/>
      <c r="N578" s="1313"/>
      <c r="O578" s="1313"/>
      <c r="P578" s="1315"/>
      <c r="Q578" s="1317"/>
      <c r="R578" s="1286"/>
      <c r="S578" s="1286"/>
      <c r="T578" s="1290"/>
      <c r="U578" s="1290"/>
      <c r="V578" s="1285"/>
      <c r="W578" s="1293"/>
      <c r="X578" s="1293"/>
      <c r="Y578" s="1315"/>
      <c r="Z578" s="1286"/>
      <c r="AA578" s="1286"/>
      <c r="AB578" s="1286"/>
      <c r="AC578" s="1293"/>
      <c r="AD578" s="1249"/>
      <c r="AE578" s="1285"/>
      <c r="AF578" s="1293"/>
      <c r="AG578" s="1293"/>
      <c r="AH578" s="1293"/>
      <c r="AI578" s="1293"/>
      <c r="AJ578" s="1293"/>
      <c r="AK578" s="1285"/>
      <c r="AL578" s="1321"/>
      <c r="AM578" s="1293"/>
      <c r="AN578" s="1293"/>
      <c r="AO578" s="1293"/>
      <c r="AP578" s="1293"/>
      <c r="AQ578" s="1285"/>
      <c r="AR578" s="1293"/>
      <c r="AS578" s="1293"/>
      <c r="AT578" s="1293"/>
      <c r="AU578" s="1293"/>
      <c r="AV578" s="1293"/>
      <c r="AW578" s="1293"/>
      <c r="AX578" s="1294"/>
      <c r="AY578" s="1295"/>
      <c r="AZ578" s="1403"/>
      <c r="BA578" s="2"/>
    </row>
    <row r="579" spans="1:53" ht="15.75" hidden="1" customHeight="1" outlineLevel="1">
      <c r="A579" s="1027"/>
      <c r="B579" s="1404"/>
      <c r="C579" s="1031" t="s">
        <v>38</v>
      </c>
      <c r="D579" s="1122">
        <f>Parametres!$D$39</f>
        <v>1000000</v>
      </c>
      <c r="E579" s="1068" t="e">
        <f>COUNTIFS(#REF!,"&gt;0",#REF!,"&gt;="&amp;B546,#REF!,"&lt;="&amp;EOMONTH(B546,0))</f>
        <v>#REF!</v>
      </c>
      <c r="F579" s="1069" t="e">
        <f>SUMIFS(#REF!,#REF!,"&lt;&gt;0",#REF!,"&gt;="&amp;B546,#REF!,"&lt;="&amp;EOMONTH(B546,0))</f>
        <v>#REF!</v>
      </c>
      <c r="G579" s="1069" t="e">
        <f t="shared" si="248"/>
        <v>#REF!</v>
      </c>
      <c r="H579" s="1070" t="e">
        <f ca="1">MINIFS(#REF!,#REF!,"&lt;&gt;0",#REF!,"&gt;="&amp;B546,#REF!,"&lt;="&amp;EOMONTH(B546,0))</f>
        <v>#NAME?</v>
      </c>
      <c r="I579" s="1069" t="e">
        <f ca="1">MAXIFS(#REF!,#REF!,"&lt;&gt;0",#REF!,"&gt;="&amp;B546,#REF!,"&lt;="&amp;EOMONTH(B546,0))</f>
        <v>#NAME?</v>
      </c>
      <c r="J579" s="1072" t="s">
        <v>153</v>
      </c>
      <c r="K579" s="1072" t="s">
        <v>153</v>
      </c>
      <c r="L579" s="1281"/>
      <c r="M579" s="1289"/>
      <c r="N579" s="1328">
        <f>Parametres!$L$39</f>
        <v>100000</v>
      </c>
      <c r="O579" s="1077">
        <f>COUNTIF('Degrémont Entrée'!$U$14:$U$44,"&gt;0")</f>
        <v>4</v>
      </c>
      <c r="P579" s="1078">
        <f>SUMIFS('Degrémont Entrée'!$U$14:$U$379,'Degrémont Entrée'!$U$14:$U$379,"&lt;&gt;0",'Degrémont Entrée'!$A$14:$A$379,"&gt;="&amp;B546,'Degrémont Entrée'!$A$14:$A$379,"&lt;="&amp;EOMONTH(B546,0))</f>
        <v>1399.2</v>
      </c>
      <c r="Q579" s="1283">
        <f t="shared" ref="Q579:Q582" si="262">IF(O579=0,0,P579/O579)</f>
        <v>349.8</v>
      </c>
      <c r="R579" s="1286" t="e">
        <f ca="1">MINIFS('Degrémont Entrée'!$U$14:$U$379,'Degrémont Entrée'!$U$14:$U$379,"&lt;&gt;0",'Degrémont Entrée'!$A$14:$A$379,"&gt;="&amp;B546,'Degrémont Entrée'!$A$14:$A$379,"&lt;="&amp;EOMONTH(B546,0))</f>
        <v>#NAME?</v>
      </c>
      <c r="S579" s="1286" t="e">
        <f ca="1">MAXIFS('Degrémont Entrée'!$U$14:$U$379,'Degrémont Entrée'!$U$14:$U$379,"&lt;&gt;0",'Degrémont Entrée'!$A$14:$A$379,"&gt;="&amp;B546,'Degrémont Entrée'!$A$14:$A$379,"&lt;="&amp;EOMONTH(B546,0))</f>
        <v>#NAME?</v>
      </c>
      <c r="T579" s="1291" t="s">
        <v>153</v>
      </c>
      <c r="U579" s="1291" t="s">
        <v>153</v>
      </c>
      <c r="V579" s="1285"/>
      <c r="W579" s="1083">
        <f>Parametres!T577</f>
        <v>0</v>
      </c>
      <c r="X579" s="1142">
        <f>COUNTIFS('Degrémont sortie'!$O$14:$O$379,"&gt;0",'Degrémont sortie'!$A$14:$A$379,"&gt;="&amp;B546,'Degrémont sortie'!$A$14:$A$379,"&lt;="&amp;EOMONTH(B546,0))</f>
        <v>16</v>
      </c>
      <c r="Y579" s="1085">
        <f>SUMIFS('Degrémont sortie'!$O$14:$O$379,'Degrémont sortie'!$O$14:$O$379,"&lt;&gt;0",'Degrémont sortie'!$A$14:$A$379,"&gt;="&amp;B546,'Degrémont sortie'!$A$14:$A$379,"&lt;="&amp;EOMONTH(B546,0))</f>
        <v>224.00000000000003</v>
      </c>
      <c r="Z579" s="1069">
        <f t="shared" ref="Z579:Z585" si="263">IF(X579=0,0,Y579/X579)</f>
        <v>14.000000000000002</v>
      </c>
      <c r="AA579" s="1286" t="e">
        <f ca="1">MINIFS('Degrémont sortie'!$O$14:$O$379,'Degrémont sortie'!$O$14:$O$379,"&lt;&gt;0",'Degrémont sortie'!$A$14:$A$379,"&gt;="&amp;B546,'Degrémont sortie'!$A$14:$A$379,"&lt;="&amp;EOMONTH(B546,0))</f>
        <v>#NAME?</v>
      </c>
      <c r="AB579" s="1286" t="e">
        <f ca="1">MAXIFS('Degrémont sortie'!$O$14:$O$379,'Degrémont sortie'!$O$14:$O$379,"&lt;&gt;0",'Degrémont sortie'!$A$14:$A$379,"&gt;="&amp;B546,'Degrémont sortie'!$A$14:$A$379,"&lt;="&amp;EOMONTH(B546,0))</f>
        <v>#NAME?</v>
      </c>
      <c r="AC579" s="1291" t="s">
        <v>153</v>
      </c>
      <c r="AD579" s="1292" t="s">
        <v>153</v>
      </c>
      <c r="AE579" s="1285"/>
      <c r="AF579" s="1293"/>
      <c r="AG579" s="1293"/>
      <c r="AH579" s="1293"/>
      <c r="AI579" s="1293"/>
      <c r="AJ579" s="1293"/>
      <c r="AK579" s="1285"/>
      <c r="AL579" s="1205" t="e">
        <f>COUNTIFS(#REF!,"&gt;0",#REF!,"&gt;="&amp;B546,#REF!,"&lt;="&amp;EOMONTH(B546,0))</f>
        <v>#REF!</v>
      </c>
      <c r="AM579" s="1208" t="e">
        <f>SUMIFS(#REF!,#REF!,"&lt;&gt;0",#REF!,"&gt;="&amp;B546,#REF!,"&lt;="&amp;EOMONTH(B546,0))</f>
        <v>#REF!</v>
      </c>
      <c r="AN579" s="1208" t="e">
        <f>IF(AL579=0,0,AM579/AL579)</f>
        <v>#REF!</v>
      </c>
      <c r="AO579" s="1141" t="e">
        <f ca="1">MINIFS(#REF!,#REF!,"&lt;&gt;0",#REF!,"&gt;="&amp;B546,#REF!,"&lt;="&amp;EOMONTH(B546,0))</f>
        <v>#NAME?</v>
      </c>
      <c r="AP579" s="1141" t="e">
        <f ca="1">MAXIFS(#REF!,#REF!,"&lt;&gt;0",#REF!,"&gt;="&amp;B546,#REF!,"&lt;="&amp;EOMONTH(B546,0))</f>
        <v>#NAME?</v>
      </c>
      <c r="AQ579" s="1285"/>
      <c r="AR579" s="1293"/>
      <c r="AS579" s="1293"/>
      <c r="AT579" s="1293"/>
      <c r="AU579" s="1293"/>
      <c r="AV579" s="1293"/>
      <c r="AW579" s="1293"/>
      <c r="AX579" s="1294"/>
      <c r="AY579" s="1295"/>
      <c r="AZ579" s="1403" t="e">
        <f t="shared" ref="AZ579:AZ591" si="264">SUM(E579+O579+X579+AF579+AL579+AS579)</f>
        <v>#REF!</v>
      </c>
      <c r="BA579" s="2"/>
    </row>
    <row r="580" spans="1:53" ht="15.75" hidden="1" customHeight="1" outlineLevel="1">
      <c r="A580" s="1027"/>
      <c r="B580" s="1404"/>
      <c r="C580" s="1031" t="s">
        <v>33</v>
      </c>
      <c r="D580" s="1122" t="str">
        <f>Parametres!$D$41</f>
        <v>5,5-8,5</v>
      </c>
      <c r="E580" s="1068" t="e">
        <f>COUNTIFS(#REF!,"&gt;0",#REF!,"&gt;="&amp;B546,#REF!,"&lt;="&amp;EOMONTH(B546,0))</f>
        <v>#REF!</v>
      </c>
      <c r="F580" s="1069" t="e">
        <f>SUMIFS(#REF!,#REF!,"&lt;&gt;0",#REF!,"&gt;="&amp;B546,#REF!,"&lt;="&amp;EOMONTH(B546,0))</f>
        <v>#REF!</v>
      </c>
      <c r="G580" s="1069" t="e">
        <f t="shared" si="248"/>
        <v>#REF!</v>
      </c>
      <c r="H580" s="1070" t="e">
        <f ca="1">MINIFS(#REF!,#REF!,"&lt;&gt;0",#REF!,"&gt;="&amp;B546,#REF!,"&lt;="&amp;EOMONTH(B546,0))</f>
        <v>#NAME?</v>
      </c>
      <c r="I580" s="1069" t="e">
        <f ca="1">MAXIFS(#REF!,#REF!,"&lt;&gt;0",#REF!,"&gt;="&amp;B546,#REF!,"&lt;="&amp;EOMONTH(B546,0))</f>
        <v>#NAME?</v>
      </c>
      <c r="J580" s="1114" t="e">
        <f>COUNTIFS(#REF!,"&lt;="&amp;D580,#REF!,"&gt;="&amp;B546,#REF!,"&lt;="&amp;EOMONTH(B546,0))</f>
        <v>#REF!</v>
      </c>
      <c r="K580" s="1341" t="e">
        <f t="shared" ref="K580:K582" si="265">J580/E580</f>
        <v>#REF!</v>
      </c>
      <c r="L580" s="1281"/>
      <c r="M580" s="1289"/>
      <c r="N580" s="1144">
        <f>Parametres!$L$41</f>
        <v>100000000</v>
      </c>
      <c r="O580" s="1077">
        <f>COUNTIFS('Degrémont Entrée'!$C$14:$C$379,"&gt;0",'Degrémont Entrée'!$A$14:$A$379,"&gt;="&amp;B546,'Degrémont Entrée'!$A$14:$A$379,"&lt;="&amp;EOMONTH(B546,0))</f>
        <v>15</v>
      </c>
      <c r="P580" s="1078">
        <f>SUMIFS('Degrémont Entrée'!$C$14:$C$379,'Degrémont Entrée'!$C$14:$C$379,"&lt;&gt;0",'Degrémont Entrée'!$A$14:$A$379,"&gt;="&amp;B546,'Degrémont Entrée'!$A$14:$A$379,"&lt;="&amp;EOMONTH(B546,0))</f>
        <v>118.34999999999998</v>
      </c>
      <c r="Q580" s="1283">
        <f t="shared" si="262"/>
        <v>7.8899999999999988</v>
      </c>
      <c r="R580" s="1286" t="e">
        <f ca="1">MINIFS('Degrémont Entrée'!$C$14:$C$379,'Degrémont Entrée'!$C$14:$C$379,"&lt;&gt;0",'Degrémont Entrée'!$A$14:$A$379,"&gt;="&amp;B546,'Degrémont Entrée'!$A$14:$A$379,"&lt;="&amp;EOMONTH(B546,0))</f>
        <v>#NAME?</v>
      </c>
      <c r="S580" s="1286" t="e">
        <f ca="1">MAXIFS('Degrémont Entrée'!$C$14:$C$379,'Degrémont Entrée'!$C$14:$C$379,"&lt;&gt;0",'Degrémont Entrée'!$A$14:$A$379,"&gt;="&amp;B546,'Degrémont Entrée'!$A$14:$A$379,"&lt;="&amp;EOMONTH(B546,0))</f>
        <v>#NAME?</v>
      </c>
      <c r="T580" s="1291" t="s">
        <v>153</v>
      </c>
      <c r="U580" s="1291" t="s">
        <v>153</v>
      </c>
      <c r="V580" s="1285"/>
      <c r="W580" s="1083">
        <f>Parametres!$T$41</f>
        <v>100000000</v>
      </c>
      <c r="X580" s="1142">
        <f>COUNTIFS('Degrémont sortie'!$C$14:$C$379,"&gt;0",'Degrémont sortie'!$A$14:$A$379,"&gt;="&amp;B546,'Degrémont sortie'!$A$14:$A$379,"&lt;="&amp;EOMONTH(B546,0))</f>
        <v>15</v>
      </c>
      <c r="Y580" s="1085">
        <f>SUMIFS('Degrémont sortie'!$C$14:$C$379,'Degrémont sortie'!$C$14:$C$379,"&lt;&gt;0",'Degrémont sortie'!$A$14:$A$379,"&gt;="&amp;B546,'Degrémont sortie'!$A$14:$A$379,"&lt;="&amp;EOMONTH(B546,0))</f>
        <v>131.72999999999999</v>
      </c>
      <c r="Z580" s="1069">
        <f t="shared" si="263"/>
        <v>8.782</v>
      </c>
      <c r="AA580" s="1286" t="e">
        <f ca="1">MINIFS('Degrémont sortie'!$C$14:$C$379,'Degrémont sortie'!$C$14:$C$379,"&lt;&gt;0",'Degrémont sortie'!$A$14:$A$379,"&gt;="&amp;B546,'Degrémont sortie'!$A$14:$A$379,"&lt;="&amp;EOMONTH(B546,0))</f>
        <v>#NAME?</v>
      </c>
      <c r="AB580" s="1286" t="e">
        <f ca="1">MAXIFS('Degrémont sortie'!$C$14:$C$379,'Degrémont sortie'!$C$14:$C$379,"&lt;&gt;0",'Degrémont sortie'!$A$14:$A$379,"&gt;="&amp;B546,'Degrémont sortie'!$A$14:$A$379,"&lt;="&amp;EOMONTH(B546,0))</f>
        <v>#NAME?</v>
      </c>
      <c r="AC580" s="1291" t="s">
        <v>153</v>
      </c>
      <c r="AD580" s="1292" t="s">
        <v>153</v>
      </c>
      <c r="AE580" s="1285"/>
      <c r="AF580" s="1293"/>
      <c r="AG580" s="1293"/>
      <c r="AH580" s="1293"/>
      <c r="AI580" s="1293"/>
      <c r="AJ580" s="1293"/>
      <c r="AK580" s="1285"/>
      <c r="AL580" s="1293"/>
      <c r="AM580" s="1293"/>
      <c r="AN580" s="1293"/>
      <c r="AO580" s="1293"/>
      <c r="AP580" s="1293"/>
      <c r="AQ580" s="1285"/>
      <c r="AR580" s="1293"/>
      <c r="AS580" s="1293"/>
      <c r="AT580" s="1293"/>
      <c r="AU580" s="1293"/>
      <c r="AV580" s="1293"/>
      <c r="AW580" s="1293"/>
      <c r="AX580" s="1294"/>
      <c r="AY580" s="1295"/>
      <c r="AZ580" s="1403" t="e">
        <f t="shared" si="264"/>
        <v>#REF!</v>
      </c>
      <c r="BA580" s="2"/>
    </row>
    <row r="581" spans="1:53" ht="15.75" hidden="1" customHeight="1" outlineLevel="1">
      <c r="A581" s="1027"/>
      <c r="B581" s="1404"/>
      <c r="C581" s="1031" t="s">
        <v>49</v>
      </c>
      <c r="D581" s="1122">
        <f>Parametres!$D$42</f>
        <v>0.5</v>
      </c>
      <c r="E581" s="1068" t="e">
        <f>COUNTIFS(#REF!,"&gt;0",#REF!,"&gt;="&amp;B546,#REF!,"&lt;="&amp;EOMONTH(B546,0))</f>
        <v>#REF!</v>
      </c>
      <c r="F581" s="1069" t="e">
        <f>SUMIFS(#REF!,#REF!,"&lt;&gt;0",#REF!,"&gt;="&amp;B546,#REF!,"&lt;="&amp;EOMONTH(B546,0))</f>
        <v>#REF!</v>
      </c>
      <c r="G581" s="1069" t="e">
        <f t="shared" si="248"/>
        <v>#REF!</v>
      </c>
      <c r="H581" s="1070" t="e">
        <f ca="1">MINIFS(#REF!,#REF!,"&lt;&gt;0",#REF!,"&gt;="&amp;B546,#REF!,"&lt;="&amp;EOMONTH(B546,0))</f>
        <v>#NAME?</v>
      </c>
      <c r="I581" s="1069" t="e">
        <f ca="1">MAXIFS(#REF!,#REF!,"&lt;&gt;0",#REF!,"&gt;="&amp;B546,#REF!,"&lt;="&amp;EOMONTH(B546,0))</f>
        <v>#NAME?</v>
      </c>
      <c r="J581" s="1114" t="e">
        <f>COUNTIFS(#REF!,"&gt;="&amp;D581,#REF!,"&gt;="&amp;B546,#REF!,"&lt;="&amp;EOMONTH(B546,0))</f>
        <v>#REF!</v>
      </c>
      <c r="K581" s="1341" t="e">
        <f t="shared" si="265"/>
        <v>#REF!</v>
      </c>
      <c r="L581" s="1281"/>
      <c r="M581" s="1289"/>
      <c r="N581" s="1144">
        <f>Parametres!$L$42</f>
        <v>0.3</v>
      </c>
      <c r="O581" s="1077">
        <f>COUNTIFS('Degrémont Entrée'!$BE$14:$BE$379,"&gt;0",'Degrémont Entrée'!$A$14:$A$379,"&gt;="&amp;B546,'Degrémont Entrée'!$A$14:$A$379,"&lt;="&amp;EOMONTH(B546,0))</f>
        <v>4</v>
      </c>
      <c r="P581" s="1078">
        <f>SUMIFS('Degrémont Entrée'!$BE$14:$BE$379,'Degrémont Entrée'!$BE$14:$BE$379,"&lt;&gt;0",'Degrémont Entrée'!$A$14:$A$379,"&gt;="&amp;B546,'Degrémont Entrée'!$A$14:$A$379,"&lt;="&amp;EOMONTH(B546,0))</f>
        <v>0.58499999999999996</v>
      </c>
      <c r="Q581" s="1283">
        <f t="shared" si="262"/>
        <v>0.14624999999999999</v>
      </c>
      <c r="R581" s="1286" t="e">
        <f ca="1">MINIFS('Degrémont Entrée'!$BE$14:$BE$379,'Degrémont Entrée'!$BE$14:$BE$379,"&lt;&gt;0",'Degrémont Entrée'!$A$14:$A$379,"&gt;="&amp;B546,'Degrémont Entrée'!$A$14:$A$379,"&lt;="&amp;EOMONTH(B546,0))</f>
        <v>#NAME?</v>
      </c>
      <c r="S581" s="1286" t="e">
        <f ca="1">MAXIFS('Degrémont Entrée'!$BE$14:$BE$379,'Degrémont Entrée'!$BE$14:$BE$379,"&lt;&gt;0",'Degrémont Entrée'!$A$14:$A$379,"&gt;="&amp;B546,'Degrémont Entrée'!$A$14:$A$379,"&lt;="&amp;EOMONTH(B546,0))</f>
        <v>#NAME?</v>
      </c>
      <c r="T581" s="1141">
        <f>COUNTIFS('Degrémont Entrée'!$BE$14:$BE$379,"&gt;="&amp;N581,'Degrémont Entrée'!$A$14:$A$379,"&gt;="&amp;B546,'Degrémont Entrée'!$A$14:$A$379,"&lt;="&amp;EOMONTH(B546,0))</f>
        <v>0</v>
      </c>
      <c r="U581" s="1081">
        <f t="shared" ref="U581:U582" si="266">T581/O581</f>
        <v>0</v>
      </c>
      <c r="V581" s="1285"/>
      <c r="W581" s="1083">
        <f>Parametres!$T$42</f>
        <v>0.08</v>
      </c>
      <c r="X581" s="1142">
        <f>COUNTIFS('Degrémont sortie'!$AY$14:$AY$379,"&gt;0",'Degrémont sortie'!$A$14:$A$379,"&gt;="&amp;B546,'Degrémont sortie'!$A$14:$A$379,"&lt;="&amp;EOMONTH(B546,0))</f>
        <v>4</v>
      </c>
      <c r="Y581" s="1085">
        <f>SUMIFS('Degrémont sortie'!$AY$14:$AY$379,'Degrémont sortie'!$AY$14:$AY$379,"&lt;&gt;0",'Degrémont sortie'!$A$14:$A$379,"&gt;="&amp;B546,'Degrémont sortie'!$A$14:$A$379,"&lt;="&amp;EOMONTH(B546,0))</f>
        <v>8.0000000000000002E-3</v>
      </c>
      <c r="Z581" s="1069">
        <f t="shared" si="263"/>
        <v>2E-3</v>
      </c>
      <c r="AA581" s="1286" t="e">
        <f ca="1">MINIFS('Degrémont sortie'!$AY$14:$AY$379,'Degrémont sortie'!$AY$14:$AY$379,"&lt;&gt;0",'Degrémont sortie'!$A$14:$A$379,"&gt;="&amp;B546,'Degrémont sortie'!$A$14:$A$379,"&lt;="&amp;EOMONTH(B546,0))</f>
        <v>#NAME?</v>
      </c>
      <c r="AB581" s="1286" t="e">
        <f ca="1">MAXIFS('Degrémont sortie'!$AY$14:$AY$379,'Degrémont sortie'!$AY$14:$AY$379,"&lt;&gt;0",'Degrémont sortie'!$A$14:$A$379,"&gt;="&amp;B546,'Degrémont sortie'!$A$14:$A$379,"&lt;="&amp;EOMONTH(B546,0))</f>
        <v>#NAME?</v>
      </c>
      <c r="AC581" s="1141">
        <f>COUNTIFS('Degrémont sortie'!$AY$14:$AY$379,"&gt;="&amp;W581,'Degrémont sortie'!$A$14:$A$379,"&gt;="&amp;B546,'Degrémont sortie'!$A$14:$A$379,"&lt;="&amp;EOMONTH(B546,0))</f>
        <v>0</v>
      </c>
      <c r="AD581" s="1087">
        <f t="shared" ref="AD581:AD582" si="267">AC581/X581</f>
        <v>0</v>
      </c>
      <c r="AE581" s="1285"/>
      <c r="AF581" s="1293"/>
      <c r="AG581" s="1293"/>
      <c r="AH581" s="1293"/>
      <c r="AI581" s="1293"/>
      <c r="AJ581" s="1293"/>
      <c r="AK581" s="1285"/>
      <c r="AL581" s="1293"/>
      <c r="AM581" s="1293"/>
      <c r="AN581" s="1293"/>
      <c r="AO581" s="1293"/>
      <c r="AP581" s="1293"/>
      <c r="AQ581" s="1285"/>
      <c r="AR581" s="1293"/>
      <c r="AS581" s="1293"/>
      <c r="AT581" s="1293"/>
      <c r="AU581" s="1293"/>
      <c r="AV581" s="1293"/>
      <c r="AW581" s="1293"/>
      <c r="AX581" s="1294"/>
      <c r="AY581" s="1295"/>
      <c r="AZ581" s="1403" t="e">
        <f t="shared" si="264"/>
        <v>#REF!</v>
      </c>
      <c r="BA581" s="2"/>
    </row>
    <row r="582" spans="1:53" ht="15.75" hidden="1" customHeight="1" outlineLevel="1">
      <c r="A582" s="1027"/>
      <c r="B582" s="1404"/>
      <c r="C582" s="1031" t="s">
        <v>37</v>
      </c>
      <c r="D582" s="1122">
        <f>Parametres!$D$43</f>
        <v>15</v>
      </c>
      <c r="E582" s="1069"/>
      <c r="F582" s="1069"/>
      <c r="G582" s="1069">
        <f t="shared" si="248"/>
        <v>0</v>
      </c>
      <c r="H582" s="1070" t="e">
        <f ca="1">MINIFS(#REF!,#REF!,"&lt;&gt;0",#REF!,"&gt;="&amp;B546,#REF!,"&lt;="&amp;EOMONTH(B546,0))</f>
        <v>#NAME?</v>
      </c>
      <c r="I582" s="1069" t="e">
        <f ca="1">MAXIFS(#REF!,#REF!,"&lt;&gt;0",#REF!,"&gt;="&amp;B546,#REF!,"&lt;="&amp;EOMONTH(B546,0))</f>
        <v>#NAME?</v>
      </c>
      <c r="J582" s="1114" t="e">
        <f>COUNTIFS(#REF!,"&gt;="&amp;D582,#REF!,"&gt;="&amp;B547,#REF!,"&lt;="&amp;EOMONTH(B547,0))</f>
        <v>#REF!</v>
      </c>
      <c r="K582" s="1341" t="e">
        <f t="shared" si="265"/>
        <v>#REF!</v>
      </c>
      <c r="L582" s="1281"/>
      <c r="M582" s="1289"/>
      <c r="N582" s="1144">
        <f>Parametres!$L$43</f>
        <v>500</v>
      </c>
      <c r="O582" s="1077">
        <f>COUNTIFS('Degrémont Entrée'!$S$14:$S$379,"&gt;0",'Degrémont Entrée'!$A$14:$A$379,"&gt;="&amp;B546,'Degrémont Entrée'!$A$14:$A$379,"&lt;="&amp;EOMONTH(B546,0))</f>
        <v>15</v>
      </c>
      <c r="P582" s="1078">
        <f>SUMIFS('Degrémont Entrée'!$S$14:$S$379,'Degrémont Entrée'!$S$14:$S$379,"&lt;&gt;0",'Degrémont Entrée'!$A$14:$A$379,"&gt;="&amp;B546,'Degrémont Entrée'!$A$14:$A$379,"&lt;="&amp;EOMONTH(B546,0))</f>
        <v>5809</v>
      </c>
      <c r="Q582" s="1283">
        <f t="shared" si="262"/>
        <v>387.26666666666665</v>
      </c>
      <c r="R582" s="1286" t="e">
        <f ca="1">MINIFS('Degrémont Entrée'!$S$14:$S$379,'Degrémont Entrée'!$S$14:$S$379,"&lt;&gt;0",'Degrémont Entrée'!$A$14:$A$379,"&gt;="&amp;B546,'Degrémont Entrée'!$A$14:$A$379,"&lt;="&amp;EOMONTH(B546,0))</f>
        <v>#NAME?</v>
      </c>
      <c r="S582" s="1286" t="e">
        <f ca="1">MAXIFS('Degrémont Entrée'!$S$14:$S$379,'Degrémont Entrée'!$S$14:$S$379,"&lt;&gt;0",'Degrémont Entrée'!$A$14:$A$379,"&gt;="&amp;B546,'Degrémont Entrée'!$A$14:$A$379,"&lt;="&amp;EOMONTH(B546,0))</f>
        <v>#NAME?</v>
      </c>
      <c r="T582" s="1141">
        <f>COUNTIFS('Degrémont Entrée'!$S$14:$S$379,"&gt;="&amp;N582,'Degrémont Entrée'!$A$14:$A$379,"&gt;="&amp;B546,'Degrémont Entrée'!$A$14:$A$379,"&lt;="&amp;EOMONTH(B546,0))</f>
        <v>4</v>
      </c>
      <c r="U582" s="1081">
        <f t="shared" si="266"/>
        <v>0.26666666666666666</v>
      </c>
      <c r="V582" s="1285"/>
      <c r="W582" s="1083">
        <f>Parametres!$T$43</f>
        <v>20</v>
      </c>
      <c r="X582" s="1142">
        <f>COUNTIFS('Degrémont sortie'!$M$14:$M$379,"&gt;0",'Degrémont sortie'!$A$14:$A$379,"&gt;="&amp;B546,'Degrémont sortie'!$A$14:$A$379,"&lt;="&amp;EOMONTH(B546,0))</f>
        <v>15</v>
      </c>
      <c r="Y582" s="1085">
        <f>SUMIFS('Degrémont sortie'!$M$14:$M$379,'Degrémont sortie'!$M$14:$M$379,"&lt;&gt;0",'Degrémont sortie'!$A$14:$A$379,"&gt;="&amp;B546,'Degrémont sortie'!$A$14:$A$379,"&lt;="&amp;EOMONTH(B546,0))</f>
        <v>69.33</v>
      </c>
      <c r="Z582" s="1069">
        <f t="shared" si="263"/>
        <v>4.6219999999999999</v>
      </c>
      <c r="AA582" s="1286" t="e">
        <f ca="1">MINIFS('Degrémont sortie'!$M$14:$M$379,'Degrémont sortie'!$M$14:$M$379,"&lt;&gt;0",'Degrémont sortie'!$A$14:$A$379,"&gt;="&amp;B546,'Degrémont sortie'!$A$14:$A$379,"&lt;="&amp;EOMONTH(B546,0))</f>
        <v>#NAME?</v>
      </c>
      <c r="AB582" s="1286" t="e">
        <f ca="1">MAXIFS('Degrémont sortie'!$M$14:$M$379,'Degrémont sortie'!$M$14:$M$379,"&lt;&gt;0",'Degrémont sortie'!$A$14:$A$379,"&gt;="&amp;B546,'Degrémont sortie'!$A$14:$A$379,"&lt;="&amp;EOMONTH(B546,0))</f>
        <v>#NAME?</v>
      </c>
      <c r="AC582" s="1141">
        <f>COUNTIFS('Degrémont sortie'!$M$14:$M$379,"&gt;="&amp;W582,'Degrémont sortie'!$A$14:$A$379,"&gt;="&amp;B546,'Degrémont sortie'!$A$14:$A$379,"&lt;="&amp;EOMONTH(B546,0))</f>
        <v>1</v>
      </c>
      <c r="AD582" s="1087">
        <f t="shared" si="267"/>
        <v>6.6666666666666666E-2</v>
      </c>
      <c r="AE582" s="1285"/>
      <c r="AF582" s="1293"/>
      <c r="AG582" s="1293"/>
      <c r="AH582" s="1293"/>
      <c r="AI582" s="1293"/>
      <c r="AJ582" s="1293"/>
      <c r="AK582" s="1285"/>
      <c r="AL582" s="1205" t="e">
        <f>COUNTIFS(#REF!,"&gt;0",#REF!,"&gt;="&amp;B546,#REF!,"&lt;="&amp;EOMONTH(B546,0))</f>
        <v>#REF!</v>
      </c>
      <c r="AM582" s="1208" t="e">
        <f>SUMIFS(#REF!,#REF!,"&lt;&gt;0",#REF!,"&gt;="&amp;B546,#REF!,"&lt;="&amp;EOMONTH(B546,0))</f>
        <v>#REF!</v>
      </c>
      <c r="AN582" s="1208" t="e">
        <f t="shared" ref="AN582:AN584" si="268">IF(AL582=0,0,AM582/AL582)</f>
        <v>#REF!</v>
      </c>
      <c r="AO582" s="1141" t="e">
        <f ca="1">MINIFS(#REF!,#REF!,"&lt;&gt;0",#REF!,"&gt;="&amp;B546,#REF!,"&lt;="&amp;EOMONTH(B546,0))</f>
        <v>#NAME?</v>
      </c>
      <c r="AP582" s="1141" t="e">
        <f ca="1">MAXIFS(#REF!,#REF!,"&lt;&gt;0",#REF!,"&gt;="&amp;B546,#REF!,"&lt;="&amp;EOMONTH(B546,0))</f>
        <v>#NAME?</v>
      </c>
      <c r="AQ582" s="1285"/>
      <c r="AR582" s="1293"/>
      <c r="AS582" s="1293"/>
      <c r="AT582" s="1293"/>
      <c r="AU582" s="1293"/>
      <c r="AV582" s="1293"/>
      <c r="AW582" s="1293"/>
      <c r="AX582" s="1294"/>
      <c r="AY582" s="1295"/>
      <c r="AZ582" s="1403" t="e">
        <f t="shared" si="264"/>
        <v>#REF!</v>
      </c>
      <c r="BA582" s="2"/>
    </row>
    <row r="583" spans="1:53" ht="15.75" hidden="1" customHeight="1" outlineLevel="1">
      <c r="A583" s="1027"/>
      <c r="B583" s="1404"/>
      <c r="C583" s="1031" t="s">
        <v>301</v>
      </c>
      <c r="D583" s="1102"/>
      <c r="E583" s="1069"/>
      <c r="F583" s="1069"/>
      <c r="G583" s="1069"/>
      <c r="H583" s="1069"/>
      <c r="I583" s="1069"/>
      <c r="J583" s="1102"/>
      <c r="K583" s="1102"/>
      <c r="L583" s="1281"/>
      <c r="M583" s="1289"/>
      <c r="N583" s="1290"/>
      <c r="O583" s="1290"/>
      <c r="P583" s="1286"/>
      <c r="Q583" s="1283"/>
      <c r="R583" s="1286"/>
      <c r="S583" s="1286"/>
      <c r="T583" s="1290"/>
      <c r="U583" s="1290"/>
      <c r="V583" s="1285"/>
      <c r="W583" s="1083">
        <f>Parametres!$T$44</f>
        <v>100000</v>
      </c>
      <c r="X583" s="1329">
        <f>COUNTIFS('Degrémont sortie'!$BA$14:$BA$379,"&gt;0",'Degrémont sortie'!$A$14:$A$379,"&gt;="&amp;B546,'Degrémont sortie'!$A$14:$A$379,"&lt;="&amp;EOMONTH(B546,0))</f>
        <v>15</v>
      </c>
      <c r="Y583" s="1286" t="e">
        <f>SUMIFS('Degrémont sortie'!$BA$14:$BA$379,'Degrémont sortie'!$BA$14:$BA$379,"&lt;&gt;0",'Degrémont sortie'!$A$14:$A$379,"&gt;="&amp;B546,'Degrémont sortie'!$A$14:$A$379,"&lt;="&amp;EOMONTH(B546,0))</f>
        <v>#DIV/0!</v>
      </c>
      <c r="Z583" s="1069" t="e">
        <f t="shared" si="263"/>
        <v>#DIV/0!</v>
      </c>
      <c r="AA583" s="1286" t="e">
        <f ca="1">MINIFS('Degrémont sortie'!$BA$14:$BA$379,'Degrémont sortie'!$BA$14:$BA$379,"&lt;&gt;0",'Degrémont sortie'!$A$14:$A$379,"&gt;="&amp;B546,'Degrémont sortie'!$A$14:$A$379,"&lt;="&amp;EOMONTH(B546,0))</f>
        <v>#NAME?</v>
      </c>
      <c r="AB583" s="1286" t="e">
        <f ca="1">MAXIFS('Degrémont sortie'!$BA$14:$BA$379,'Degrémont sortie'!$BA$14:$BA$379,"&lt;&gt;0",'Degrémont sortie'!$A$14:$A$379,"&gt;="&amp;B546,'Degrémont sortie'!$A$14:$A$379,"&lt;="&amp;EOMONTH(B546,0))</f>
        <v>#NAME?</v>
      </c>
      <c r="AC583" s="1213" t="s">
        <v>153</v>
      </c>
      <c r="AD583" s="1330" t="s">
        <v>153</v>
      </c>
      <c r="AE583" s="1285"/>
      <c r="AF583" s="1293"/>
      <c r="AG583" s="1293"/>
      <c r="AH583" s="1293"/>
      <c r="AI583" s="1293"/>
      <c r="AJ583" s="1293"/>
      <c r="AK583" s="1285"/>
      <c r="AL583" s="1205" t="e">
        <f>COUNTIFS(#REF!,"&gt;0",#REF!,"&gt;="&amp;B546,#REF!,"&lt;="&amp;EOMONTH(B546,0))</f>
        <v>#REF!</v>
      </c>
      <c r="AM583" s="1208" t="e">
        <f>SUMIFS(#REF!,#REF!,"&lt;&gt;0",#REF!,"&gt;="&amp;B546,#REF!,"&lt;="&amp;EOMONTH(B546,0))</f>
        <v>#REF!</v>
      </c>
      <c r="AN583" s="1208" t="e">
        <f t="shared" si="268"/>
        <v>#REF!</v>
      </c>
      <c r="AO583" s="1208" t="e">
        <f ca="1">MINIFS(#REF!,#REF!,"&lt;&gt;0",#REF!,"&gt;="&amp;B546,#REF!,"&lt;="&amp;EOMONTH(B546,0))</f>
        <v>#NAME?</v>
      </c>
      <c r="AP583" s="1208" t="e">
        <f ca="1">MAXIFS(#REF!,#REF!,"&lt;&gt;0",#REF!,"&gt;="&amp;B546,#REF!,"&lt;="&amp;EOMONTH(B546,0))</f>
        <v>#NAME?</v>
      </c>
      <c r="AQ583" s="1285"/>
      <c r="AR583" s="1293"/>
      <c r="AS583" s="1293"/>
      <c r="AT583" s="1293"/>
      <c r="AU583" s="1293"/>
      <c r="AV583" s="1293"/>
      <c r="AW583" s="1293"/>
      <c r="AX583" s="1294"/>
      <c r="AY583" s="1295"/>
      <c r="AZ583" s="1403" t="e">
        <f t="shared" si="264"/>
        <v>#REF!</v>
      </c>
      <c r="BA583" s="2"/>
    </row>
    <row r="584" spans="1:53" ht="15.75" hidden="1" customHeight="1" outlineLevel="1">
      <c r="A584" s="1027"/>
      <c r="B584" s="1404"/>
      <c r="C584" s="1031" t="s">
        <v>302</v>
      </c>
      <c r="D584" s="1102"/>
      <c r="E584" s="1069"/>
      <c r="F584" s="1069"/>
      <c r="G584" s="1069"/>
      <c r="H584" s="1069"/>
      <c r="I584" s="1069"/>
      <c r="J584" s="1102"/>
      <c r="K584" s="1102"/>
      <c r="L584" s="1281"/>
      <c r="M584" s="1289"/>
      <c r="N584" s="1290"/>
      <c r="O584" s="1290"/>
      <c r="P584" s="1286"/>
      <c r="Q584" s="1283"/>
      <c r="R584" s="1286"/>
      <c r="S584" s="1286"/>
      <c r="T584" s="1290"/>
      <c r="U584" s="1290"/>
      <c r="V584" s="1285"/>
      <c r="W584" s="1083">
        <f>Parametres!$T$45</f>
        <v>10000</v>
      </c>
      <c r="X584" s="1331">
        <f>COUNTIFS('Degrémont sortie'!BB$14:BB$379,"&gt;0",'Degrémont sortie'!$A$14:$A$379,"&gt;="&amp;B546,'Degrémont sortie'!$A$14:$A$379,"&lt;="&amp;EOMONTH(B546,0))</f>
        <v>15</v>
      </c>
      <c r="Y584" s="1286" t="e">
        <f>SUMIFS('Degrémont sortie'!$BB$14:$BB$379,'Degrémont sortie'!$BB$14:$BB$379,"&lt;&gt;0",'Degrémont sortie'!$A$14:$A$379,"&gt;="&amp;B546,'Degrémont sortie'!$A$14:$A$379,"&lt;="&amp;EOMONTH(B546,0))</f>
        <v>#DIV/0!</v>
      </c>
      <c r="Z584" s="1069" t="e">
        <f t="shared" si="263"/>
        <v>#DIV/0!</v>
      </c>
      <c r="AA584" s="1286" t="e">
        <f ca="1">MINIFS('Degrémont sortie'!$BB$14:$BB$379,'Degrémont sortie'!$BB$14:$BB$379,"&lt;&gt;0",'Degrémont sortie'!$A$14:$A$379,"&gt;="&amp;B546,'Degrémont sortie'!$A$14:$A$379,"&lt;="&amp;EOMONTH(B546,0))</f>
        <v>#NAME?</v>
      </c>
      <c r="AB584" s="1286" t="e">
        <f ca="1">MAXIFS('Degrémont sortie'!$BB$14:$BB$379,'Degrémont sortie'!$BB$14:$BB$379,"&lt;&gt;0",'Degrémont sortie'!$A$14:$A$379,"&gt;="&amp;B546,'Degrémont sortie'!$A$14:$A$379,"&lt;="&amp;EOMONTH(B546,0))</f>
        <v>#NAME?</v>
      </c>
      <c r="AC584" s="1213" t="s">
        <v>153</v>
      </c>
      <c r="AD584" s="1330" t="s">
        <v>153</v>
      </c>
      <c r="AE584" s="1285"/>
      <c r="AF584" s="1293"/>
      <c r="AG584" s="1293"/>
      <c r="AH584" s="1293"/>
      <c r="AI584" s="1293"/>
      <c r="AJ584" s="1293"/>
      <c r="AK584" s="1285"/>
      <c r="AL584" s="1205" t="e">
        <f>COUNTIFS(#REF!,"&gt;0",#REF!,"&gt;="&amp;B546,#REF!,"&lt;="&amp;EOMONTH(B546,0))</f>
        <v>#REF!</v>
      </c>
      <c r="AM584" s="1208" t="e">
        <f>SUMIFS(#REF!,#REF!,"&lt;&gt;0",#REF!,"&gt;="&amp;B546,#REF!,"&lt;="&amp;EOMONTH(B546,0))</f>
        <v>#REF!</v>
      </c>
      <c r="AN584" s="1208" t="e">
        <f t="shared" si="268"/>
        <v>#REF!</v>
      </c>
      <c r="AO584" s="1208" t="e">
        <f ca="1">MINIFS(#REF!,#REF!,"&lt;&gt;0",#REF!,"&gt;="&amp;B546,#REF!,"&lt;="&amp;EOMONTH(B546,0))</f>
        <v>#NAME?</v>
      </c>
      <c r="AP584" s="1208" t="e">
        <f ca="1">MAXIFS(#REF!,#REF!,"&lt;&gt;0",#REF!,"&gt;="&amp;B546,#REF!,"&lt;="&amp;EOMONTH(B546,0))</f>
        <v>#NAME?</v>
      </c>
      <c r="AQ584" s="1285"/>
      <c r="AR584" s="1293"/>
      <c r="AS584" s="1293"/>
      <c r="AT584" s="1293"/>
      <c r="AU584" s="1293"/>
      <c r="AV584" s="1293"/>
      <c r="AW584" s="1293"/>
      <c r="AX584" s="1294"/>
      <c r="AY584" s="1295"/>
      <c r="AZ584" s="1403" t="e">
        <f t="shared" si="264"/>
        <v>#REF!</v>
      </c>
      <c r="BA584" s="2"/>
    </row>
    <row r="585" spans="1:53" ht="15.75" hidden="1" customHeight="1" outlineLevel="1">
      <c r="A585" s="1027"/>
      <c r="B585" s="1404"/>
      <c r="C585" s="1031" t="s">
        <v>303</v>
      </c>
      <c r="D585" s="1102"/>
      <c r="E585" s="1069"/>
      <c r="F585" s="1069"/>
      <c r="G585" s="1069"/>
      <c r="H585" s="1069"/>
      <c r="I585" s="1069"/>
      <c r="J585" s="1102"/>
      <c r="K585" s="1102"/>
      <c r="L585" s="1281"/>
      <c r="M585" s="1289"/>
      <c r="N585" s="1290"/>
      <c r="O585" s="1290"/>
      <c r="P585" s="1286"/>
      <c r="Q585" s="1283"/>
      <c r="R585" s="1286"/>
      <c r="S585" s="1286"/>
      <c r="T585" s="1290"/>
      <c r="U585" s="1290"/>
      <c r="V585" s="1285"/>
      <c r="W585" s="1083">
        <f>Parametres!$T$46</f>
        <v>10000</v>
      </c>
      <c r="X585" s="1142">
        <f>COUNTIFS('Degrémont sortie'!$BC$14:$BC$379,"&gt;0",'Degrémont sortie'!$A$14:$A$379,"&gt;="&amp;B546,'Degrémont sortie'!$A$14:$A$379,"&lt;="&amp;EOMONTH(B546,0))</f>
        <v>15</v>
      </c>
      <c r="Y585" s="1085">
        <f>SUMIFS('Degrémont sortie'!$BC$14:$BC$379,'Degrémont sortie'!$BC$14:$BC$379,"&lt;&gt;0",'Degrémont sortie'!$A$14:$A$379,"&gt;="&amp;B546,'Degrémont sortie'!$A$14:$A$379,"&lt;="&amp;EOMONTH(B546,0))</f>
        <v>1480.3284682619374</v>
      </c>
      <c r="Z585" s="1069">
        <f t="shared" si="263"/>
        <v>98.688564550795817</v>
      </c>
      <c r="AA585" s="1286" t="e">
        <f ca="1">MINIFS('Degrémont sortie'!$BC$14:$BC$379,'Degrémont sortie'!$BC$14:$BC$379,"&lt;&gt;0",'Degrémont sortie'!$A$14:$A$379,"&gt;="&amp;B546,'Degrémont sortie'!$A$14:$A$379,"&lt;="&amp;EOMONTH(B546,0))</f>
        <v>#NAME?</v>
      </c>
      <c r="AB585" s="1286" t="e">
        <f ca="1">MAXIFS('Degrémont sortie'!$BC$14:$BC$379,'Degrémont sortie'!$BC$14:$BC$379,"&lt;&gt;0",'Degrémont sortie'!$A$14:$A$379,"&gt;="&amp;B546,'Degrémont sortie'!$A$14:$A$379,"&lt;="&amp;EOMONTH(B546,0))</f>
        <v>#NAME?</v>
      </c>
      <c r="AC585" s="1291" t="s">
        <v>153</v>
      </c>
      <c r="AD585" s="1292" t="s">
        <v>153</v>
      </c>
      <c r="AE585" s="1285"/>
      <c r="AF585" s="1293"/>
      <c r="AG585" s="1293"/>
      <c r="AH585" s="1293"/>
      <c r="AI585" s="1293"/>
      <c r="AJ585" s="1293"/>
      <c r="AK585" s="1285"/>
      <c r="AL585" s="1293"/>
      <c r="AM585" s="1293"/>
      <c r="AN585" s="1293"/>
      <c r="AO585" s="1293"/>
      <c r="AP585" s="1293"/>
      <c r="AQ585" s="1285"/>
      <c r="AR585" s="1293"/>
      <c r="AS585" s="1293"/>
      <c r="AT585" s="1293"/>
      <c r="AU585" s="1293"/>
      <c r="AV585" s="1293"/>
      <c r="AW585" s="1293"/>
      <c r="AX585" s="1294"/>
      <c r="AY585" s="1295"/>
      <c r="AZ585" s="1403">
        <f t="shared" si="264"/>
        <v>15</v>
      </c>
      <c r="BA585" s="2"/>
    </row>
    <row r="586" spans="1:53" ht="15.75" hidden="1" customHeight="1" outlineLevel="1">
      <c r="A586" s="1027"/>
      <c r="B586" s="1404"/>
      <c r="C586" s="1031" t="s">
        <v>338</v>
      </c>
      <c r="D586" s="1102"/>
      <c r="E586" s="1069"/>
      <c r="F586" s="1069"/>
      <c r="G586" s="1069"/>
      <c r="H586" s="1069"/>
      <c r="I586" s="1069"/>
      <c r="J586" s="1102"/>
      <c r="K586" s="1102"/>
      <c r="L586" s="1281"/>
      <c r="M586" s="1289"/>
      <c r="N586" s="1290"/>
      <c r="O586" s="1290"/>
      <c r="P586" s="1286"/>
      <c r="Q586" s="1283"/>
      <c r="R586" s="1286"/>
      <c r="S586" s="1286"/>
      <c r="T586" s="1290"/>
      <c r="U586" s="1290"/>
      <c r="V586" s="1285"/>
      <c r="W586" s="1293"/>
      <c r="X586" s="1293"/>
      <c r="Y586" s="1286"/>
      <c r="Z586" s="1286"/>
      <c r="AA586" s="1286"/>
      <c r="AB586" s="1286"/>
      <c r="AC586" s="1293"/>
      <c r="AD586" s="1249"/>
      <c r="AE586" s="1285"/>
      <c r="AF586" s="1293"/>
      <c r="AG586" s="1293"/>
      <c r="AH586" s="1293"/>
      <c r="AI586" s="1293"/>
      <c r="AJ586" s="1293"/>
      <c r="AK586" s="1285"/>
      <c r="AL586" s="1293"/>
      <c r="AM586" s="1293"/>
      <c r="AN586" s="1293"/>
      <c r="AO586" s="1293"/>
      <c r="AP586" s="1293"/>
      <c r="AQ586" s="1285"/>
      <c r="AR586" s="1293"/>
      <c r="AS586" s="1293"/>
      <c r="AT586" s="1293"/>
      <c r="AU586" s="1293"/>
      <c r="AV586" s="1293"/>
      <c r="AW586" s="1293"/>
      <c r="AX586" s="1294"/>
      <c r="AY586" s="1295"/>
      <c r="AZ586" s="1403">
        <f t="shared" si="264"/>
        <v>0</v>
      </c>
      <c r="BA586" s="2"/>
    </row>
    <row r="587" spans="1:53" ht="15.75" hidden="1" customHeight="1" outlineLevel="1">
      <c r="A587" s="1027"/>
      <c r="B587" s="1404"/>
      <c r="C587" s="1031" t="s">
        <v>339</v>
      </c>
      <c r="D587" s="1122">
        <f>Parametres!$D$48</f>
        <v>30</v>
      </c>
      <c r="E587" s="1068" t="e">
        <f>COUNTIFS(#REF!,"&gt;0",#REF!,"&gt;="&amp;B546,#REF!,"&lt;="&amp;EOMONTH(B546,0))</f>
        <v>#REF!</v>
      </c>
      <c r="F587" s="1069" t="e">
        <f>SUMIFS(#REF!,#REF!,"&lt;&gt;0",#REF!,"&gt;="&amp;B546,#REF!,"&lt;="&amp;EOMONTH(B546,0))</f>
        <v>#REF!</v>
      </c>
      <c r="G587" s="1069" t="e">
        <f t="shared" ref="G587:G591" si="269">IF(E587=0,0,F587/E587)</f>
        <v>#REF!</v>
      </c>
      <c r="H587" s="1069" t="e">
        <f ca="1">MINIFS(#REF!,#REF!,"&lt;&gt;0",#REF!,"&gt;="&amp;B546,#REF!,"&lt;="&amp;EOMONTH(B546,0))</f>
        <v>#NAME?</v>
      </c>
      <c r="I587" s="1069" t="e">
        <f ca="1">MAXIFS(#REF!,#REF!,"&lt;&gt;0",#REF!,"&gt;="&amp;B546,#REF!,"&lt;="&amp;EOMONTH(B546,0))</f>
        <v>#NAME?</v>
      </c>
      <c r="J587" s="1114" t="e">
        <f>COUNTIFS(#REF!,"&gt;="&amp;D587,#REF!,"&gt;="&amp;B546,#REF!,"&lt;="&amp;EOMONTH(B546,0))</f>
        <v>#REF!</v>
      </c>
      <c r="K587" s="1341" t="e">
        <f t="shared" ref="K587:K591" si="270">J587/E587</f>
        <v>#REF!</v>
      </c>
      <c r="L587" s="1281"/>
      <c r="M587" s="1289"/>
      <c r="N587" s="1290"/>
      <c r="O587" s="1290"/>
      <c r="P587" s="1286"/>
      <c r="Q587" s="1283"/>
      <c r="R587" s="1286"/>
      <c r="S587" s="1286"/>
      <c r="T587" s="1290"/>
      <c r="U587" s="1290"/>
      <c r="V587" s="1285"/>
      <c r="W587" s="1293"/>
      <c r="X587" s="1293"/>
      <c r="Y587" s="1286"/>
      <c r="Z587" s="1286"/>
      <c r="AA587" s="1286"/>
      <c r="AB587" s="1286"/>
      <c r="AC587" s="1293"/>
      <c r="AD587" s="1249"/>
      <c r="AE587" s="1285"/>
      <c r="AF587" s="1293"/>
      <c r="AG587" s="1293"/>
      <c r="AH587" s="1293"/>
      <c r="AI587" s="1293"/>
      <c r="AJ587" s="1293"/>
      <c r="AK587" s="1285"/>
      <c r="AL587" s="1293"/>
      <c r="AM587" s="1293"/>
      <c r="AN587" s="1293"/>
      <c r="AO587" s="1293"/>
      <c r="AP587" s="1293"/>
      <c r="AQ587" s="1285"/>
      <c r="AR587" s="1293"/>
      <c r="AS587" s="1293"/>
      <c r="AT587" s="1293"/>
      <c r="AU587" s="1293"/>
      <c r="AV587" s="1293"/>
      <c r="AW587" s="1293"/>
      <c r="AX587" s="1294"/>
      <c r="AY587" s="1295"/>
      <c r="AZ587" s="1403" t="e">
        <f t="shared" si="264"/>
        <v>#REF!</v>
      </c>
      <c r="BA587" s="2"/>
    </row>
    <row r="588" spans="1:53" ht="15.75" hidden="1" customHeight="1" outlineLevel="1">
      <c r="A588" s="1027"/>
      <c r="B588" s="1404"/>
      <c r="C588" s="1029" t="s">
        <v>24</v>
      </c>
      <c r="D588" s="1122">
        <f>Parametres!$D$50</f>
        <v>4</v>
      </c>
      <c r="E588" s="1068" t="e">
        <f>COUNTIFS(#REF!,"&gt;0",#REF!,"&gt;="&amp;B546,#REF!,"&lt;="&amp;EOMONTH(B546,0))</f>
        <v>#REF!</v>
      </c>
      <c r="F588" s="1069" t="e">
        <f>SUMIFS(#REF!,#REF!,"&lt;&gt;0",#REF!,"&gt;="&amp;B546,#REF!,"&lt;="&amp;EOMONTH(B546,0))</f>
        <v>#REF!</v>
      </c>
      <c r="G588" s="1069" t="e">
        <f t="shared" si="269"/>
        <v>#REF!</v>
      </c>
      <c r="H588" s="1069" t="e">
        <f ca="1">MINIFS(#REF!,#REF!,"&lt;&gt;0",#REF!,"&gt;="&amp;B546,#REF!,"&lt;="&amp;EOMONTH(B546,0))</f>
        <v>#NAME?</v>
      </c>
      <c r="I588" s="1069" t="e">
        <f ca="1">MAXIFS(#REF!,#REF!,"&lt;&gt;0",#REF!,"&gt;="&amp;B546,#REF!,"&lt;="&amp;EOMONTH(B546,0))</f>
        <v>#NAME?</v>
      </c>
      <c r="J588" s="1114" t="e">
        <f>COUNTIFS(#REF!,"&gt;="&amp;D588,#REF!,"&gt;="&amp;B546,#REF!,"&lt;="&amp;EOMONTH(B546,0))</f>
        <v>#REF!</v>
      </c>
      <c r="K588" s="1341" t="e">
        <f t="shared" si="270"/>
        <v>#REF!</v>
      </c>
      <c r="L588" s="1281"/>
      <c r="M588" s="1289"/>
      <c r="N588" s="1290"/>
      <c r="O588" s="1290"/>
      <c r="P588" s="1286"/>
      <c r="Q588" s="1283"/>
      <c r="R588" s="1286"/>
      <c r="S588" s="1286"/>
      <c r="T588" s="1290"/>
      <c r="U588" s="1290"/>
      <c r="V588" s="1285"/>
      <c r="W588" s="1293"/>
      <c r="X588" s="1293"/>
      <c r="Y588" s="1286"/>
      <c r="Z588" s="1286"/>
      <c r="AA588" s="1286"/>
      <c r="AB588" s="1286"/>
      <c r="AC588" s="1293"/>
      <c r="AD588" s="1249"/>
      <c r="AE588" s="1285"/>
      <c r="AF588" s="1293"/>
      <c r="AG588" s="1293"/>
      <c r="AH588" s="1293"/>
      <c r="AI588" s="1293"/>
      <c r="AJ588" s="1293"/>
      <c r="AK588" s="1285"/>
      <c r="AL588" s="1293"/>
      <c r="AM588" s="1293"/>
      <c r="AN588" s="1293"/>
      <c r="AO588" s="1293"/>
      <c r="AP588" s="1293"/>
      <c r="AQ588" s="1285"/>
      <c r="AR588" s="1293"/>
      <c r="AS588" s="1293"/>
      <c r="AT588" s="1293"/>
      <c r="AU588" s="1293"/>
      <c r="AV588" s="1293"/>
      <c r="AW588" s="1293"/>
      <c r="AX588" s="1294"/>
      <c r="AY588" s="1295"/>
      <c r="AZ588" s="1403" t="e">
        <f t="shared" si="264"/>
        <v>#REF!</v>
      </c>
      <c r="BA588" s="2"/>
    </row>
    <row r="589" spans="1:53" ht="15.75" hidden="1" customHeight="1" outlineLevel="1">
      <c r="A589" s="1027"/>
      <c r="B589" s="1404"/>
      <c r="C589" s="1029" t="s">
        <v>168</v>
      </c>
      <c r="D589" s="1122" t="e">
        <f>#REF!</f>
        <v>#REF!</v>
      </c>
      <c r="E589" s="1068" t="e">
        <f>COUNTIFS(#REF!,"&gt;0",#REF!,"&gt;="&amp;B546,#REF!,"&lt;="&amp;EOMONTH(B546,0))</f>
        <v>#REF!</v>
      </c>
      <c r="F589" s="1069" t="e">
        <f>SUMIFS(#REF!,#REF!,"&lt;&gt;0",#REF!,"&gt;="&amp;B546,#REF!,"&lt;="&amp;EOMONTH(B546,0))</f>
        <v>#REF!</v>
      </c>
      <c r="G589" s="1069" t="e">
        <f t="shared" si="269"/>
        <v>#REF!</v>
      </c>
      <c r="H589" s="1069" t="e">
        <f ca="1">MINIFS(#REF!,#REF!,"&lt;&gt;0",#REF!,"&gt;="&amp;B546,#REF!,"&lt;="&amp;EOMONTH(B546,0))</f>
        <v>#NAME?</v>
      </c>
      <c r="I589" s="1069" t="e">
        <f ca="1">MAXIFS(#REF!,#REF!,"&lt;&gt;0",#REF!,"&gt;="&amp;B546,#REF!,"&lt;="&amp;EOMONTH(B546,0))</f>
        <v>#NAME?</v>
      </c>
      <c r="J589" s="1072" t="e">
        <f>COUNTIFS(#REF!,"&gt;="&amp;D589,#REF!,"&gt;="&amp;B546,#REF!,"&lt;="&amp;EOMONTH(B546,0))</f>
        <v>#REF!</v>
      </c>
      <c r="K589" s="1341" t="e">
        <f t="shared" si="270"/>
        <v>#REF!</v>
      </c>
      <c r="L589" s="1281"/>
      <c r="M589" s="1289"/>
      <c r="N589" s="1290"/>
      <c r="O589" s="1290"/>
      <c r="P589" s="1286"/>
      <c r="Q589" s="1283"/>
      <c r="R589" s="1286"/>
      <c r="S589" s="1286"/>
      <c r="T589" s="1290"/>
      <c r="U589" s="1290"/>
      <c r="V589" s="1285"/>
      <c r="W589" s="1293"/>
      <c r="X589" s="1293"/>
      <c r="Y589" s="1286"/>
      <c r="Z589" s="1286"/>
      <c r="AA589" s="1286"/>
      <c r="AB589" s="1286"/>
      <c r="AC589" s="1293"/>
      <c r="AD589" s="1249"/>
      <c r="AE589" s="1285"/>
      <c r="AF589" s="1293"/>
      <c r="AG589" s="1293"/>
      <c r="AH589" s="1293"/>
      <c r="AI589" s="1293"/>
      <c r="AJ589" s="1293"/>
      <c r="AK589" s="1285"/>
      <c r="AL589" s="1293"/>
      <c r="AM589" s="1293"/>
      <c r="AN589" s="1293"/>
      <c r="AO589" s="1293"/>
      <c r="AP589" s="1293"/>
      <c r="AQ589" s="1285"/>
      <c r="AR589" s="1293"/>
      <c r="AS589" s="1293"/>
      <c r="AT589" s="1293"/>
      <c r="AU589" s="1293"/>
      <c r="AV589" s="1293"/>
      <c r="AW589" s="1293"/>
      <c r="AX589" s="1294"/>
      <c r="AY589" s="1295"/>
      <c r="AZ589" s="1403" t="e">
        <f t="shared" si="264"/>
        <v>#REF!</v>
      </c>
      <c r="BA589" s="2"/>
    </row>
    <row r="590" spans="1:53" ht="15.75" hidden="1" customHeight="1" outlineLevel="1">
      <c r="A590" s="1027"/>
      <c r="B590" s="1404"/>
      <c r="C590" s="1029" t="s">
        <v>25</v>
      </c>
      <c r="D590" s="1122">
        <f>Parametres!$D$51</f>
        <v>1.5</v>
      </c>
      <c r="E590" s="1068" t="e">
        <f>COUNTIFS(#REF!,"&gt;0",#REF!,"&gt;="&amp;B546,#REF!,"&lt;="&amp;EOMONTH(B546,0))</f>
        <v>#REF!</v>
      </c>
      <c r="F590" s="1069" t="e">
        <f>SUMIFS(#REF!,#REF!,"&lt;&gt;0",#REF!,"&gt;="&amp;B546,#REF!,"&lt;="&amp;EOMONTH(B546,0))</f>
        <v>#REF!</v>
      </c>
      <c r="G590" s="1069" t="e">
        <f t="shared" si="269"/>
        <v>#REF!</v>
      </c>
      <c r="H590" s="1069" t="e">
        <f ca="1">MINIFS(#REF!,#REF!,"&lt;&gt;0",#REF!,"&gt;="&amp;B546,#REF!,"&lt;="&amp;EOMONTH(B546,0))</f>
        <v>#NAME?</v>
      </c>
      <c r="I590" s="1069" t="e">
        <f ca="1">MAXIFS(#REF!,#REF!,"&lt;&gt;0",#REF!,"&gt;="&amp;B546,#REF!,"&lt;="&amp;EOMONTH(B546,0))</f>
        <v>#NAME?</v>
      </c>
      <c r="J590" s="1114" t="e">
        <f>COUNTIFS(#REF!,"&gt;="&amp;D590,#REF!,"&gt;="&amp;B546,#REF!,"&lt;="&amp;EOMONTH(B546,0))</f>
        <v>#REF!</v>
      </c>
      <c r="K590" s="1341" t="e">
        <f t="shared" si="270"/>
        <v>#REF!</v>
      </c>
      <c r="L590" s="1281"/>
      <c r="M590" s="1289"/>
      <c r="N590" s="1290"/>
      <c r="O590" s="1290"/>
      <c r="P590" s="1286"/>
      <c r="Q590" s="1283"/>
      <c r="R590" s="1286"/>
      <c r="S590" s="1286"/>
      <c r="T590" s="1290"/>
      <c r="U590" s="1290"/>
      <c r="V590" s="1285"/>
      <c r="W590" s="1293"/>
      <c r="X590" s="1293"/>
      <c r="Y590" s="1286"/>
      <c r="Z590" s="1286"/>
      <c r="AA590" s="1286"/>
      <c r="AB590" s="1286"/>
      <c r="AC590" s="1293"/>
      <c r="AD590" s="1249"/>
      <c r="AE590" s="1285"/>
      <c r="AF590" s="1293"/>
      <c r="AG590" s="1293"/>
      <c r="AH590" s="1293"/>
      <c r="AI590" s="1293"/>
      <c r="AJ590" s="1293"/>
      <c r="AK590" s="1285"/>
      <c r="AL590" s="1293"/>
      <c r="AM590" s="1293"/>
      <c r="AN590" s="1293"/>
      <c r="AO590" s="1293"/>
      <c r="AP590" s="1293"/>
      <c r="AQ590" s="1285"/>
      <c r="AR590" s="1293"/>
      <c r="AS590" s="1293"/>
      <c r="AT590" s="1293"/>
      <c r="AU590" s="1293"/>
      <c r="AV590" s="1293"/>
      <c r="AW590" s="1293"/>
      <c r="AX590" s="1294"/>
      <c r="AY590" s="1295"/>
      <c r="AZ590" s="1403" t="e">
        <f t="shared" si="264"/>
        <v>#REF!</v>
      </c>
      <c r="BA590" s="2"/>
    </row>
    <row r="591" spans="1:53" ht="15.75" hidden="1" customHeight="1" outlineLevel="1">
      <c r="A591" s="1027"/>
      <c r="B591" s="1406"/>
      <c r="C591" s="1031" t="s">
        <v>47</v>
      </c>
      <c r="D591" s="1122">
        <f>Parametres!$D$52</f>
        <v>2</v>
      </c>
      <c r="E591" s="1068" t="e">
        <f>COUNTIFS(#REF!,"&gt;0",#REF!,"&gt;="&amp;B546,#REF!,"&lt;="&amp;EOMONTH(B546,0))</f>
        <v>#REF!</v>
      </c>
      <c r="F591" s="1069" t="e">
        <f>SUMIFS(#REF!,#REF!,"&lt;&gt;0",#REF!,"&gt;="&amp;B546,#REF!,"&lt;="&amp;EOMONTH(B546,0))</f>
        <v>#REF!</v>
      </c>
      <c r="G591" s="1069" t="e">
        <f t="shared" si="269"/>
        <v>#REF!</v>
      </c>
      <c r="H591" s="1069" t="e">
        <f ca="1">MINIFS(#REF!,#REF!,"&lt;&gt;0",#REF!,"&gt;="&amp;B546,#REF!,"&lt;="&amp;EOMONTH(B546,0))</f>
        <v>#NAME?</v>
      </c>
      <c r="I591" s="1069" t="e">
        <f ca="1">MAXIFS(#REF!,#REF!,"&lt;&gt;0",#REF!,"&gt;="&amp;B546,#REF!,"&lt;="&amp;EOMONTH(B546,0))</f>
        <v>#NAME?</v>
      </c>
      <c r="J591" s="1072" t="e">
        <f>COUNTIFS(#REF!,"&gt;="&amp;D591,#REF!,"&gt;="&amp;B546,#REF!,"&lt;="&amp;EOMONTH(B546,0))</f>
        <v>#REF!</v>
      </c>
      <c r="K591" s="1341" t="e">
        <f t="shared" si="270"/>
        <v>#REF!</v>
      </c>
      <c r="L591" s="1281"/>
      <c r="M591" s="1289"/>
      <c r="N591" s="1144">
        <f>Parametres!$L$52</f>
        <v>90</v>
      </c>
      <c r="O591" s="1077">
        <f>COUNTIFS('Degrémont Entrée'!$AY$14:$AY$379,"&gt;0",'Degrémont Entrée'!$A$14:$A$379,"&gt;="&amp;B546,'Degrémont Entrée'!$A$14:$A$379,"&lt;="&amp;EOMONTH(B546,0))</f>
        <v>4</v>
      </c>
      <c r="P591" s="1078">
        <f>SUMIFS('Degrémont Entrée'!$AY$14:$AY$379,'Degrémont Entrée'!$AY$14:$AY$379,"&lt;&gt;0",'Degrémont Entrée'!$A$14:$A$379,"&gt;="&amp;B546,'Degrémont Entrée'!$A$14:$A$379,"&lt;="&amp;EOMONTH(B546,0))</f>
        <v>1851</v>
      </c>
      <c r="Q591" s="1283">
        <f>IF(O591=0,0,P591/O591)</f>
        <v>462.75</v>
      </c>
      <c r="R591" s="1286" t="e">
        <f ca="1">MINIFS('Degrémont Entrée'!$AY$14:$AY$379,'Degrémont Entrée'!$AY$14:$AY$379,"&lt;&gt;0",'Degrémont Entrée'!$A$14:$A$379,"&gt;="&amp;B546,'Degrémont Entrée'!$A$14:$A$379,"&lt;="&amp;EOMONTH(B546,0))</f>
        <v>#NAME?</v>
      </c>
      <c r="S591" s="1286" t="e">
        <f ca="1">MAXIFS('Degrémont Entrée'!$AY$14:$AY$379,'Degrémont Entrée'!$AY$14:$AY$379,"&lt;&gt;0",'Degrémont Entrée'!$A$14:$A$379,"&gt;="&amp;B546,'Degrémont Entrée'!$A$14:$A$379,"&lt;="&amp;EOMONTH(B546,0))</f>
        <v>#NAME?</v>
      </c>
      <c r="T591" s="1141">
        <f>COUNTIFS('Degrémont Entrée'!$AY$14:$AY$379,"&gt;="&amp;N591,'Degrémont Entrée'!$A$14:$A$379,"&gt;="&amp;B546,'Degrémont Entrée'!$A$14:$A$379,"&lt;="&amp;EOMONTH(B546,0))</f>
        <v>4</v>
      </c>
      <c r="U591" s="1081">
        <f>T591/O591</f>
        <v>1</v>
      </c>
      <c r="V591" s="1285"/>
      <c r="W591" s="1083">
        <f>Parametres!$T$52</f>
        <v>0.64</v>
      </c>
      <c r="X591" s="1142">
        <f>COUNTIFS('Degrémont sortie'!$AS$14:$AS$379,"&gt;0",'Degrémont sortie'!$A$14:$A$379,"&gt;="&amp;B546,'Degrémont sortie'!$A$14:$A$379,"&lt;="&amp;EOMONTH(B546,0))</f>
        <v>4</v>
      </c>
      <c r="Y591" s="1085">
        <f>SUMIFS('Degrémont sortie'!$AS$14:$AS$379,'Degrémont sortie'!$AS$14:$AS$379,"&lt;&gt;0",'Degrémont sortie'!$A$14:$A$379,"&gt;="&amp;B546,'Degrémont sortie'!$A$14:$A$379,"&lt;="&amp;EOMONTH(B546,0))</f>
        <v>0.46800000000000003</v>
      </c>
      <c r="Z591" s="1069">
        <f>IF(X591=0,0,Y591/X591)</f>
        <v>0.11700000000000001</v>
      </c>
      <c r="AA591" s="1286" t="e">
        <f ca="1">MINIFS('Degrémont sortie'!$AS$14:$AS$379,'Degrémont sortie'!$AS$14:$AS$379,"&lt;&gt;0",'Degrémont sortie'!$A$14:$A$379,"&gt;="&amp;B546,'Degrémont sortie'!$A$14:$A$379,"&lt;="&amp;EOMONTH(B546,0))</f>
        <v>#NAME?</v>
      </c>
      <c r="AB591" s="1286" t="e">
        <f ca="1">MAXIFS('Degrémont sortie'!$AS$14:$AS$379,'Degrémont sortie'!$AS$14:$AS$379,"&lt;&gt;0",'Degrémont sortie'!$A$14:$A$379,"&gt;="&amp;B546,'Degrémont sortie'!$A$14:$A$379,"&lt;="&amp;EOMONTH(B546,0))</f>
        <v>#NAME?</v>
      </c>
      <c r="AC591" s="1141">
        <f>COUNTIFS('Degrémont sortie'!$AS$14:$AS$379,"&gt;="&amp;W591,'Degrémont sortie'!$A$14:$A$379,"&gt;="&amp;B546,'Degrémont sortie'!$A$14:$A$379,"&lt;="&amp;EOMONTH(B546,0))</f>
        <v>0</v>
      </c>
      <c r="AD591" s="1087">
        <f>AC591/X591</f>
        <v>0</v>
      </c>
      <c r="AE591" s="1285"/>
      <c r="AF591" s="1293"/>
      <c r="AG591" s="1293"/>
      <c r="AH591" s="1293"/>
      <c r="AI591" s="1293"/>
      <c r="AJ591" s="1293"/>
      <c r="AK591" s="1285"/>
      <c r="AL591" s="1293"/>
      <c r="AM591" s="1293"/>
      <c r="AN591" s="1293"/>
      <c r="AO591" s="1293"/>
      <c r="AP591" s="1293"/>
      <c r="AQ591" s="1285"/>
      <c r="AR591" s="1293"/>
      <c r="AS591" s="1293"/>
      <c r="AT591" s="1293"/>
      <c r="AU591" s="1293"/>
      <c r="AV591" s="1293"/>
      <c r="AW591" s="1293"/>
      <c r="AX591" s="1294"/>
      <c r="AY591" s="1295"/>
      <c r="AZ591" s="1403" t="e">
        <f t="shared" si="264"/>
        <v>#REF!</v>
      </c>
      <c r="BA591" s="2"/>
    </row>
    <row r="592" spans="1:53" ht="15.75" customHeight="1">
      <c r="A592" s="1027"/>
      <c r="B592" s="1370"/>
      <c r="C592" s="13"/>
      <c r="D592" s="1371"/>
      <c r="E592" s="1357"/>
      <c r="F592" s="1358"/>
      <c r="G592" s="1358"/>
      <c r="H592" s="1358"/>
      <c r="I592" s="1358"/>
      <c r="J592" s="1076"/>
      <c r="K592" s="1076"/>
      <c r="L592" s="1076"/>
      <c r="M592" s="1289"/>
      <c r="N592" s="1076"/>
      <c r="O592" s="1076"/>
      <c r="P592" s="1358"/>
      <c r="Q592" s="1358"/>
      <c r="R592" s="1364"/>
      <c r="S592" s="1364"/>
      <c r="T592" s="13"/>
      <c r="U592" s="13"/>
      <c r="V592" s="1289"/>
      <c r="W592" s="1076"/>
      <c r="X592" s="1076"/>
      <c r="Y592" s="1358"/>
      <c r="Z592" s="1358"/>
      <c r="AA592" s="1364"/>
      <c r="AB592" s="1364"/>
      <c r="AC592" s="13"/>
      <c r="AD592" s="13"/>
      <c r="AE592" s="1289"/>
      <c r="AF592" s="1372"/>
      <c r="AG592" s="1372"/>
      <c r="AH592" s="1372"/>
      <c r="AI592" s="1372"/>
      <c r="AJ592" s="1372"/>
      <c r="AK592" s="1289"/>
      <c r="AL592" s="1372"/>
      <c r="AM592" s="1372"/>
      <c r="AN592" s="1372"/>
      <c r="AO592" s="1372"/>
      <c r="AP592" s="1372"/>
      <c r="AQ592" s="1289"/>
      <c r="AR592" s="1372"/>
      <c r="AS592" s="1372"/>
      <c r="AT592" s="1372"/>
      <c r="AU592" s="1372"/>
      <c r="AV592" s="1372"/>
      <c r="AW592" s="1372"/>
      <c r="AX592" s="1372"/>
      <c r="AY592" s="1372"/>
      <c r="AZ592" s="1095"/>
      <c r="BA592" s="2"/>
    </row>
    <row r="593" spans="1:53" ht="15.75" customHeight="1">
      <c r="A593" s="1027"/>
      <c r="B593" s="1370"/>
      <c r="C593" s="13"/>
      <c r="D593" s="1371"/>
      <c r="E593" s="1357"/>
      <c r="F593" s="1358"/>
      <c r="G593" s="1358"/>
      <c r="H593" s="1358"/>
      <c r="I593" s="1358"/>
      <c r="J593" s="1076"/>
      <c r="K593" s="1076"/>
      <c r="L593" s="1076"/>
      <c r="M593" s="1289"/>
      <c r="N593" s="1076"/>
      <c r="O593" s="1076"/>
      <c r="P593" s="1358"/>
      <c r="Q593" s="1358"/>
      <c r="R593" s="1364"/>
      <c r="S593" s="1364"/>
      <c r="T593" s="13"/>
      <c r="U593" s="13"/>
      <c r="V593" s="1289"/>
      <c r="W593" s="1076"/>
      <c r="X593" s="1076"/>
      <c r="Y593" s="1358"/>
      <c r="Z593" s="1358"/>
      <c r="AA593" s="1364"/>
      <c r="AB593" s="1364"/>
      <c r="AC593" s="13"/>
      <c r="AD593" s="13"/>
      <c r="AE593" s="1289"/>
      <c r="AF593" s="1372"/>
      <c r="AG593" s="1372"/>
      <c r="AH593" s="1372"/>
      <c r="AI593" s="1372"/>
      <c r="AJ593" s="1372"/>
      <c r="AK593" s="1289"/>
      <c r="AL593" s="1372"/>
      <c r="AM593" s="1372"/>
      <c r="AN593" s="1372"/>
      <c r="AO593" s="1372"/>
      <c r="AP593" s="1372"/>
      <c r="AQ593" s="1289"/>
      <c r="AR593" s="1372"/>
      <c r="AS593" s="1372"/>
      <c r="AT593" s="1372"/>
      <c r="AU593" s="1372"/>
      <c r="AV593" s="1372"/>
      <c r="AW593" s="1372"/>
      <c r="AX593" s="1372"/>
      <c r="AY593" s="1372"/>
      <c r="AZ593" s="1095"/>
      <c r="BA593" s="2"/>
    </row>
    <row r="594" spans="1:53" ht="15.75" customHeight="1">
      <c r="A594" s="1027"/>
      <c r="B594" s="1370"/>
      <c r="C594" s="13"/>
      <c r="D594" s="1371"/>
      <c r="E594" s="1357"/>
      <c r="F594" s="1358"/>
      <c r="G594" s="1358"/>
      <c r="H594" s="1358"/>
      <c r="I594" s="1358"/>
      <c r="J594" s="1076"/>
      <c r="K594" s="1076"/>
      <c r="L594" s="1076"/>
      <c r="M594" s="1289"/>
      <c r="N594" s="1076"/>
      <c r="O594" s="1076"/>
      <c r="P594" s="1358"/>
      <c r="Q594" s="1358"/>
      <c r="R594" s="1364"/>
      <c r="S594" s="1364"/>
      <c r="T594" s="13"/>
      <c r="U594" s="13"/>
      <c r="V594" s="1289"/>
      <c r="W594" s="1076"/>
      <c r="X594" s="1076"/>
      <c r="Y594" s="1358"/>
      <c r="Z594" s="1358"/>
      <c r="AA594" s="1364"/>
      <c r="AB594" s="1364"/>
      <c r="AC594" s="13"/>
      <c r="AD594" s="13"/>
      <c r="AE594" s="1289"/>
      <c r="AF594" s="1372"/>
      <c r="AG594" s="1372"/>
      <c r="AH594" s="1372"/>
      <c r="AI594" s="1372"/>
      <c r="AJ594" s="1372"/>
      <c r="AK594" s="1289"/>
      <c r="AL594" s="1372"/>
      <c r="AM594" s="1372"/>
      <c r="AN594" s="1372"/>
      <c r="AO594" s="1372"/>
      <c r="AP594" s="1372"/>
      <c r="AQ594" s="1289"/>
      <c r="AR594" s="1372"/>
      <c r="AS594" s="1372"/>
      <c r="AT594" s="1372"/>
      <c r="AU594" s="1372"/>
      <c r="AV594" s="1372"/>
      <c r="AW594" s="1372"/>
      <c r="AX594" s="1372"/>
      <c r="AY594" s="1372"/>
      <c r="AZ594" s="1095"/>
      <c r="BA594" s="2"/>
    </row>
    <row r="595" spans="1:53" ht="15.75" customHeight="1">
      <c r="A595" s="1027"/>
      <c r="B595" s="1370"/>
      <c r="C595" s="13"/>
      <c r="D595" s="1371"/>
      <c r="E595" s="1357"/>
      <c r="F595" s="1358"/>
      <c r="G595" s="1358"/>
      <c r="H595" s="1358"/>
      <c r="I595" s="1358"/>
      <c r="J595" s="1076"/>
      <c r="K595" s="1076"/>
      <c r="L595" s="1076"/>
      <c r="M595" s="1289"/>
      <c r="N595" s="1076"/>
      <c r="O595" s="1076"/>
      <c r="P595" s="1358"/>
      <c r="Q595" s="1358"/>
      <c r="R595" s="1364"/>
      <c r="S595" s="1364"/>
      <c r="T595" s="13"/>
      <c r="U595" s="13"/>
      <c r="V595" s="1289"/>
      <c r="W595" s="1076"/>
      <c r="X595" s="1076"/>
      <c r="Y595" s="1358"/>
      <c r="Z595" s="1358"/>
      <c r="AA595" s="1364"/>
      <c r="AB595" s="1364"/>
      <c r="AC595" s="13"/>
      <c r="AD595" s="13"/>
      <c r="AE595" s="1289"/>
      <c r="AF595" s="1372"/>
      <c r="AG595" s="1372"/>
      <c r="AH595" s="1372"/>
      <c r="AI595" s="1372"/>
      <c r="AJ595" s="1372"/>
      <c r="AK595" s="1289"/>
      <c r="AL595" s="1372"/>
      <c r="AM595" s="1372"/>
      <c r="AN595" s="1372"/>
      <c r="AO595" s="1372"/>
      <c r="AP595" s="1372"/>
      <c r="AQ595" s="1289"/>
      <c r="AR595" s="1372"/>
      <c r="AS595" s="1372"/>
      <c r="AT595" s="1372"/>
      <c r="AU595" s="1372"/>
      <c r="AV595" s="1372"/>
      <c r="AW595" s="1372"/>
      <c r="AX595" s="1372"/>
      <c r="AY595" s="1372"/>
      <c r="AZ595" s="1095"/>
      <c r="BA595" s="2"/>
    </row>
    <row r="596" spans="1:53" ht="15.75" customHeight="1">
      <c r="A596" s="1027"/>
      <c r="B596" s="1370"/>
      <c r="C596" s="13"/>
      <c r="D596" s="1371"/>
      <c r="E596" s="1357"/>
      <c r="F596" s="1358"/>
      <c r="G596" s="1358"/>
      <c r="H596" s="1358"/>
      <c r="I596" s="1358"/>
      <c r="J596" s="1076"/>
      <c r="K596" s="1076"/>
      <c r="L596" s="1076"/>
      <c r="M596" s="1289"/>
      <c r="N596" s="1076"/>
      <c r="O596" s="1076"/>
      <c r="P596" s="1358"/>
      <c r="Q596" s="1358"/>
      <c r="R596" s="1364"/>
      <c r="S596" s="1364"/>
      <c r="T596" s="13"/>
      <c r="U596" s="13"/>
      <c r="V596" s="1289"/>
      <c r="W596" s="1076"/>
      <c r="X596" s="1076"/>
      <c r="Y596" s="1358"/>
      <c r="Z596" s="1358"/>
      <c r="AA596" s="1364"/>
      <c r="AB596" s="1364"/>
      <c r="AC596" s="13"/>
      <c r="AD596" s="13"/>
      <c r="AE596" s="1289"/>
      <c r="AF596" s="1372"/>
      <c r="AG596" s="1372"/>
      <c r="AH596" s="1372"/>
      <c r="AI596" s="1372"/>
      <c r="AJ596" s="1372"/>
      <c r="AK596" s="1289"/>
      <c r="AL596" s="1372"/>
      <c r="AM596" s="1372"/>
      <c r="AN596" s="1372"/>
      <c r="AO596" s="1372"/>
      <c r="AP596" s="1372"/>
      <c r="AQ596" s="1289"/>
      <c r="AR596" s="1372"/>
      <c r="AS596" s="1372"/>
      <c r="AT596" s="1372"/>
      <c r="AU596" s="1372"/>
      <c r="AV596" s="1372"/>
      <c r="AW596" s="1372"/>
      <c r="AX596" s="1372"/>
      <c r="AY596" s="1372"/>
      <c r="AZ596" s="1095"/>
      <c r="BA596" s="2"/>
    </row>
    <row r="597" spans="1:53" ht="15.75" customHeight="1">
      <c r="A597" s="1027"/>
      <c r="B597" s="1370"/>
      <c r="C597" s="13"/>
      <c r="D597" s="1371"/>
      <c r="E597" s="1357"/>
      <c r="F597" s="1358"/>
      <c r="G597" s="1358"/>
      <c r="H597" s="1358"/>
      <c r="I597" s="1358"/>
      <c r="J597" s="1076"/>
      <c r="K597" s="1076"/>
      <c r="L597" s="1076"/>
      <c r="M597" s="1289"/>
      <c r="N597" s="1076"/>
      <c r="O597" s="1076"/>
      <c r="P597" s="1358"/>
      <c r="Q597" s="1358"/>
      <c r="R597" s="1364"/>
      <c r="S597" s="1364"/>
      <c r="T597" s="13"/>
      <c r="U597" s="13"/>
      <c r="V597" s="1289"/>
      <c r="W597" s="1076"/>
      <c r="X597" s="1076"/>
      <c r="Y597" s="1358"/>
      <c r="Z597" s="1358"/>
      <c r="AA597" s="1364"/>
      <c r="AB597" s="1364"/>
      <c r="AC597" s="13"/>
      <c r="AD597" s="13"/>
      <c r="AE597" s="1289"/>
      <c r="AF597" s="1372"/>
      <c r="AG597" s="1372"/>
      <c r="AH597" s="1372"/>
      <c r="AI597" s="1372"/>
      <c r="AJ597" s="1372"/>
      <c r="AK597" s="1289"/>
      <c r="AL597" s="1372"/>
      <c r="AM597" s="1372"/>
      <c r="AN597" s="1372"/>
      <c r="AO597" s="1372"/>
      <c r="AP597" s="1372"/>
      <c r="AQ597" s="1289"/>
      <c r="AR597" s="1372"/>
      <c r="AS597" s="1372"/>
      <c r="AT597" s="1372"/>
      <c r="AU597" s="1372"/>
      <c r="AV597" s="1372"/>
      <c r="AW597" s="1372"/>
      <c r="AX597" s="1372"/>
      <c r="AY597" s="1372"/>
      <c r="AZ597" s="1095"/>
      <c r="BA597" s="2"/>
    </row>
    <row r="598" spans="1:53" ht="15.75" customHeight="1">
      <c r="A598" s="1027"/>
      <c r="B598" s="1370"/>
      <c r="C598" s="13"/>
      <c r="D598" s="1371"/>
      <c r="E598" s="1357"/>
      <c r="F598" s="1358"/>
      <c r="G598" s="1358"/>
      <c r="H598" s="1358"/>
      <c r="I598" s="1358"/>
      <c r="J598" s="1076"/>
      <c r="K598" s="1076"/>
      <c r="L598" s="1076"/>
      <c r="M598" s="1289"/>
      <c r="N598" s="1076"/>
      <c r="O598" s="1076"/>
      <c r="P598" s="1358"/>
      <c r="Q598" s="1358"/>
      <c r="R598" s="1364"/>
      <c r="S598" s="1364"/>
      <c r="T598" s="13"/>
      <c r="U598" s="13"/>
      <c r="V598" s="1289"/>
      <c r="W598" s="1076"/>
      <c r="X598" s="1076"/>
      <c r="Y598" s="1358"/>
      <c r="Z598" s="1358"/>
      <c r="AA598" s="1364"/>
      <c r="AB598" s="1364"/>
      <c r="AC598" s="13"/>
      <c r="AD598" s="13"/>
      <c r="AE598" s="1289"/>
      <c r="AF598" s="1372"/>
      <c r="AG598" s="1372"/>
      <c r="AH598" s="1372"/>
      <c r="AI598" s="1372"/>
      <c r="AJ598" s="1372"/>
      <c r="AK598" s="1289"/>
      <c r="AL598" s="1372"/>
      <c r="AM598" s="1372"/>
      <c r="AN598" s="1372"/>
      <c r="AO598" s="1372"/>
      <c r="AP598" s="1372"/>
      <c r="AQ598" s="1289"/>
      <c r="AR598" s="1372"/>
      <c r="AS598" s="1372"/>
      <c r="AT598" s="1372"/>
      <c r="AU598" s="1372"/>
      <c r="AV598" s="1372"/>
      <c r="AW598" s="1372"/>
      <c r="AX598" s="1372"/>
      <c r="AY598" s="1372"/>
      <c r="AZ598" s="1095"/>
      <c r="BA598" s="2"/>
    </row>
    <row r="599" spans="1:53" ht="15.75" customHeight="1">
      <c r="A599" s="1027"/>
      <c r="B599" s="1370"/>
      <c r="C599" s="13"/>
      <c r="D599" s="1371"/>
      <c r="E599" s="1357"/>
      <c r="F599" s="1358"/>
      <c r="G599" s="1358"/>
      <c r="H599" s="1358"/>
      <c r="I599" s="1358"/>
      <c r="J599" s="1076"/>
      <c r="K599" s="1076"/>
      <c r="L599" s="1076"/>
      <c r="M599" s="1289"/>
      <c r="N599" s="1076"/>
      <c r="O599" s="1076"/>
      <c r="P599" s="1358"/>
      <c r="Q599" s="1358"/>
      <c r="R599" s="1364"/>
      <c r="S599" s="1364"/>
      <c r="T599" s="13"/>
      <c r="U599" s="13"/>
      <c r="V599" s="1289"/>
      <c r="W599" s="1076"/>
      <c r="X599" s="1076"/>
      <c r="Y599" s="1358"/>
      <c r="Z599" s="1358"/>
      <c r="AA599" s="1364"/>
      <c r="AB599" s="1364"/>
      <c r="AC599" s="13"/>
      <c r="AD599" s="13"/>
      <c r="AE599" s="1289"/>
      <c r="AF599" s="1372"/>
      <c r="AG599" s="1372"/>
      <c r="AH599" s="1372"/>
      <c r="AI599" s="1372"/>
      <c r="AJ599" s="1372"/>
      <c r="AK599" s="1289"/>
      <c r="AL599" s="1372"/>
      <c r="AM599" s="1372"/>
      <c r="AN599" s="1372"/>
      <c r="AO599" s="1372"/>
      <c r="AP599" s="1372"/>
      <c r="AQ599" s="1289"/>
      <c r="AR599" s="1372"/>
      <c r="AS599" s="1372"/>
      <c r="AT599" s="1372"/>
      <c r="AU599" s="1372"/>
      <c r="AV599" s="1372"/>
      <c r="AW599" s="1372"/>
      <c r="AX599" s="1372"/>
      <c r="AY599" s="1372"/>
      <c r="AZ599" s="1095"/>
      <c r="BA599" s="2"/>
    </row>
    <row r="600" spans="1:53" ht="15.75" customHeight="1">
      <c r="A600" s="1027"/>
      <c r="B600" s="1370"/>
      <c r="C600" s="13"/>
      <c r="D600" s="1371"/>
      <c r="E600" s="1357"/>
      <c r="F600" s="1358"/>
      <c r="G600" s="1358"/>
      <c r="H600" s="1358"/>
      <c r="I600" s="1358"/>
      <c r="J600" s="1076"/>
      <c r="K600" s="1076"/>
      <c r="L600" s="1076"/>
      <c r="M600" s="1289"/>
      <c r="N600" s="1076"/>
      <c r="O600" s="1076"/>
      <c r="P600" s="1358"/>
      <c r="Q600" s="1358"/>
      <c r="R600" s="1364"/>
      <c r="S600" s="1364"/>
      <c r="T600" s="13"/>
      <c r="U600" s="13"/>
      <c r="V600" s="1289"/>
      <c r="W600" s="1076"/>
      <c r="X600" s="1076"/>
      <c r="Y600" s="1358"/>
      <c r="Z600" s="1358"/>
      <c r="AA600" s="1364"/>
      <c r="AB600" s="1364"/>
      <c r="AC600" s="13"/>
      <c r="AD600" s="13"/>
      <c r="AE600" s="1289"/>
      <c r="AF600" s="1372"/>
      <c r="AG600" s="1372"/>
      <c r="AH600" s="1372"/>
      <c r="AI600" s="1372"/>
      <c r="AJ600" s="1372"/>
      <c r="AK600" s="1289"/>
      <c r="AL600" s="1372"/>
      <c r="AM600" s="1372"/>
      <c r="AN600" s="1372"/>
      <c r="AO600" s="1372"/>
      <c r="AP600" s="1372"/>
      <c r="AQ600" s="1289"/>
      <c r="AR600" s="1372"/>
      <c r="AS600" s="1372"/>
      <c r="AT600" s="1372"/>
      <c r="AU600" s="1372"/>
      <c r="AV600" s="1372"/>
      <c r="AW600" s="1372"/>
      <c r="AX600" s="1372"/>
      <c r="AY600" s="1372"/>
      <c r="AZ600" s="1095"/>
      <c r="BA600" s="2"/>
    </row>
    <row r="601" spans="1:53" ht="15.75" customHeight="1">
      <c r="A601" s="1027"/>
      <c r="B601" s="1370"/>
      <c r="C601" s="13"/>
      <c r="D601" s="1371"/>
      <c r="E601" s="1357"/>
      <c r="F601" s="1358"/>
      <c r="G601" s="1358"/>
      <c r="H601" s="1358"/>
      <c r="I601" s="1358"/>
      <c r="J601" s="1076"/>
      <c r="K601" s="1076"/>
      <c r="L601" s="1076"/>
      <c r="M601" s="1289"/>
      <c r="N601" s="1076"/>
      <c r="O601" s="1076"/>
      <c r="P601" s="1358"/>
      <c r="Q601" s="1358"/>
      <c r="R601" s="1364"/>
      <c r="S601" s="1364"/>
      <c r="T601" s="13"/>
      <c r="U601" s="13"/>
      <c r="V601" s="1289"/>
      <c r="W601" s="1076"/>
      <c r="X601" s="1076"/>
      <c r="Y601" s="1358"/>
      <c r="Z601" s="1358"/>
      <c r="AA601" s="1364"/>
      <c r="AB601" s="1364"/>
      <c r="AC601" s="13"/>
      <c r="AD601" s="13"/>
      <c r="AE601" s="1289"/>
      <c r="AF601" s="1372"/>
      <c r="AG601" s="1372"/>
      <c r="AH601" s="1372"/>
      <c r="AI601" s="1372"/>
      <c r="AJ601" s="1372"/>
      <c r="AK601" s="1289"/>
      <c r="AL601" s="1372"/>
      <c r="AM601" s="1372"/>
      <c r="AN601" s="1372"/>
      <c r="AO601" s="1372"/>
      <c r="AP601" s="1372"/>
      <c r="AQ601" s="1289"/>
      <c r="AR601" s="1372"/>
      <c r="AS601" s="1372"/>
      <c r="AT601" s="1372"/>
      <c r="AU601" s="1372"/>
      <c r="AV601" s="1372"/>
      <c r="AW601" s="1372"/>
      <c r="AX601" s="1372"/>
      <c r="AY601" s="1372"/>
      <c r="AZ601" s="1095"/>
      <c r="BA601" s="2"/>
    </row>
    <row r="602" spans="1:53" ht="15.75" customHeight="1">
      <c r="A602" s="1027"/>
      <c r="B602" s="1370"/>
      <c r="C602" s="13"/>
      <c r="D602" s="1371"/>
      <c r="E602" s="1357"/>
      <c r="F602" s="1358"/>
      <c r="G602" s="1358"/>
      <c r="H602" s="1358"/>
      <c r="I602" s="1358"/>
      <c r="J602" s="1076"/>
      <c r="K602" s="1076"/>
      <c r="L602" s="1076"/>
      <c r="M602" s="1289"/>
      <c r="N602" s="1076"/>
      <c r="O602" s="1076"/>
      <c r="P602" s="1358"/>
      <c r="Q602" s="1358"/>
      <c r="R602" s="1364"/>
      <c r="S602" s="1364"/>
      <c r="T602" s="13"/>
      <c r="U602" s="13"/>
      <c r="V602" s="1289"/>
      <c r="W602" s="1076"/>
      <c r="X602" s="1076"/>
      <c r="Y602" s="1358"/>
      <c r="Z602" s="1358"/>
      <c r="AA602" s="1364"/>
      <c r="AB602" s="1364"/>
      <c r="AC602" s="13"/>
      <c r="AD602" s="13"/>
      <c r="AE602" s="1289"/>
      <c r="AF602" s="1372"/>
      <c r="AG602" s="1372"/>
      <c r="AH602" s="1372"/>
      <c r="AI602" s="1372"/>
      <c r="AJ602" s="1372"/>
      <c r="AK602" s="1289"/>
      <c r="AL602" s="1372"/>
      <c r="AM602" s="1372"/>
      <c r="AN602" s="1372"/>
      <c r="AO602" s="1372"/>
      <c r="AP602" s="1372"/>
      <c r="AQ602" s="1289"/>
      <c r="AR602" s="1372"/>
      <c r="AS602" s="1372"/>
      <c r="AT602" s="1372"/>
      <c r="AU602" s="1372"/>
      <c r="AV602" s="1372"/>
      <c r="AW602" s="1372"/>
      <c r="AX602" s="1372"/>
      <c r="AY602" s="1372"/>
      <c r="AZ602" s="1095"/>
      <c r="BA602" s="2"/>
    </row>
    <row r="603" spans="1:53" ht="15.75" customHeight="1">
      <c r="A603" s="1027"/>
      <c r="B603" s="1370"/>
      <c r="C603" s="13"/>
      <c r="D603" s="1371"/>
      <c r="E603" s="1357"/>
      <c r="F603" s="1358"/>
      <c r="G603" s="1358"/>
      <c r="H603" s="1358"/>
      <c r="I603" s="1358"/>
      <c r="J603" s="1076"/>
      <c r="K603" s="1076"/>
      <c r="L603" s="1076"/>
      <c r="M603" s="1289"/>
      <c r="N603" s="1076"/>
      <c r="O603" s="1076"/>
      <c r="P603" s="1358"/>
      <c r="Q603" s="1358"/>
      <c r="R603" s="1364"/>
      <c r="S603" s="1364"/>
      <c r="T603" s="13"/>
      <c r="U603" s="13"/>
      <c r="V603" s="1289"/>
      <c r="W603" s="1076"/>
      <c r="X603" s="1076"/>
      <c r="Y603" s="1358"/>
      <c r="Z603" s="1358"/>
      <c r="AA603" s="1364"/>
      <c r="AB603" s="1364"/>
      <c r="AC603" s="13"/>
      <c r="AD603" s="13"/>
      <c r="AE603" s="1289"/>
      <c r="AF603" s="1372"/>
      <c r="AG603" s="1372"/>
      <c r="AH603" s="1372"/>
      <c r="AI603" s="1372"/>
      <c r="AJ603" s="1372"/>
      <c r="AK603" s="1289"/>
      <c r="AL603" s="1372"/>
      <c r="AM603" s="1372"/>
      <c r="AN603" s="1372"/>
      <c r="AO603" s="1372"/>
      <c r="AP603" s="1372"/>
      <c r="AQ603" s="1289"/>
      <c r="AR603" s="1372"/>
      <c r="AS603" s="1372"/>
      <c r="AT603" s="1372"/>
      <c r="AU603" s="1372"/>
      <c r="AV603" s="1372"/>
      <c r="AW603" s="1372"/>
      <c r="AX603" s="1372"/>
      <c r="AY603" s="1372"/>
      <c r="AZ603" s="1095"/>
      <c r="BA603" s="2"/>
    </row>
    <row r="604" spans="1:53" ht="15.75" customHeight="1">
      <c r="A604" s="1027"/>
      <c r="B604" s="1370"/>
      <c r="C604" s="13"/>
      <c r="D604" s="1371"/>
      <c r="E604" s="1357"/>
      <c r="F604" s="1358"/>
      <c r="G604" s="1358"/>
      <c r="H604" s="1358"/>
      <c r="I604" s="1358"/>
      <c r="J604" s="1076"/>
      <c r="K604" s="1076"/>
      <c r="L604" s="1076"/>
      <c r="M604" s="1289"/>
      <c r="N604" s="1076"/>
      <c r="O604" s="1076"/>
      <c r="P604" s="1358"/>
      <c r="Q604" s="1358"/>
      <c r="R604" s="1364"/>
      <c r="S604" s="1364"/>
      <c r="T604" s="13"/>
      <c r="U604" s="13"/>
      <c r="V604" s="1289"/>
      <c r="W604" s="1076"/>
      <c r="X604" s="1076"/>
      <c r="Y604" s="1358"/>
      <c r="Z604" s="1358"/>
      <c r="AA604" s="1364"/>
      <c r="AB604" s="1364"/>
      <c r="AC604" s="13"/>
      <c r="AD604" s="13"/>
      <c r="AE604" s="1289"/>
      <c r="AF604" s="1372"/>
      <c r="AG604" s="1372"/>
      <c r="AH604" s="1372"/>
      <c r="AI604" s="1372"/>
      <c r="AJ604" s="1372"/>
      <c r="AK604" s="1289"/>
      <c r="AL604" s="1372"/>
      <c r="AM604" s="1372"/>
      <c r="AN604" s="1372"/>
      <c r="AO604" s="1372"/>
      <c r="AP604" s="1372"/>
      <c r="AQ604" s="1289"/>
      <c r="AR604" s="1372"/>
      <c r="AS604" s="1372"/>
      <c r="AT604" s="1372"/>
      <c r="AU604" s="1372"/>
      <c r="AV604" s="1372"/>
      <c r="AW604" s="1372"/>
      <c r="AX604" s="1372"/>
      <c r="AY604" s="1372"/>
      <c r="AZ604" s="1095"/>
      <c r="BA604" s="2"/>
    </row>
    <row r="605" spans="1:53" ht="15.75" customHeight="1">
      <c r="A605" s="1027"/>
      <c r="B605" s="1370"/>
      <c r="C605" s="13"/>
      <c r="D605" s="1371"/>
      <c r="E605" s="1357"/>
      <c r="F605" s="1358"/>
      <c r="G605" s="1358"/>
      <c r="H605" s="1358"/>
      <c r="I605" s="1358"/>
      <c r="J605" s="1076"/>
      <c r="K605" s="1076"/>
      <c r="L605" s="1076"/>
      <c r="M605" s="1289"/>
      <c r="N605" s="1076"/>
      <c r="O605" s="1076"/>
      <c r="P605" s="1358"/>
      <c r="Q605" s="1358"/>
      <c r="R605" s="1364"/>
      <c r="S605" s="1364"/>
      <c r="T605" s="13"/>
      <c r="U605" s="13"/>
      <c r="V605" s="1289"/>
      <c r="W605" s="1076"/>
      <c r="X605" s="1076"/>
      <c r="Y605" s="1358"/>
      <c r="Z605" s="1358"/>
      <c r="AA605" s="1364"/>
      <c r="AB605" s="1364"/>
      <c r="AC605" s="13"/>
      <c r="AD605" s="13"/>
      <c r="AE605" s="1289"/>
      <c r="AF605" s="1372"/>
      <c r="AG605" s="1372"/>
      <c r="AH605" s="1372"/>
      <c r="AI605" s="1372"/>
      <c r="AJ605" s="1372"/>
      <c r="AK605" s="1289"/>
      <c r="AL605" s="1372"/>
      <c r="AM605" s="1372"/>
      <c r="AN605" s="1372"/>
      <c r="AO605" s="1372"/>
      <c r="AP605" s="1372"/>
      <c r="AQ605" s="1289"/>
      <c r="AR605" s="1372"/>
      <c r="AS605" s="1372"/>
      <c r="AT605" s="1372"/>
      <c r="AU605" s="1372"/>
      <c r="AV605" s="1372"/>
      <c r="AW605" s="1372"/>
      <c r="AX605" s="1372"/>
      <c r="AY605" s="1372"/>
      <c r="AZ605" s="1095"/>
      <c r="BA605" s="2"/>
    </row>
    <row r="606" spans="1:53" ht="15.75" customHeight="1">
      <c r="A606" s="1027"/>
      <c r="B606" s="1370"/>
      <c r="C606" s="13"/>
      <c r="D606" s="1371"/>
      <c r="E606" s="1357"/>
      <c r="F606" s="1358"/>
      <c r="G606" s="1358"/>
      <c r="H606" s="1358"/>
      <c r="I606" s="1358"/>
      <c r="J606" s="1076"/>
      <c r="K606" s="1076"/>
      <c r="L606" s="1076"/>
      <c r="M606" s="1289"/>
      <c r="N606" s="1076"/>
      <c r="O606" s="1076"/>
      <c r="P606" s="1358"/>
      <c r="Q606" s="1358"/>
      <c r="R606" s="1364"/>
      <c r="S606" s="1364"/>
      <c r="T606" s="13"/>
      <c r="U606" s="13"/>
      <c r="V606" s="1289"/>
      <c r="W606" s="1076"/>
      <c r="X606" s="1076"/>
      <c r="Y606" s="1358"/>
      <c r="Z606" s="1358"/>
      <c r="AA606" s="1364"/>
      <c r="AB606" s="1364"/>
      <c r="AC606" s="13"/>
      <c r="AD606" s="13"/>
      <c r="AE606" s="1289"/>
      <c r="AF606" s="1372"/>
      <c r="AG606" s="1372"/>
      <c r="AH606" s="1372"/>
      <c r="AI606" s="1372"/>
      <c r="AJ606" s="1372"/>
      <c r="AK606" s="1289"/>
      <c r="AL606" s="1372"/>
      <c r="AM606" s="1372"/>
      <c r="AN606" s="1372"/>
      <c r="AO606" s="1372"/>
      <c r="AP606" s="1372"/>
      <c r="AQ606" s="1289"/>
      <c r="AR606" s="1372"/>
      <c r="AS606" s="1372"/>
      <c r="AT606" s="1372"/>
      <c r="AU606" s="1372"/>
      <c r="AV606" s="1372"/>
      <c r="AW606" s="1372"/>
      <c r="AX606" s="1372"/>
      <c r="AY606" s="1372"/>
      <c r="AZ606" s="1095"/>
      <c r="BA606" s="2"/>
    </row>
    <row r="607" spans="1:53" ht="15.75" customHeight="1">
      <c r="A607" s="1027"/>
      <c r="B607" s="1370"/>
      <c r="C607" s="13"/>
      <c r="D607" s="1371"/>
      <c r="E607" s="1357"/>
      <c r="F607" s="1358"/>
      <c r="G607" s="1358"/>
      <c r="H607" s="1358"/>
      <c r="I607" s="1358"/>
      <c r="J607" s="1076"/>
      <c r="K607" s="1076"/>
      <c r="L607" s="1076"/>
      <c r="M607" s="1289"/>
      <c r="N607" s="1076"/>
      <c r="O607" s="1076"/>
      <c r="P607" s="1358"/>
      <c r="Q607" s="1358"/>
      <c r="R607" s="1364"/>
      <c r="S607" s="1364"/>
      <c r="T607" s="13"/>
      <c r="U607" s="13"/>
      <c r="V607" s="1289"/>
      <c r="W607" s="1076"/>
      <c r="X607" s="1076"/>
      <c r="Y607" s="1358"/>
      <c r="Z607" s="1358"/>
      <c r="AA607" s="1364"/>
      <c r="AB607" s="1364"/>
      <c r="AC607" s="13"/>
      <c r="AD607" s="13"/>
      <c r="AE607" s="1289"/>
      <c r="AF607" s="1372"/>
      <c r="AG607" s="1372"/>
      <c r="AH607" s="1372"/>
      <c r="AI607" s="1372"/>
      <c r="AJ607" s="1372"/>
      <c r="AK607" s="1289"/>
      <c r="AL607" s="1372"/>
      <c r="AM607" s="1372"/>
      <c r="AN607" s="1372"/>
      <c r="AO607" s="1372"/>
      <c r="AP607" s="1372"/>
      <c r="AQ607" s="1289"/>
      <c r="AR607" s="1372"/>
      <c r="AS607" s="1372"/>
      <c r="AT607" s="1372"/>
      <c r="AU607" s="1372"/>
      <c r="AV607" s="1372"/>
      <c r="AW607" s="1372"/>
      <c r="AX607" s="1372"/>
      <c r="AY607" s="1372"/>
      <c r="AZ607" s="1095"/>
      <c r="BA607" s="2"/>
    </row>
    <row r="608" spans="1:53" ht="15.75" customHeight="1">
      <c r="A608" s="1027"/>
      <c r="B608" s="1370"/>
      <c r="C608" s="13"/>
      <c r="D608" s="1371"/>
      <c r="E608" s="1357"/>
      <c r="F608" s="1358"/>
      <c r="G608" s="1358"/>
      <c r="H608" s="1358"/>
      <c r="I608" s="1358"/>
      <c r="J608" s="1076"/>
      <c r="K608" s="1076"/>
      <c r="L608" s="1076"/>
      <c r="M608" s="1289"/>
      <c r="N608" s="1076"/>
      <c r="O608" s="1076"/>
      <c r="P608" s="1358"/>
      <c r="Q608" s="1358"/>
      <c r="R608" s="1364"/>
      <c r="S608" s="1364"/>
      <c r="T608" s="13"/>
      <c r="U608" s="13"/>
      <c r="V608" s="1289"/>
      <c r="W608" s="1076"/>
      <c r="X608" s="1076"/>
      <c r="Y608" s="1358"/>
      <c r="Z608" s="1358"/>
      <c r="AA608" s="1364"/>
      <c r="AB608" s="1364"/>
      <c r="AC608" s="13"/>
      <c r="AD608" s="13"/>
      <c r="AE608" s="1289"/>
      <c r="AF608" s="1372"/>
      <c r="AG608" s="1372"/>
      <c r="AH608" s="1372"/>
      <c r="AI608" s="1372"/>
      <c r="AJ608" s="1372"/>
      <c r="AK608" s="1289"/>
      <c r="AL608" s="1372"/>
      <c r="AM608" s="1372"/>
      <c r="AN608" s="1372"/>
      <c r="AO608" s="1372"/>
      <c r="AP608" s="1372"/>
      <c r="AQ608" s="1289"/>
      <c r="AR608" s="1372"/>
      <c r="AS608" s="1372"/>
      <c r="AT608" s="1372"/>
      <c r="AU608" s="1372"/>
      <c r="AV608" s="1372"/>
      <c r="AW608" s="1372"/>
      <c r="AX608" s="1372"/>
      <c r="AY608" s="1372"/>
      <c r="AZ608" s="1095"/>
      <c r="BA608" s="2"/>
    </row>
    <row r="609" spans="1:53" ht="15.75" customHeight="1">
      <c r="A609" s="1027"/>
      <c r="B609" s="1370"/>
      <c r="C609" s="13"/>
      <c r="D609" s="1371"/>
      <c r="E609" s="1357"/>
      <c r="F609" s="1358"/>
      <c r="G609" s="1358"/>
      <c r="H609" s="1358"/>
      <c r="I609" s="1358"/>
      <c r="J609" s="1076"/>
      <c r="K609" s="1076"/>
      <c r="L609" s="1076"/>
      <c r="M609" s="1289"/>
      <c r="N609" s="1076"/>
      <c r="O609" s="1076"/>
      <c r="P609" s="1358"/>
      <c r="Q609" s="1358"/>
      <c r="R609" s="1364"/>
      <c r="S609" s="1364"/>
      <c r="T609" s="13"/>
      <c r="U609" s="13"/>
      <c r="V609" s="1289"/>
      <c r="W609" s="1076"/>
      <c r="X609" s="1076"/>
      <c r="Y609" s="1358"/>
      <c r="Z609" s="1358"/>
      <c r="AA609" s="1364"/>
      <c r="AB609" s="1364"/>
      <c r="AC609" s="13"/>
      <c r="AD609" s="13"/>
      <c r="AE609" s="1289"/>
      <c r="AF609" s="1372"/>
      <c r="AG609" s="1372"/>
      <c r="AH609" s="1372"/>
      <c r="AI609" s="1372"/>
      <c r="AJ609" s="1372"/>
      <c r="AK609" s="1289"/>
      <c r="AL609" s="1372"/>
      <c r="AM609" s="1372"/>
      <c r="AN609" s="1372"/>
      <c r="AO609" s="1372"/>
      <c r="AP609" s="1372"/>
      <c r="AQ609" s="1289"/>
      <c r="AR609" s="1372"/>
      <c r="AS609" s="1372"/>
      <c r="AT609" s="1372"/>
      <c r="AU609" s="1372"/>
      <c r="AV609" s="1372"/>
      <c r="AW609" s="1372"/>
      <c r="AX609" s="1372"/>
      <c r="AY609" s="1372"/>
      <c r="AZ609" s="1095"/>
      <c r="BA609" s="2"/>
    </row>
    <row r="610" spans="1:53" ht="15.75" customHeight="1">
      <c r="A610" s="1027"/>
      <c r="B610" s="1370"/>
      <c r="C610" s="13"/>
      <c r="D610" s="1371"/>
      <c r="E610" s="1357"/>
      <c r="F610" s="1358"/>
      <c r="G610" s="1358"/>
      <c r="H610" s="1358"/>
      <c r="I610" s="1358"/>
      <c r="J610" s="1076"/>
      <c r="K610" s="1076"/>
      <c r="L610" s="1076"/>
      <c r="M610" s="1289"/>
      <c r="N610" s="1076"/>
      <c r="O610" s="1076"/>
      <c r="P610" s="1358"/>
      <c r="Q610" s="1358"/>
      <c r="R610" s="1364"/>
      <c r="S610" s="1364"/>
      <c r="T610" s="13"/>
      <c r="U610" s="13"/>
      <c r="V610" s="1289"/>
      <c r="W610" s="1076"/>
      <c r="X610" s="1076"/>
      <c r="Y610" s="1358"/>
      <c r="Z610" s="1358"/>
      <c r="AA610" s="1364"/>
      <c r="AB610" s="1364"/>
      <c r="AC610" s="13"/>
      <c r="AD610" s="13"/>
      <c r="AE610" s="1289"/>
      <c r="AF610" s="1372"/>
      <c r="AG610" s="1372"/>
      <c r="AH610" s="1372"/>
      <c r="AI610" s="1372"/>
      <c r="AJ610" s="1372"/>
      <c r="AK610" s="1289"/>
      <c r="AL610" s="1372"/>
      <c r="AM610" s="1372"/>
      <c r="AN610" s="1372"/>
      <c r="AO610" s="1372"/>
      <c r="AP610" s="1372"/>
      <c r="AQ610" s="1289"/>
      <c r="AR610" s="1372"/>
      <c r="AS610" s="1372"/>
      <c r="AT610" s="1372"/>
      <c r="AU610" s="1372"/>
      <c r="AV610" s="1372"/>
      <c r="AW610" s="1372"/>
      <c r="AX610" s="1372"/>
      <c r="AY610" s="1372"/>
      <c r="AZ610" s="1095"/>
      <c r="BA610" s="2"/>
    </row>
    <row r="611" spans="1:53" ht="15.75" customHeight="1">
      <c r="A611" s="1027"/>
      <c r="B611" s="1370"/>
      <c r="C611" s="13"/>
      <c r="D611" s="1371"/>
      <c r="E611" s="1357"/>
      <c r="F611" s="1358"/>
      <c r="G611" s="1358"/>
      <c r="H611" s="1358"/>
      <c r="I611" s="1358"/>
      <c r="J611" s="1076"/>
      <c r="K611" s="1076"/>
      <c r="L611" s="1076"/>
      <c r="M611" s="1289"/>
      <c r="N611" s="1076"/>
      <c r="O611" s="1076"/>
      <c r="P611" s="1358"/>
      <c r="Q611" s="1358"/>
      <c r="R611" s="1364"/>
      <c r="S611" s="1364"/>
      <c r="T611" s="13"/>
      <c r="U611" s="13"/>
      <c r="V611" s="1289"/>
      <c r="W611" s="1076"/>
      <c r="X611" s="1076"/>
      <c r="Y611" s="1358"/>
      <c r="Z611" s="1358"/>
      <c r="AA611" s="1364"/>
      <c r="AB611" s="1364"/>
      <c r="AC611" s="13"/>
      <c r="AD611" s="13"/>
      <c r="AE611" s="1289"/>
      <c r="AF611" s="1372"/>
      <c r="AG611" s="1372"/>
      <c r="AH611" s="1372"/>
      <c r="AI611" s="1372"/>
      <c r="AJ611" s="1372"/>
      <c r="AK611" s="1289"/>
      <c r="AL611" s="1372"/>
      <c r="AM611" s="1372"/>
      <c r="AN611" s="1372"/>
      <c r="AO611" s="1372"/>
      <c r="AP611" s="1372"/>
      <c r="AQ611" s="1289"/>
      <c r="AR611" s="1372"/>
      <c r="AS611" s="1372"/>
      <c r="AT611" s="1372"/>
      <c r="AU611" s="1372"/>
      <c r="AV611" s="1372"/>
      <c r="AW611" s="1372"/>
      <c r="AX611" s="1372"/>
      <c r="AY611" s="1372"/>
      <c r="AZ611" s="1095"/>
      <c r="BA611" s="2"/>
    </row>
    <row r="612" spans="1:53" ht="15.75" customHeight="1">
      <c r="A612" s="1027"/>
      <c r="B612" s="1370"/>
      <c r="C612" s="13"/>
      <c r="D612" s="1371"/>
      <c r="E612" s="1357"/>
      <c r="F612" s="1358"/>
      <c r="G612" s="1358"/>
      <c r="H612" s="1358"/>
      <c r="I612" s="1358"/>
      <c r="J612" s="1076"/>
      <c r="K612" s="1076"/>
      <c r="L612" s="1076"/>
      <c r="M612" s="1289"/>
      <c r="N612" s="1076"/>
      <c r="O612" s="1076"/>
      <c r="P612" s="1358"/>
      <c r="Q612" s="1358"/>
      <c r="R612" s="1364"/>
      <c r="S612" s="1364"/>
      <c r="T612" s="13"/>
      <c r="U612" s="13"/>
      <c r="V612" s="1289"/>
      <c r="W612" s="1076"/>
      <c r="X612" s="1076"/>
      <c r="Y612" s="1358"/>
      <c r="Z612" s="1358"/>
      <c r="AA612" s="1364"/>
      <c r="AB612" s="1364"/>
      <c r="AC612" s="13"/>
      <c r="AD612" s="13"/>
      <c r="AE612" s="1289"/>
      <c r="AF612" s="1372"/>
      <c r="AG612" s="1372"/>
      <c r="AH612" s="1372"/>
      <c r="AI612" s="1372"/>
      <c r="AJ612" s="1372"/>
      <c r="AK612" s="1289"/>
      <c r="AL612" s="1372"/>
      <c r="AM612" s="1372"/>
      <c r="AN612" s="1372"/>
      <c r="AO612" s="1372"/>
      <c r="AP612" s="1372"/>
      <c r="AQ612" s="1289"/>
      <c r="AR612" s="1372"/>
      <c r="AS612" s="1372"/>
      <c r="AT612" s="1372"/>
      <c r="AU612" s="1372"/>
      <c r="AV612" s="1372"/>
      <c r="AW612" s="1372"/>
      <c r="AX612" s="1372"/>
      <c r="AY612" s="1372"/>
      <c r="AZ612" s="1095"/>
      <c r="BA612" s="2"/>
    </row>
    <row r="613" spans="1:53" ht="15.75" customHeight="1">
      <c r="A613" s="1027"/>
      <c r="B613" s="1370"/>
      <c r="C613" s="13"/>
      <c r="D613" s="1371"/>
      <c r="E613" s="1357"/>
      <c r="F613" s="1358"/>
      <c r="G613" s="1358"/>
      <c r="H613" s="1358"/>
      <c r="I613" s="1358"/>
      <c r="J613" s="1076"/>
      <c r="K613" s="1076"/>
      <c r="L613" s="1076"/>
      <c r="M613" s="1289"/>
      <c r="N613" s="1076"/>
      <c r="O613" s="1076"/>
      <c r="P613" s="1358"/>
      <c r="Q613" s="1358"/>
      <c r="R613" s="1364"/>
      <c r="S613" s="1364"/>
      <c r="T613" s="13"/>
      <c r="U613" s="13"/>
      <c r="V613" s="1289"/>
      <c r="W613" s="1076"/>
      <c r="X613" s="1076"/>
      <c r="Y613" s="1358"/>
      <c r="Z613" s="1358"/>
      <c r="AA613" s="1364"/>
      <c r="AB613" s="1364"/>
      <c r="AC613" s="13"/>
      <c r="AD613" s="13"/>
      <c r="AE613" s="1289"/>
      <c r="AF613" s="1372"/>
      <c r="AG613" s="1372"/>
      <c r="AH613" s="1372"/>
      <c r="AI613" s="1372"/>
      <c r="AJ613" s="1372"/>
      <c r="AK613" s="1289"/>
      <c r="AL613" s="1372"/>
      <c r="AM613" s="1372"/>
      <c r="AN613" s="1372"/>
      <c r="AO613" s="1372"/>
      <c r="AP613" s="1372"/>
      <c r="AQ613" s="1289"/>
      <c r="AR613" s="1372"/>
      <c r="AS613" s="1372"/>
      <c r="AT613" s="1372"/>
      <c r="AU613" s="1372"/>
      <c r="AV613" s="1372"/>
      <c r="AW613" s="1372"/>
      <c r="AX613" s="1372"/>
      <c r="AY613" s="1372"/>
      <c r="AZ613" s="1095"/>
      <c r="BA613" s="2"/>
    </row>
    <row r="614" spans="1:53" ht="15.75" customHeight="1">
      <c r="A614" s="1027"/>
      <c r="B614" s="1370"/>
      <c r="C614" s="13"/>
      <c r="D614" s="1371"/>
      <c r="E614" s="1357"/>
      <c r="F614" s="1358"/>
      <c r="G614" s="1358"/>
      <c r="H614" s="1358"/>
      <c r="I614" s="1358"/>
      <c r="J614" s="1076"/>
      <c r="K614" s="1076"/>
      <c r="L614" s="1076"/>
      <c r="M614" s="1289"/>
      <c r="N614" s="1076"/>
      <c r="O614" s="1076"/>
      <c r="P614" s="1358"/>
      <c r="Q614" s="1358"/>
      <c r="R614" s="1364"/>
      <c r="S614" s="1364"/>
      <c r="T614" s="13"/>
      <c r="U614" s="13"/>
      <c r="V614" s="1289"/>
      <c r="W614" s="1076"/>
      <c r="X614" s="1076"/>
      <c r="Y614" s="1358"/>
      <c r="Z614" s="1358"/>
      <c r="AA614" s="1364"/>
      <c r="AB614" s="1364"/>
      <c r="AC614" s="13"/>
      <c r="AD614" s="13"/>
      <c r="AE614" s="1289"/>
      <c r="AF614" s="1372"/>
      <c r="AG614" s="1372"/>
      <c r="AH614" s="1372"/>
      <c r="AI614" s="1372"/>
      <c r="AJ614" s="1372"/>
      <c r="AK614" s="1289"/>
      <c r="AL614" s="1372"/>
      <c r="AM614" s="1372"/>
      <c r="AN614" s="1372"/>
      <c r="AO614" s="1372"/>
      <c r="AP614" s="1372"/>
      <c r="AQ614" s="1289"/>
      <c r="AR614" s="1372"/>
      <c r="AS614" s="1372"/>
      <c r="AT614" s="1372"/>
      <c r="AU614" s="1372"/>
      <c r="AV614" s="1372"/>
      <c r="AW614" s="1372"/>
      <c r="AX614" s="1372"/>
      <c r="AY614" s="1372"/>
      <c r="AZ614" s="1095"/>
      <c r="BA614" s="2"/>
    </row>
    <row r="615" spans="1:53" ht="15.75" customHeight="1">
      <c r="A615" s="1027"/>
      <c r="B615" s="1370"/>
      <c r="C615" s="13"/>
      <c r="D615" s="1371"/>
      <c r="E615" s="1357"/>
      <c r="F615" s="1358"/>
      <c r="G615" s="1358"/>
      <c r="H615" s="1358"/>
      <c r="I615" s="1358"/>
      <c r="J615" s="1076"/>
      <c r="K615" s="1076"/>
      <c r="L615" s="1076"/>
      <c r="M615" s="1289"/>
      <c r="N615" s="1076"/>
      <c r="O615" s="1076"/>
      <c r="P615" s="1358"/>
      <c r="Q615" s="1358"/>
      <c r="R615" s="1364"/>
      <c r="S615" s="1364"/>
      <c r="T615" s="13"/>
      <c r="U615" s="13"/>
      <c r="V615" s="1289"/>
      <c r="W615" s="1076"/>
      <c r="X615" s="1076"/>
      <c r="Y615" s="1358"/>
      <c r="Z615" s="1358"/>
      <c r="AA615" s="1364"/>
      <c r="AB615" s="1364"/>
      <c r="AC615" s="13"/>
      <c r="AD615" s="13"/>
      <c r="AE615" s="1289"/>
      <c r="AF615" s="1372"/>
      <c r="AG615" s="1372"/>
      <c r="AH615" s="1372"/>
      <c r="AI615" s="1372"/>
      <c r="AJ615" s="1372"/>
      <c r="AK615" s="1289"/>
      <c r="AL615" s="1372"/>
      <c r="AM615" s="1372"/>
      <c r="AN615" s="1372"/>
      <c r="AO615" s="1372"/>
      <c r="AP615" s="1372"/>
      <c r="AQ615" s="1289"/>
      <c r="AR615" s="1372"/>
      <c r="AS615" s="1372"/>
      <c r="AT615" s="1372"/>
      <c r="AU615" s="1372"/>
      <c r="AV615" s="1372"/>
      <c r="AW615" s="1372"/>
      <c r="AX615" s="1372"/>
      <c r="AY615" s="1372"/>
      <c r="AZ615" s="1095"/>
      <c r="BA615" s="2"/>
    </row>
    <row r="616" spans="1:53" ht="15.75" customHeight="1">
      <c r="A616" s="1027"/>
      <c r="B616" s="1370"/>
      <c r="C616" s="13"/>
      <c r="D616" s="1371"/>
      <c r="E616" s="1357"/>
      <c r="F616" s="1358"/>
      <c r="G616" s="1358"/>
      <c r="H616" s="1358"/>
      <c r="I616" s="1358"/>
      <c r="J616" s="1076"/>
      <c r="K616" s="1076"/>
      <c r="L616" s="1076"/>
      <c r="M616" s="1289"/>
      <c r="N616" s="1076"/>
      <c r="O616" s="1076"/>
      <c r="P616" s="1358"/>
      <c r="Q616" s="1358"/>
      <c r="R616" s="1364"/>
      <c r="S616" s="1364"/>
      <c r="T616" s="13"/>
      <c r="U616" s="13"/>
      <c r="V616" s="1289"/>
      <c r="W616" s="1076"/>
      <c r="X616" s="1076"/>
      <c r="Y616" s="1358"/>
      <c r="Z616" s="1358"/>
      <c r="AA616" s="1364"/>
      <c r="AB616" s="1364"/>
      <c r="AC616" s="13"/>
      <c r="AD616" s="13"/>
      <c r="AE616" s="1289"/>
      <c r="AF616" s="1372"/>
      <c r="AG616" s="1372"/>
      <c r="AH616" s="1372"/>
      <c r="AI616" s="1372"/>
      <c r="AJ616" s="1372"/>
      <c r="AK616" s="1289"/>
      <c r="AL616" s="1372"/>
      <c r="AM616" s="1372"/>
      <c r="AN616" s="1372"/>
      <c r="AO616" s="1372"/>
      <c r="AP616" s="1372"/>
      <c r="AQ616" s="1289"/>
      <c r="AR616" s="1372"/>
      <c r="AS616" s="1372"/>
      <c r="AT616" s="1372"/>
      <c r="AU616" s="1372"/>
      <c r="AV616" s="1372"/>
      <c r="AW616" s="1372"/>
      <c r="AX616" s="1372"/>
      <c r="AY616" s="1372"/>
      <c r="AZ616" s="1095"/>
      <c r="BA616" s="2"/>
    </row>
    <row r="617" spans="1:53" ht="15.75" customHeight="1">
      <c r="A617" s="1027"/>
      <c r="B617" s="1370"/>
      <c r="C617" s="13"/>
      <c r="D617" s="1371"/>
      <c r="E617" s="1357"/>
      <c r="F617" s="1358"/>
      <c r="G617" s="1358"/>
      <c r="H617" s="1358"/>
      <c r="I617" s="1358"/>
      <c r="J617" s="1076"/>
      <c r="K617" s="1076"/>
      <c r="L617" s="1076"/>
      <c r="M617" s="1289"/>
      <c r="N617" s="1076"/>
      <c r="O617" s="1076"/>
      <c r="P617" s="1358"/>
      <c r="Q617" s="1358"/>
      <c r="R617" s="1364"/>
      <c r="S617" s="1364"/>
      <c r="T617" s="13"/>
      <c r="U617" s="13"/>
      <c r="V617" s="1289"/>
      <c r="W617" s="1076"/>
      <c r="X617" s="1076"/>
      <c r="Y617" s="1358"/>
      <c r="Z617" s="1358"/>
      <c r="AA617" s="1364"/>
      <c r="AB617" s="1364"/>
      <c r="AC617" s="13"/>
      <c r="AD617" s="13"/>
      <c r="AE617" s="1289"/>
      <c r="AF617" s="1372"/>
      <c r="AG617" s="1372"/>
      <c r="AH617" s="1372"/>
      <c r="AI617" s="1372"/>
      <c r="AJ617" s="1372"/>
      <c r="AK617" s="1289"/>
      <c r="AL617" s="1372"/>
      <c r="AM617" s="1372"/>
      <c r="AN617" s="1372"/>
      <c r="AO617" s="1372"/>
      <c r="AP617" s="1372"/>
      <c r="AQ617" s="1289"/>
      <c r="AR617" s="1372"/>
      <c r="AS617" s="1372"/>
      <c r="AT617" s="1372"/>
      <c r="AU617" s="1372"/>
      <c r="AV617" s="1372"/>
      <c r="AW617" s="1372"/>
      <c r="AX617" s="1372"/>
      <c r="AY617" s="1372"/>
      <c r="AZ617" s="1095"/>
      <c r="BA617" s="2"/>
    </row>
    <row r="618" spans="1:53" ht="15.75" customHeight="1">
      <c r="A618" s="1027"/>
      <c r="B618" s="1370"/>
      <c r="C618" s="13"/>
      <c r="D618" s="1371"/>
      <c r="E618" s="1357"/>
      <c r="F618" s="1358"/>
      <c r="G618" s="1358"/>
      <c r="H618" s="1358"/>
      <c r="I618" s="1358"/>
      <c r="J618" s="1076"/>
      <c r="K618" s="1076"/>
      <c r="L618" s="1076"/>
      <c r="M618" s="1289"/>
      <c r="N618" s="1076"/>
      <c r="O618" s="1076"/>
      <c r="P618" s="1358"/>
      <c r="Q618" s="1358"/>
      <c r="R618" s="1364"/>
      <c r="S618" s="1364"/>
      <c r="T618" s="13"/>
      <c r="U618" s="13"/>
      <c r="V618" s="1289"/>
      <c r="W618" s="1076"/>
      <c r="X618" s="1076"/>
      <c r="Y618" s="1358"/>
      <c r="Z618" s="1358"/>
      <c r="AA618" s="1364"/>
      <c r="AB618" s="1364"/>
      <c r="AC618" s="13"/>
      <c r="AD618" s="13"/>
      <c r="AE618" s="1289"/>
      <c r="AF618" s="1372"/>
      <c r="AG618" s="1372"/>
      <c r="AH618" s="1372"/>
      <c r="AI618" s="1372"/>
      <c r="AJ618" s="1372"/>
      <c r="AK618" s="1289"/>
      <c r="AL618" s="1372"/>
      <c r="AM618" s="1372"/>
      <c r="AN618" s="1372"/>
      <c r="AO618" s="1372"/>
      <c r="AP618" s="1372"/>
      <c r="AQ618" s="1289"/>
      <c r="AR618" s="1372"/>
      <c r="AS618" s="1372"/>
      <c r="AT618" s="1372"/>
      <c r="AU618" s="1372"/>
      <c r="AV618" s="1372"/>
      <c r="AW618" s="1372"/>
      <c r="AX618" s="1372"/>
      <c r="AY618" s="1372"/>
      <c r="AZ618" s="1095"/>
      <c r="BA618" s="2"/>
    </row>
    <row r="619" spans="1:53" ht="15.75" customHeight="1">
      <c r="A619" s="1027"/>
      <c r="B619" s="1370"/>
      <c r="C619" s="13"/>
      <c r="D619" s="1371"/>
      <c r="E619" s="1357"/>
      <c r="F619" s="1358"/>
      <c r="G619" s="1358"/>
      <c r="H619" s="1358"/>
      <c r="I619" s="1358"/>
      <c r="J619" s="1076"/>
      <c r="K619" s="1076"/>
      <c r="L619" s="1076"/>
      <c r="M619" s="1289"/>
      <c r="N619" s="1076"/>
      <c r="O619" s="1076"/>
      <c r="P619" s="1358"/>
      <c r="Q619" s="1358"/>
      <c r="R619" s="1364"/>
      <c r="S619" s="1364"/>
      <c r="T619" s="13"/>
      <c r="U619" s="13"/>
      <c r="V619" s="1289"/>
      <c r="W619" s="1076"/>
      <c r="X619" s="1076"/>
      <c r="Y619" s="1358"/>
      <c r="Z619" s="1358"/>
      <c r="AA619" s="1364"/>
      <c r="AB619" s="1364"/>
      <c r="AC619" s="13"/>
      <c r="AD619" s="13"/>
      <c r="AE619" s="1289"/>
      <c r="AF619" s="1372"/>
      <c r="AG619" s="1372"/>
      <c r="AH619" s="1372"/>
      <c r="AI619" s="1372"/>
      <c r="AJ619" s="1372"/>
      <c r="AK619" s="1289"/>
      <c r="AL619" s="1372"/>
      <c r="AM619" s="1372"/>
      <c r="AN619" s="1372"/>
      <c r="AO619" s="1372"/>
      <c r="AP619" s="1372"/>
      <c r="AQ619" s="1289"/>
      <c r="AR619" s="1372"/>
      <c r="AS619" s="1372"/>
      <c r="AT619" s="1372"/>
      <c r="AU619" s="1372"/>
      <c r="AV619" s="1372"/>
      <c r="AW619" s="1372"/>
      <c r="AX619" s="1372"/>
      <c r="AY619" s="1372"/>
      <c r="AZ619" s="1095"/>
      <c r="BA619" s="2"/>
    </row>
    <row r="620" spans="1:53" ht="15.75" customHeight="1">
      <c r="A620" s="1027"/>
      <c r="B620" s="1370"/>
      <c r="C620" s="13"/>
      <c r="D620" s="1371"/>
      <c r="E620" s="1357"/>
      <c r="F620" s="1358"/>
      <c r="G620" s="1358"/>
      <c r="H620" s="1358"/>
      <c r="I620" s="1358"/>
      <c r="J620" s="1076"/>
      <c r="K620" s="1076"/>
      <c r="L620" s="1076"/>
      <c r="M620" s="1289"/>
      <c r="N620" s="1076"/>
      <c r="O620" s="1076"/>
      <c r="P620" s="1358"/>
      <c r="Q620" s="1358"/>
      <c r="R620" s="1364"/>
      <c r="S620" s="1364"/>
      <c r="T620" s="13"/>
      <c r="U620" s="13"/>
      <c r="V620" s="1289"/>
      <c r="W620" s="1076"/>
      <c r="X620" s="1076"/>
      <c r="Y620" s="1358"/>
      <c r="Z620" s="1358"/>
      <c r="AA620" s="1364"/>
      <c r="AB620" s="1364"/>
      <c r="AC620" s="13"/>
      <c r="AD620" s="13"/>
      <c r="AE620" s="1289"/>
      <c r="AF620" s="1372"/>
      <c r="AG620" s="1372"/>
      <c r="AH620" s="1372"/>
      <c r="AI620" s="1372"/>
      <c r="AJ620" s="1372"/>
      <c r="AK620" s="1289"/>
      <c r="AL620" s="1372"/>
      <c r="AM620" s="1372"/>
      <c r="AN620" s="1372"/>
      <c r="AO620" s="1372"/>
      <c r="AP620" s="1372"/>
      <c r="AQ620" s="1289"/>
      <c r="AR620" s="1372"/>
      <c r="AS620" s="1372"/>
      <c r="AT620" s="1372"/>
      <c r="AU620" s="1372"/>
      <c r="AV620" s="1372"/>
      <c r="AW620" s="1372"/>
      <c r="AX620" s="1372"/>
      <c r="AY620" s="1372"/>
      <c r="AZ620" s="1095"/>
      <c r="BA620" s="2"/>
    </row>
    <row r="621" spans="1:53" ht="15.75" customHeight="1">
      <c r="A621" s="1027"/>
      <c r="B621" s="1370"/>
      <c r="C621" s="13"/>
      <c r="D621" s="1371"/>
      <c r="E621" s="1357"/>
      <c r="F621" s="1358"/>
      <c r="G621" s="1358"/>
      <c r="H621" s="1358"/>
      <c r="I621" s="1358"/>
      <c r="J621" s="1076"/>
      <c r="K621" s="1076"/>
      <c r="L621" s="1076"/>
      <c r="M621" s="1289"/>
      <c r="N621" s="1076"/>
      <c r="O621" s="1076"/>
      <c r="P621" s="1358"/>
      <c r="Q621" s="1358"/>
      <c r="R621" s="1364"/>
      <c r="S621" s="1364"/>
      <c r="T621" s="13"/>
      <c r="U621" s="13"/>
      <c r="V621" s="1289"/>
      <c r="W621" s="1076"/>
      <c r="X621" s="1076"/>
      <c r="Y621" s="1358"/>
      <c r="Z621" s="1358"/>
      <c r="AA621" s="1364"/>
      <c r="AB621" s="1364"/>
      <c r="AC621" s="13"/>
      <c r="AD621" s="13"/>
      <c r="AE621" s="1289"/>
      <c r="AF621" s="1372"/>
      <c r="AG621" s="1372"/>
      <c r="AH621" s="1372"/>
      <c r="AI621" s="1372"/>
      <c r="AJ621" s="1372"/>
      <c r="AK621" s="1289"/>
      <c r="AL621" s="1372"/>
      <c r="AM621" s="1372"/>
      <c r="AN621" s="1372"/>
      <c r="AO621" s="1372"/>
      <c r="AP621" s="1372"/>
      <c r="AQ621" s="1289"/>
      <c r="AR621" s="1372"/>
      <c r="AS621" s="1372"/>
      <c r="AT621" s="1372"/>
      <c r="AU621" s="1372"/>
      <c r="AV621" s="1372"/>
      <c r="AW621" s="1372"/>
      <c r="AX621" s="1372"/>
      <c r="AY621" s="1372"/>
      <c r="AZ621" s="1095"/>
      <c r="BA621" s="2"/>
    </row>
    <row r="622" spans="1:53" ht="15.75" customHeight="1">
      <c r="A622" s="1027"/>
      <c r="B622" s="1370"/>
      <c r="C622" s="13"/>
      <c r="D622" s="1371"/>
      <c r="E622" s="1357"/>
      <c r="F622" s="1358"/>
      <c r="G622" s="1358"/>
      <c r="H622" s="1358"/>
      <c r="I622" s="1358"/>
      <c r="J622" s="1076"/>
      <c r="K622" s="1076"/>
      <c r="L622" s="1076"/>
      <c r="M622" s="1289"/>
      <c r="N622" s="1076"/>
      <c r="O622" s="1076"/>
      <c r="P622" s="1358"/>
      <c r="Q622" s="1358"/>
      <c r="R622" s="1364"/>
      <c r="S622" s="1364"/>
      <c r="T622" s="13"/>
      <c r="U622" s="13"/>
      <c r="V622" s="1289"/>
      <c r="W622" s="1076"/>
      <c r="X622" s="1076"/>
      <c r="Y622" s="1358"/>
      <c r="Z622" s="1358"/>
      <c r="AA622" s="1364"/>
      <c r="AB622" s="1364"/>
      <c r="AC622" s="13"/>
      <c r="AD622" s="13"/>
      <c r="AE622" s="1289"/>
      <c r="AF622" s="1372"/>
      <c r="AG622" s="1372"/>
      <c r="AH622" s="1372"/>
      <c r="AI622" s="1372"/>
      <c r="AJ622" s="1372"/>
      <c r="AK622" s="1289"/>
      <c r="AL622" s="1372"/>
      <c r="AM622" s="1372"/>
      <c r="AN622" s="1372"/>
      <c r="AO622" s="1372"/>
      <c r="AP622" s="1372"/>
      <c r="AQ622" s="1289"/>
      <c r="AR622" s="1372"/>
      <c r="AS622" s="1372"/>
      <c r="AT622" s="1372"/>
      <c r="AU622" s="1372"/>
      <c r="AV622" s="1372"/>
      <c r="AW622" s="1372"/>
      <c r="AX622" s="1372"/>
      <c r="AY622" s="1372"/>
      <c r="AZ622" s="1095"/>
      <c r="BA622" s="2"/>
    </row>
    <row r="623" spans="1:53" ht="15.75" customHeight="1">
      <c r="A623" s="1027"/>
      <c r="B623" s="1370"/>
      <c r="C623" s="13"/>
      <c r="D623" s="1371"/>
      <c r="E623" s="1357"/>
      <c r="F623" s="1358"/>
      <c r="G623" s="1358"/>
      <c r="H623" s="1358"/>
      <c r="I623" s="1358"/>
      <c r="J623" s="1076"/>
      <c r="K623" s="1076"/>
      <c r="L623" s="1076"/>
      <c r="M623" s="1289"/>
      <c r="N623" s="1076"/>
      <c r="O623" s="1076"/>
      <c r="P623" s="1358"/>
      <c r="Q623" s="1358"/>
      <c r="R623" s="1364"/>
      <c r="S623" s="1364"/>
      <c r="T623" s="13"/>
      <c r="U623" s="13"/>
      <c r="V623" s="1289"/>
      <c r="W623" s="1076"/>
      <c r="X623" s="1076"/>
      <c r="Y623" s="1358"/>
      <c r="Z623" s="1358"/>
      <c r="AA623" s="1364"/>
      <c r="AB623" s="1364"/>
      <c r="AC623" s="13"/>
      <c r="AD623" s="13"/>
      <c r="AE623" s="1289"/>
      <c r="AF623" s="1372"/>
      <c r="AG623" s="1372"/>
      <c r="AH623" s="1372"/>
      <c r="AI623" s="1372"/>
      <c r="AJ623" s="1372"/>
      <c r="AK623" s="1289"/>
      <c r="AL623" s="1372"/>
      <c r="AM623" s="1372"/>
      <c r="AN623" s="1372"/>
      <c r="AO623" s="1372"/>
      <c r="AP623" s="1372"/>
      <c r="AQ623" s="1289"/>
      <c r="AR623" s="1372"/>
      <c r="AS623" s="1372"/>
      <c r="AT623" s="1372"/>
      <c r="AU623" s="1372"/>
      <c r="AV623" s="1372"/>
      <c r="AW623" s="1372"/>
      <c r="AX623" s="1372"/>
      <c r="AY623" s="1372"/>
      <c r="AZ623" s="1095"/>
      <c r="BA623" s="2"/>
    </row>
    <row r="624" spans="1:53" ht="15.75" customHeight="1">
      <c r="A624" s="1027"/>
      <c r="B624" s="1370"/>
      <c r="C624" s="13"/>
      <c r="D624" s="1371"/>
      <c r="E624" s="1357"/>
      <c r="F624" s="1358"/>
      <c r="G624" s="1358"/>
      <c r="H624" s="1358"/>
      <c r="I624" s="1358"/>
      <c r="J624" s="1076"/>
      <c r="K624" s="1076"/>
      <c r="L624" s="1076"/>
      <c r="M624" s="1289"/>
      <c r="N624" s="1076"/>
      <c r="O624" s="1076"/>
      <c r="P624" s="1358"/>
      <c r="Q624" s="1358"/>
      <c r="R624" s="1364"/>
      <c r="S624" s="1364"/>
      <c r="T624" s="13"/>
      <c r="U624" s="13"/>
      <c r="V624" s="1289"/>
      <c r="W624" s="1076"/>
      <c r="X624" s="1076"/>
      <c r="Y624" s="1358"/>
      <c r="Z624" s="1358"/>
      <c r="AA624" s="1364"/>
      <c r="AB624" s="1364"/>
      <c r="AC624" s="13"/>
      <c r="AD624" s="13"/>
      <c r="AE624" s="1289"/>
      <c r="AF624" s="1372"/>
      <c r="AG624" s="1372"/>
      <c r="AH624" s="1372"/>
      <c r="AI624" s="1372"/>
      <c r="AJ624" s="1372"/>
      <c r="AK624" s="1289"/>
      <c r="AL624" s="1372"/>
      <c r="AM624" s="1372"/>
      <c r="AN624" s="1372"/>
      <c r="AO624" s="1372"/>
      <c r="AP624" s="1372"/>
      <c r="AQ624" s="1289"/>
      <c r="AR624" s="1372"/>
      <c r="AS624" s="1372"/>
      <c r="AT624" s="1372"/>
      <c r="AU624" s="1372"/>
      <c r="AV624" s="1372"/>
      <c r="AW624" s="1372"/>
      <c r="AX624" s="1372"/>
      <c r="AY624" s="1372"/>
      <c r="AZ624" s="1095"/>
      <c r="BA624" s="2"/>
    </row>
    <row r="625" spans="1:53" ht="15.75" customHeight="1">
      <c r="A625" s="1027"/>
      <c r="B625" s="1370"/>
      <c r="C625" s="13"/>
      <c r="D625" s="1371"/>
      <c r="E625" s="1357"/>
      <c r="F625" s="1358"/>
      <c r="G625" s="1358"/>
      <c r="H625" s="1358"/>
      <c r="I625" s="1358"/>
      <c r="J625" s="1076"/>
      <c r="K625" s="1076"/>
      <c r="L625" s="1076"/>
      <c r="M625" s="1289"/>
      <c r="N625" s="1076"/>
      <c r="O625" s="1076"/>
      <c r="P625" s="1358"/>
      <c r="Q625" s="1358"/>
      <c r="R625" s="1364"/>
      <c r="S625" s="1364"/>
      <c r="T625" s="13"/>
      <c r="U625" s="13"/>
      <c r="V625" s="1289"/>
      <c r="W625" s="1076"/>
      <c r="X625" s="1076"/>
      <c r="Y625" s="1358"/>
      <c r="Z625" s="1358"/>
      <c r="AA625" s="1364"/>
      <c r="AB625" s="1364"/>
      <c r="AC625" s="13"/>
      <c r="AD625" s="13"/>
      <c r="AE625" s="1289"/>
      <c r="AF625" s="1372"/>
      <c r="AG625" s="1372"/>
      <c r="AH625" s="1372"/>
      <c r="AI625" s="1372"/>
      <c r="AJ625" s="1372"/>
      <c r="AK625" s="1289"/>
      <c r="AL625" s="1372"/>
      <c r="AM625" s="1372"/>
      <c r="AN625" s="1372"/>
      <c r="AO625" s="1372"/>
      <c r="AP625" s="1372"/>
      <c r="AQ625" s="1289"/>
      <c r="AR625" s="1372"/>
      <c r="AS625" s="1372"/>
      <c r="AT625" s="1372"/>
      <c r="AU625" s="1372"/>
      <c r="AV625" s="1372"/>
      <c r="AW625" s="1372"/>
      <c r="AX625" s="1372"/>
      <c r="AY625" s="1372"/>
      <c r="AZ625" s="1095"/>
      <c r="BA625" s="2"/>
    </row>
    <row r="626" spans="1:53" ht="15.75" customHeight="1">
      <c r="A626" s="1027"/>
      <c r="B626" s="1370"/>
      <c r="C626" s="13"/>
      <c r="D626" s="1371"/>
      <c r="E626" s="1357"/>
      <c r="F626" s="1358"/>
      <c r="G626" s="1358"/>
      <c r="H626" s="1358"/>
      <c r="I626" s="1358"/>
      <c r="J626" s="1076"/>
      <c r="K626" s="1076"/>
      <c r="L626" s="1076"/>
      <c r="M626" s="1289"/>
      <c r="N626" s="1076"/>
      <c r="O626" s="1076"/>
      <c r="P626" s="1358"/>
      <c r="Q626" s="1358"/>
      <c r="R626" s="1364"/>
      <c r="S626" s="1364"/>
      <c r="T626" s="13"/>
      <c r="U626" s="13"/>
      <c r="V626" s="1289"/>
      <c r="W626" s="1076"/>
      <c r="X626" s="1076"/>
      <c r="Y626" s="1358"/>
      <c r="Z626" s="1358"/>
      <c r="AA626" s="1364"/>
      <c r="AB626" s="1364"/>
      <c r="AC626" s="13"/>
      <c r="AD626" s="13"/>
      <c r="AE626" s="1289"/>
      <c r="AF626" s="1372"/>
      <c r="AG626" s="1372"/>
      <c r="AH626" s="1372"/>
      <c r="AI626" s="1372"/>
      <c r="AJ626" s="1372"/>
      <c r="AK626" s="1289"/>
      <c r="AL626" s="1372"/>
      <c r="AM626" s="1372"/>
      <c r="AN626" s="1372"/>
      <c r="AO626" s="1372"/>
      <c r="AP626" s="1372"/>
      <c r="AQ626" s="1289"/>
      <c r="AR626" s="1372"/>
      <c r="AS626" s="1372"/>
      <c r="AT626" s="1372"/>
      <c r="AU626" s="1372"/>
      <c r="AV626" s="1372"/>
      <c r="AW626" s="1372"/>
      <c r="AX626" s="1372"/>
      <c r="AY626" s="1372"/>
      <c r="AZ626" s="1095"/>
      <c r="BA626" s="2"/>
    </row>
    <row r="627" spans="1:53" ht="15.75" customHeight="1">
      <c r="A627" s="1027"/>
      <c r="B627" s="1370"/>
      <c r="C627" s="13"/>
      <c r="D627" s="1371"/>
      <c r="E627" s="1357"/>
      <c r="F627" s="1358"/>
      <c r="G627" s="1358"/>
      <c r="H627" s="1358"/>
      <c r="I627" s="1358"/>
      <c r="J627" s="1076"/>
      <c r="K627" s="1076"/>
      <c r="L627" s="1076"/>
      <c r="M627" s="1289"/>
      <c r="N627" s="1076"/>
      <c r="O627" s="1076"/>
      <c r="P627" s="1358"/>
      <c r="Q627" s="1358"/>
      <c r="R627" s="1364"/>
      <c r="S627" s="1364"/>
      <c r="T627" s="13"/>
      <c r="U627" s="13"/>
      <c r="V627" s="1289"/>
      <c r="W627" s="1076"/>
      <c r="X627" s="1076"/>
      <c r="Y627" s="1358"/>
      <c r="Z627" s="1358"/>
      <c r="AA627" s="1364"/>
      <c r="AB627" s="1364"/>
      <c r="AC627" s="13"/>
      <c r="AD627" s="13"/>
      <c r="AE627" s="1289"/>
      <c r="AF627" s="1372"/>
      <c r="AG627" s="1372"/>
      <c r="AH627" s="1372"/>
      <c r="AI627" s="1372"/>
      <c r="AJ627" s="1372"/>
      <c r="AK627" s="1289"/>
      <c r="AL627" s="1372"/>
      <c r="AM627" s="1372"/>
      <c r="AN627" s="1372"/>
      <c r="AO627" s="1372"/>
      <c r="AP627" s="1372"/>
      <c r="AQ627" s="1289"/>
      <c r="AR627" s="1372"/>
      <c r="AS627" s="1372"/>
      <c r="AT627" s="1372"/>
      <c r="AU627" s="1372"/>
      <c r="AV627" s="1372"/>
      <c r="AW627" s="1372"/>
      <c r="AX627" s="1372"/>
      <c r="AY627" s="1372"/>
      <c r="AZ627" s="1095"/>
      <c r="BA627" s="2"/>
    </row>
    <row r="628" spans="1:53" ht="15.75" customHeight="1">
      <c r="A628" s="1027"/>
      <c r="B628" s="1370"/>
      <c r="C628" s="13"/>
      <c r="D628" s="1371"/>
      <c r="E628" s="1357"/>
      <c r="F628" s="1358"/>
      <c r="G628" s="1358"/>
      <c r="H628" s="1358"/>
      <c r="I628" s="1358"/>
      <c r="J628" s="1076"/>
      <c r="K628" s="1076"/>
      <c r="L628" s="1076"/>
      <c r="M628" s="1289"/>
      <c r="N628" s="1076"/>
      <c r="O628" s="1076"/>
      <c r="P628" s="1358"/>
      <c r="Q628" s="1358"/>
      <c r="R628" s="1364"/>
      <c r="S628" s="1364"/>
      <c r="T628" s="13"/>
      <c r="U628" s="13"/>
      <c r="V628" s="1289"/>
      <c r="W628" s="1076"/>
      <c r="X628" s="1076"/>
      <c r="Y628" s="1358"/>
      <c r="Z628" s="1358"/>
      <c r="AA628" s="1364"/>
      <c r="AB628" s="1364"/>
      <c r="AC628" s="13"/>
      <c r="AD628" s="13"/>
      <c r="AE628" s="1289"/>
      <c r="AF628" s="1372"/>
      <c r="AG628" s="1372"/>
      <c r="AH628" s="1372"/>
      <c r="AI628" s="1372"/>
      <c r="AJ628" s="1372"/>
      <c r="AK628" s="1289"/>
      <c r="AL628" s="1372"/>
      <c r="AM628" s="1372"/>
      <c r="AN628" s="1372"/>
      <c r="AO628" s="1372"/>
      <c r="AP628" s="1372"/>
      <c r="AQ628" s="1289"/>
      <c r="AR628" s="1372"/>
      <c r="AS628" s="1372"/>
      <c r="AT628" s="1372"/>
      <c r="AU628" s="1372"/>
      <c r="AV628" s="1372"/>
      <c r="AW628" s="1372"/>
      <c r="AX628" s="1372"/>
      <c r="AY628" s="1372"/>
      <c r="AZ628" s="1095"/>
      <c r="BA628" s="2"/>
    </row>
    <row r="629" spans="1:53" ht="15.75" customHeight="1">
      <c r="A629" s="1027"/>
      <c r="B629" s="1370"/>
      <c r="C629" s="13"/>
      <c r="D629" s="1371"/>
      <c r="E629" s="1357"/>
      <c r="F629" s="1358"/>
      <c r="G629" s="1358"/>
      <c r="H629" s="1358"/>
      <c r="I629" s="1358"/>
      <c r="J629" s="1076"/>
      <c r="K629" s="1076"/>
      <c r="L629" s="1076"/>
      <c r="M629" s="1289"/>
      <c r="N629" s="1076"/>
      <c r="O629" s="1076"/>
      <c r="P629" s="1358"/>
      <c r="Q629" s="1358"/>
      <c r="R629" s="1364"/>
      <c r="S629" s="1364"/>
      <c r="T629" s="13"/>
      <c r="U629" s="13"/>
      <c r="V629" s="1289"/>
      <c r="W629" s="1076"/>
      <c r="X629" s="1076"/>
      <c r="Y629" s="1358"/>
      <c r="Z629" s="1358"/>
      <c r="AA629" s="1364"/>
      <c r="AB629" s="1364"/>
      <c r="AC629" s="13"/>
      <c r="AD629" s="13"/>
      <c r="AE629" s="1289"/>
      <c r="AF629" s="1372"/>
      <c r="AG629" s="1372"/>
      <c r="AH629" s="1372"/>
      <c r="AI629" s="1372"/>
      <c r="AJ629" s="1372"/>
      <c r="AK629" s="1289"/>
      <c r="AL629" s="1372"/>
      <c r="AM629" s="1372"/>
      <c r="AN629" s="1372"/>
      <c r="AO629" s="1372"/>
      <c r="AP629" s="1372"/>
      <c r="AQ629" s="1289"/>
      <c r="AR629" s="1372"/>
      <c r="AS629" s="1372"/>
      <c r="AT629" s="1372"/>
      <c r="AU629" s="1372"/>
      <c r="AV629" s="1372"/>
      <c r="AW629" s="1372"/>
      <c r="AX629" s="1372"/>
      <c r="AY629" s="1372"/>
      <c r="AZ629" s="1095"/>
      <c r="BA629" s="2"/>
    </row>
    <row r="630" spans="1:53" ht="15.75" customHeight="1">
      <c r="A630" s="1027"/>
      <c r="B630" s="1370"/>
      <c r="C630" s="13"/>
      <c r="D630" s="1371"/>
      <c r="E630" s="1357"/>
      <c r="F630" s="1358"/>
      <c r="G630" s="1358"/>
      <c r="H630" s="1358"/>
      <c r="I630" s="1358"/>
      <c r="J630" s="1076"/>
      <c r="K630" s="1076"/>
      <c r="L630" s="1076"/>
      <c r="M630" s="1289"/>
      <c r="N630" s="1076"/>
      <c r="O630" s="1076"/>
      <c r="P630" s="1358"/>
      <c r="Q630" s="1358"/>
      <c r="R630" s="1364"/>
      <c r="S630" s="1364"/>
      <c r="T630" s="13"/>
      <c r="U630" s="13"/>
      <c r="V630" s="1289"/>
      <c r="W630" s="1076"/>
      <c r="X630" s="1076"/>
      <c r="Y630" s="1358"/>
      <c r="Z630" s="1358"/>
      <c r="AA630" s="1364"/>
      <c r="AB630" s="1364"/>
      <c r="AC630" s="13"/>
      <c r="AD630" s="13"/>
      <c r="AE630" s="1289"/>
      <c r="AF630" s="1372"/>
      <c r="AG630" s="1372"/>
      <c r="AH630" s="1372"/>
      <c r="AI630" s="1372"/>
      <c r="AJ630" s="1372"/>
      <c r="AK630" s="1289"/>
      <c r="AL630" s="1372"/>
      <c r="AM630" s="1372"/>
      <c r="AN630" s="1372"/>
      <c r="AO630" s="1372"/>
      <c r="AP630" s="1372"/>
      <c r="AQ630" s="1289"/>
      <c r="AR630" s="1372"/>
      <c r="AS630" s="1372"/>
      <c r="AT630" s="1372"/>
      <c r="AU630" s="1372"/>
      <c r="AV630" s="1372"/>
      <c r="AW630" s="1372"/>
      <c r="AX630" s="1372"/>
      <c r="AY630" s="1372"/>
      <c r="AZ630" s="1095"/>
      <c r="BA630" s="2"/>
    </row>
    <row r="631" spans="1:53" ht="15.75" customHeight="1">
      <c r="A631" s="1027"/>
      <c r="B631" s="1370"/>
      <c r="C631" s="13"/>
      <c r="D631" s="1371"/>
      <c r="E631" s="1357"/>
      <c r="F631" s="1358"/>
      <c r="G631" s="1358"/>
      <c r="H631" s="1358"/>
      <c r="I631" s="1358"/>
      <c r="J631" s="1076"/>
      <c r="K631" s="1076"/>
      <c r="L631" s="1076"/>
      <c r="M631" s="1289"/>
      <c r="N631" s="1076"/>
      <c r="O631" s="1076"/>
      <c r="P631" s="1358"/>
      <c r="Q631" s="1358"/>
      <c r="R631" s="1364"/>
      <c r="S631" s="1364"/>
      <c r="T631" s="13"/>
      <c r="U631" s="13"/>
      <c r="V631" s="1289"/>
      <c r="W631" s="1076"/>
      <c r="X631" s="1076"/>
      <c r="Y631" s="1358"/>
      <c r="Z631" s="1358"/>
      <c r="AA631" s="1364"/>
      <c r="AB631" s="1364"/>
      <c r="AC631" s="13"/>
      <c r="AD631" s="13"/>
      <c r="AE631" s="1289"/>
      <c r="AF631" s="1372"/>
      <c r="AG631" s="1372"/>
      <c r="AH631" s="1372"/>
      <c r="AI631" s="1372"/>
      <c r="AJ631" s="1372"/>
      <c r="AK631" s="1289"/>
      <c r="AL631" s="1372"/>
      <c r="AM631" s="1372"/>
      <c r="AN631" s="1372"/>
      <c r="AO631" s="1372"/>
      <c r="AP631" s="1372"/>
      <c r="AQ631" s="1289"/>
      <c r="AR631" s="1372"/>
      <c r="AS631" s="1372"/>
      <c r="AT631" s="1372"/>
      <c r="AU631" s="1372"/>
      <c r="AV631" s="1372"/>
      <c r="AW631" s="1372"/>
      <c r="AX631" s="1372"/>
      <c r="AY631" s="1372"/>
      <c r="AZ631" s="1095"/>
      <c r="BA631" s="2"/>
    </row>
    <row r="632" spans="1:53" ht="15.75" customHeight="1">
      <c r="A632" s="1027"/>
      <c r="B632" s="1370"/>
      <c r="C632" s="13"/>
      <c r="D632" s="1371"/>
      <c r="E632" s="1357"/>
      <c r="F632" s="1358"/>
      <c r="G632" s="1358"/>
      <c r="H632" s="1358"/>
      <c r="I632" s="1358"/>
      <c r="J632" s="1076"/>
      <c r="K632" s="1076"/>
      <c r="L632" s="1076"/>
      <c r="M632" s="1289"/>
      <c r="N632" s="1076"/>
      <c r="O632" s="1076"/>
      <c r="P632" s="1358"/>
      <c r="Q632" s="1358"/>
      <c r="R632" s="1364"/>
      <c r="S632" s="1364"/>
      <c r="T632" s="13"/>
      <c r="U632" s="13"/>
      <c r="V632" s="1289"/>
      <c r="W632" s="1076"/>
      <c r="X632" s="1076"/>
      <c r="Y632" s="1358"/>
      <c r="Z632" s="1358"/>
      <c r="AA632" s="1364"/>
      <c r="AB632" s="1364"/>
      <c r="AC632" s="13"/>
      <c r="AD632" s="13"/>
      <c r="AE632" s="1289"/>
      <c r="AF632" s="1372"/>
      <c r="AG632" s="1372"/>
      <c r="AH632" s="1372"/>
      <c r="AI632" s="1372"/>
      <c r="AJ632" s="1372"/>
      <c r="AK632" s="1289"/>
      <c r="AL632" s="1372"/>
      <c r="AM632" s="1372"/>
      <c r="AN632" s="1372"/>
      <c r="AO632" s="1372"/>
      <c r="AP632" s="1372"/>
      <c r="AQ632" s="1289"/>
      <c r="AR632" s="1372"/>
      <c r="AS632" s="1372"/>
      <c r="AT632" s="1372"/>
      <c r="AU632" s="1372"/>
      <c r="AV632" s="1372"/>
      <c r="AW632" s="1372"/>
      <c r="AX632" s="1372"/>
      <c r="AY632" s="1372"/>
      <c r="AZ632" s="1095"/>
      <c r="BA632" s="2"/>
    </row>
    <row r="633" spans="1:53" ht="15.75" customHeight="1">
      <c r="A633" s="1027"/>
      <c r="B633" s="1370"/>
      <c r="C633" s="13"/>
      <c r="D633" s="1371"/>
      <c r="E633" s="1357"/>
      <c r="F633" s="1358"/>
      <c r="G633" s="1358"/>
      <c r="H633" s="1358"/>
      <c r="I633" s="1358"/>
      <c r="J633" s="1076"/>
      <c r="K633" s="1076"/>
      <c r="L633" s="1076"/>
      <c r="M633" s="1289"/>
      <c r="N633" s="1076"/>
      <c r="O633" s="1076"/>
      <c r="P633" s="1358"/>
      <c r="Q633" s="1358"/>
      <c r="R633" s="1364"/>
      <c r="S633" s="1364"/>
      <c r="T633" s="13"/>
      <c r="U633" s="13"/>
      <c r="V633" s="1289"/>
      <c r="W633" s="1076"/>
      <c r="X633" s="1076"/>
      <c r="Y633" s="1358"/>
      <c r="Z633" s="1358"/>
      <c r="AA633" s="1364"/>
      <c r="AB633" s="1364"/>
      <c r="AC633" s="13"/>
      <c r="AD633" s="13"/>
      <c r="AE633" s="1289"/>
      <c r="AF633" s="1372"/>
      <c r="AG633" s="1372"/>
      <c r="AH633" s="1372"/>
      <c r="AI633" s="1372"/>
      <c r="AJ633" s="1372"/>
      <c r="AK633" s="1289"/>
      <c r="AL633" s="1372"/>
      <c r="AM633" s="1372"/>
      <c r="AN633" s="1372"/>
      <c r="AO633" s="1372"/>
      <c r="AP633" s="1372"/>
      <c r="AQ633" s="1289"/>
      <c r="AR633" s="1372"/>
      <c r="AS633" s="1372"/>
      <c r="AT633" s="1372"/>
      <c r="AU633" s="1372"/>
      <c r="AV633" s="1372"/>
      <c r="AW633" s="1372"/>
      <c r="AX633" s="1372"/>
      <c r="AY633" s="1372"/>
      <c r="AZ633" s="1095"/>
      <c r="BA633" s="2"/>
    </row>
    <row r="634" spans="1:53" ht="15.75" customHeight="1">
      <c r="A634" s="1027"/>
      <c r="B634" s="1370"/>
      <c r="C634" s="13"/>
      <c r="D634" s="1371"/>
      <c r="E634" s="1357"/>
      <c r="F634" s="1358"/>
      <c r="G634" s="1358"/>
      <c r="H634" s="1358"/>
      <c r="I634" s="1358"/>
      <c r="J634" s="1076"/>
      <c r="K634" s="1076"/>
      <c r="L634" s="1076"/>
      <c r="M634" s="1289"/>
      <c r="N634" s="1076"/>
      <c r="O634" s="1076"/>
      <c r="P634" s="1358"/>
      <c r="Q634" s="1358"/>
      <c r="R634" s="1364"/>
      <c r="S634" s="1364"/>
      <c r="T634" s="13"/>
      <c r="U634" s="13"/>
      <c r="V634" s="1289"/>
      <c r="W634" s="1076"/>
      <c r="X634" s="1076"/>
      <c r="Y634" s="1358"/>
      <c r="Z634" s="1358"/>
      <c r="AA634" s="1364"/>
      <c r="AB634" s="1364"/>
      <c r="AC634" s="13"/>
      <c r="AD634" s="13"/>
      <c r="AE634" s="1289"/>
      <c r="AF634" s="1372"/>
      <c r="AG634" s="1372"/>
      <c r="AH634" s="1372"/>
      <c r="AI634" s="1372"/>
      <c r="AJ634" s="1372"/>
      <c r="AK634" s="1289"/>
      <c r="AL634" s="1372"/>
      <c r="AM634" s="1372"/>
      <c r="AN634" s="1372"/>
      <c r="AO634" s="1372"/>
      <c r="AP634" s="1372"/>
      <c r="AQ634" s="1289"/>
      <c r="AR634" s="1372"/>
      <c r="AS634" s="1372"/>
      <c r="AT634" s="1372"/>
      <c r="AU634" s="1372"/>
      <c r="AV634" s="1372"/>
      <c r="AW634" s="1372"/>
      <c r="AX634" s="1372"/>
      <c r="AY634" s="1372"/>
      <c r="AZ634" s="1095"/>
      <c r="BA634" s="2"/>
    </row>
    <row r="635" spans="1:53" ht="15.75" customHeight="1">
      <c r="A635" s="1027"/>
      <c r="B635" s="1370"/>
      <c r="C635" s="13"/>
      <c r="D635" s="1371"/>
      <c r="E635" s="1357"/>
      <c r="F635" s="1358"/>
      <c r="G635" s="1358"/>
      <c r="H635" s="1358"/>
      <c r="I635" s="1358"/>
      <c r="J635" s="1076"/>
      <c r="K635" s="1076"/>
      <c r="L635" s="1076"/>
      <c r="M635" s="1289"/>
      <c r="N635" s="1076"/>
      <c r="O635" s="1076"/>
      <c r="P635" s="1358"/>
      <c r="Q635" s="1358"/>
      <c r="R635" s="1364"/>
      <c r="S635" s="1364"/>
      <c r="T635" s="13"/>
      <c r="U635" s="13"/>
      <c r="V635" s="1289"/>
      <c r="W635" s="1076"/>
      <c r="X635" s="1076"/>
      <c r="Y635" s="1358"/>
      <c r="Z635" s="1358"/>
      <c r="AA635" s="1364"/>
      <c r="AB635" s="1364"/>
      <c r="AC635" s="13"/>
      <c r="AD635" s="13"/>
      <c r="AE635" s="1289"/>
      <c r="AF635" s="1372"/>
      <c r="AG635" s="1372"/>
      <c r="AH635" s="1372"/>
      <c r="AI635" s="1372"/>
      <c r="AJ635" s="1372"/>
      <c r="AK635" s="1289"/>
      <c r="AL635" s="1372"/>
      <c r="AM635" s="1372"/>
      <c r="AN635" s="1372"/>
      <c r="AO635" s="1372"/>
      <c r="AP635" s="1372"/>
      <c r="AQ635" s="1289"/>
      <c r="AR635" s="1372"/>
      <c r="AS635" s="1372"/>
      <c r="AT635" s="1372"/>
      <c r="AU635" s="1372"/>
      <c r="AV635" s="1372"/>
      <c r="AW635" s="1372"/>
      <c r="AX635" s="1372"/>
      <c r="AY635" s="1372"/>
      <c r="AZ635" s="1095"/>
      <c r="BA635" s="2"/>
    </row>
    <row r="636" spans="1:53" ht="15.75" customHeight="1">
      <c r="A636" s="1027"/>
      <c r="B636" s="1370"/>
      <c r="C636" s="13"/>
      <c r="D636" s="1371"/>
      <c r="E636" s="1357"/>
      <c r="F636" s="1358"/>
      <c r="G636" s="1358"/>
      <c r="H636" s="1358"/>
      <c r="I636" s="1358"/>
      <c r="J636" s="1076"/>
      <c r="K636" s="1076"/>
      <c r="L636" s="1076"/>
      <c r="M636" s="1289"/>
      <c r="N636" s="1076"/>
      <c r="O636" s="1076"/>
      <c r="P636" s="1358"/>
      <c r="Q636" s="1358"/>
      <c r="R636" s="1364"/>
      <c r="S636" s="1364"/>
      <c r="T636" s="13"/>
      <c r="U636" s="13"/>
      <c r="V636" s="1289"/>
      <c r="W636" s="1076"/>
      <c r="X636" s="1076"/>
      <c r="Y636" s="1358"/>
      <c r="Z636" s="1358"/>
      <c r="AA636" s="1364"/>
      <c r="AB636" s="1364"/>
      <c r="AC636" s="13"/>
      <c r="AD636" s="13"/>
      <c r="AE636" s="1289"/>
      <c r="AF636" s="1372"/>
      <c r="AG636" s="1372"/>
      <c r="AH636" s="1372"/>
      <c r="AI636" s="1372"/>
      <c r="AJ636" s="1372"/>
      <c r="AK636" s="1289"/>
      <c r="AL636" s="1372"/>
      <c r="AM636" s="1372"/>
      <c r="AN636" s="1372"/>
      <c r="AO636" s="1372"/>
      <c r="AP636" s="1372"/>
      <c r="AQ636" s="1289"/>
      <c r="AR636" s="1372"/>
      <c r="AS636" s="1372"/>
      <c r="AT636" s="1372"/>
      <c r="AU636" s="1372"/>
      <c r="AV636" s="1372"/>
      <c r="AW636" s="1372"/>
      <c r="AX636" s="1372"/>
      <c r="AY636" s="1372"/>
      <c r="AZ636" s="1095"/>
      <c r="BA636" s="2"/>
    </row>
    <row r="637" spans="1:53" ht="15.75" customHeight="1">
      <c r="A637" s="1027"/>
      <c r="B637" s="1370"/>
      <c r="C637" s="13"/>
      <c r="D637" s="1371"/>
      <c r="E637" s="1357"/>
      <c r="F637" s="1358"/>
      <c r="G637" s="1358"/>
      <c r="H637" s="1358"/>
      <c r="I637" s="1358"/>
      <c r="J637" s="1076"/>
      <c r="K637" s="1076"/>
      <c r="L637" s="1076"/>
      <c r="M637" s="1289"/>
      <c r="N637" s="1076"/>
      <c r="O637" s="1076"/>
      <c r="P637" s="1358"/>
      <c r="Q637" s="1358"/>
      <c r="R637" s="1364"/>
      <c r="S637" s="1364"/>
      <c r="T637" s="13"/>
      <c r="U637" s="13"/>
      <c r="V637" s="1289"/>
      <c r="W637" s="1076"/>
      <c r="X637" s="1076"/>
      <c r="Y637" s="1358"/>
      <c r="Z637" s="1358"/>
      <c r="AA637" s="1364"/>
      <c r="AB637" s="1364"/>
      <c r="AC637" s="13"/>
      <c r="AD637" s="13"/>
      <c r="AE637" s="1289"/>
      <c r="AF637" s="1372"/>
      <c r="AG637" s="1372"/>
      <c r="AH637" s="1372"/>
      <c r="AI637" s="1372"/>
      <c r="AJ637" s="1372"/>
      <c r="AK637" s="1289"/>
      <c r="AL637" s="1372"/>
      <c r="AM637" s="1372"/>
      <c r="AN637" s="1372"/>
      <c r="AO637" s="1372"/>
      <c r="AP637" s="1372"/>
      <c r="AQ637" s="1289"/>
      <c r="AR637" s="1372"/>
      <c r="AS637" s="1372"/>
      <c r="AT637" s="1372"/>
      <c r="AU637" s="1372"/>
      <c r="AV637" s="1372"/>
      <c r="AW637" s="1372"/>
      <c r="AX637" s="1372"/>
      <c r="AY637" s="1372"/>
      <c r="AZ637" s="1095"/>
      <c r="BA637" s="2"/>
    </row>
    <row r="638" spans="1:53" ht="15.75" customHeight="1">
      <c r="A638" s="1027"/>
      <c r="B638" s="1370"/>
      <c r="C638" s="13"/>
      <c r="D638" s="1371"/>
      <c r="E638" s="1357"/>
      <c r="F638" s="1358"/>
      <c r="G638" s="1358"/>
      <c r="H638" s="1358"/>
      <c r="I638" s="1358"/>
      <c r="J638" s="1076"/>
      <c r="K638" s="1076"/>
      <c r="L638" s="1076"/>
      <c r="M638" s="1289"/>
      <c r="N638" s="1076"/>
      <c r="O638" s="1076"/>
      <c r="P638" s="1358"/>
      <c r="Q638" s="1358"/>
      <c r="R638" s="1364"/>
      <c r="S638" s="1364"/>
      <c r="T638" s="13"/>
      <c r="U638" s="13"/>
      <c r="V638" s="1289"/>
      <c r="W638" s="1076"/>
      <c r="X638" s="1076"/>
      <c r="Y638" s="1358"/>
      <c r="Z638" s="1358"/>
      <c r="AA638" s="1364"/>
      <c r="AB638" s="1364"/>
      <c r="AC638" s="13"/>
      <c r="AD638" s="13"/>
      <c r="AE638" s="1289"/>
      <c r="AF638" s="1372"/>
      <c r="AG638" s="1372"/>
      <c r="AH638" s="1372"/>
      <c r="AI638" s="1372"/>
      <c r="AJ638" s="1372"/>
      <c r="AK638" s="1289"/>
      <c r="AL638" s="1372"/>
      <c r="AM638" s="1372"/>
      <c r="AN638" s="1372"/>
      <c r="AO638" s="1372"/>
      <c r="AP638" s="1372"/>
      <c r="AQ638" s="1289"/>
      <c r="AR638" s="1372"/>
      <c r="AS638" s="1372"/>
      <c r="AT638" s="1372"/>
      <c r="AU638" s="1372"/>
      <c r="AV638" s="1372"/>
      <c r="AW638" s="1372"/>
      <c r="AX638" s="1372"/>
      <c r="AY638" s="1372"/>
      <c r="AZ638" s="1095"/>
      <c r="BA638" s="2"/>
    </row>
    <row r="639" spans="1:53" ht="15.75" customHeight="1">
      <c r="A639" s="1027"/>
      <c r="B639" s="1370"/>
      <c r="C639" s="13"/>
      <c r="D639" s="1371"/>
      <c r="E639" s="1357"/>
      <c r="F639" s="1358"/>
      <c r="G639" s="1358"/>
      <c r="H639" s="1358"/>
      <c r="I639" s="1358"/>
      <c r="J639" s="1076"/>
      <c r="K639" s="1076"/>
      <c r="L639" s="1076"/>
      <c r="M639" s="1289"/>
      <c r="N639" s="1076"/>
      <c r="O639" s="1076"/>
      <c r="P639" s="1358"/>
      <c r="Q639" s="1358"/>
      <c r="R639" s="1364"/>
      <c r="S639" s="1364"/>
      <c r="T639" s="13"/>
      <c r="U639" s="13"/>
      <c r="V639" s="1289"/>
      <c r="W639" s="1076"/>
      <c r="X639" s="1076"/>
      <c r="Y639" s="1358"/>
      <c r="Z639" s="1358"/>
      <c r="AA639" s="1364"/>
      <c r="AB639" s="1364"/>
      <c r="AC639" s="13"/>
      <c r="AD639" s="13"/>
      <c r="AE639" s="1289"/>
      <c r="AF639" s="1372"/>
      <c r="AG639" s="1372"/>
      <c r="AH639" s="1372"/>
      <c r="AI639" s="1372"/>
      <c r="AJ639" s="1372"/>
      <c r="AK639" s="1289"/>
      <c r="AL639" s="1372"/>
      <c r="AM639" s="1372"/>
      <c r="AN639" s="1372"/>
      <c r="AO639" s="1372"/>
      <c r="AP639" s="1372"/>
      <c r="AQ639" s="1289"/>
      <c r="AR639" s="1372"/>
      <c r="AS639" s="1372"/>
      <c r="AT639" s="1372"/>
      <c r="AU639" s="1372"/>
      <c r="AV639" s="1372"/>
      <c r="AW639" s="1372"/>
      <c r="AX639" s="1372"/>
      <c r="AY639" s="1372"/>
      <c r="AZ639" s="1095"/>
      <c r="BA639" s="2"/>
    </row>
    <row r="640" spans="1:53" ht="15.75" customHeight="1">
      <c r="A640" s="1027"/>
      <c r="B640" s="1370"/>
      <c r="C640" s="13"/>
      <c r="D640" s="1371"/>
      <c r="E640" s="1357"/>
      <c r="F640" s="1358"/>
      <c r="G640" s="1358"/>
      <c r="H640" s="1358"/>
      <c r="I640" s="1358"/>
      <c r="J640" s="1076"/>
      <c r="K640" s="1076"/>
      <c r="L640" s="1076"/>
      <c r="M640" s="1289"/>
      <c r="N640" s="1076"/>
      <c r="O640" s="1076"/>
      <c r="P640" s="1358"/>
      <c r="Q640" s="1358"/>
      <c r="R640" s="1364"/>
      <c r="S640" s="1364"/>
      <c r="T640" s="13"/>
      <c r="U640" s="13"/>
      <c r="V640" s="1289"/>
      <c r="W640" s="1076"/>
      <c r="X640" s="1076"/>
      <c r="Y640" s="1358"/>
      <c r="Z640" s="1358"/>
      <c r="AA640" s="1364"/>
      <c r="AB640" s="1364"/>
      <c r="AC640" s="13"/>
      <c r="AD640" s="13"/>
      <c r="AE640" s="1289"/>
      <c r="AF640" s="1372"/>
      <c r="AG640" s="1372"/>
      <c r="AH640" s="1372"/>
      <c r="AI640" s="1372"/>
      <c r="AJ640" s="1372"/>
      <c r="AK640" s="1289"/>
      <c r="AL640" s="1372"/>
      <c r="AM640" s="1372"/>
      <c r="AN640" s="1372"/>
      <c r="AO640" s="1372"/>
      <c r="AP640" s="1372"/>
      <c r="AQ640" s="1289"/>
      <c r="AR640" s="1372"/>
      <c r="AS640" s="1372"/>
      <c r="AT640" s="1372"/>
      <c r="AU640" s="1372"/>
      <c r="AV640" s="1372"/>
      <c r="AW640" s="1372"/>
      <c r="AX640" s="1372"/>
      <c r="AY640" s="1372"/>
      <c r="AZ640" s="1095"/>
      <c r="BA640" s="2"/>
    </row>
    <row r="641" spans="1:53" ht="15.75" customHeight="1">
      <c r="A641" s="1027"/>
      <c r="B641" s="1370"/>
      <c r="C641" s="13"/>
      <c r="D641" s="1371"/>
      <c r="E641" s="1357"/>
      <c r="F641" s="1358"/>
      <c r="G641" s="1358"/>
      <c r="H641" s="1358"/>
      <c r="I641" s="1358"/>
      <c r="J641" s="1076"/>
      <c r="K641" s="1076"/>
      <c r="L641" s="1076"/>
      <c r="M641" s="1289"/>
      <c r="N641" s="1076"/>
      <c r="O641" s="1076"/>
      <c r="P641" s="1358"/>
      <c r="Q641" s="1358"/>
      <c r="R641" s="1364"/>
      <c r="S641" s="1364"/>
      <c r="T641" s="13"/>
      <c r="U641" s="13"/>
      <c r="V641" s="1289"/>
      <c r="W641" s="1076"/>
      <c r="X641" s="1076"/>
      <c r="Y641" s="1358"/>
      <c r="Z641" s="1358"/>
      <c r="AA641" s="1364"/>
      <c r="AB641" s="1364"/>
      <c r="AC641" s="13"/>
      <c r="AD641" s="13"/>
      <c r="AE641" s="1289"/>
      <c r="AF641" s="1372"/>
      <c r="AG641" s="1372"/>
      <c r="AH641" s="1372"/>
      <c r="AI641" s="1372"/>
      <c r="AJ641" s="1372"/>
      <c r="AK641" s="1289"/>
      <c r="AL641" s="1372"/>
      <c r="AM641" s="1372"/>
      <c r="AN641" s="1372"/>
      <c r="AO641" s="1372"/>
      <c r="AP641" s="1372"/>
      <c r="AQ641" s="1289"/>
      <c r="AR641" s="1372"/>
      <c r="AS641" s="1372"/>
      <c r="AT641" s="1372"/>
      <c r="AU641" s="1372"/>
      <c r="AV641" s="1372"/>
      <c r="AW641" s="1372"/>
      <c r="AX641" s="1372"/>
      <c r="AY641" s="1372"/>
      <c r="AZ641" s="1095"/>
      <c r="BA641" s="2"/>
    </row>
    <row r="642" spans="1:53" ht="15.75" customHeight="1">
      <c r="A642" s="1027"/>
      <c r="B642" s="1370"/>
      <c r="C642" s="13"/>
      <c r="D642" s="1371"/>
      <c r="E642" s="1357"/>
      <c r="F642" s="1358"/>
      <c r="G642" s="1358"/>
      <c r="H642" s="1358"/>
      <c r="I642" s="1358"/>
      <c r="J642" s="1076"/>
      <c r="K642" s="1076"/>
      <c r="L642" s="1076"/>
      <c r="M642" s="1289"/>
      <c r="N642" s="1076"/>
      <c r="O642" s="1076"/>
      <c r="P642" s="1358"/>
      <c r="Q642" s="1358"/>
      <c r="R642" s="1364"/>
      <c r="S642" s="1364"/>
      <c r="T642" s="13"/>
      <c r="U642" s="13"/>
      <c r="V642" s="1289"/>
      <c r="W642" s="1076"/>
      <c r="X642" s="1076"/>
      <c r="Y642" s="1358"/>
      <c r="Z642" s="1358"/>
      <c r="AA642" s="1364"/>
      <c r="AB642" s="1364"/>
      <c r="AC642" s="13"/>
      <c r="AD642" s="13"/>
      <c r="AE642" s="1289"/>
      <c r="AF642" s="1372"/>
      <c r="AG642" s="1372"/>
      <c r="AH642" s="1372"/>
      <c r="AI642" s="1372"/>
      <c r="AJ642" s="1372"/>
      <c r="AK642" s="1289"/>
      <c r="AL642" s="1372"/>
      <c r="AM642" s="1372"/>
      <c r="AN642" s="1372"/>
      <c r="AO642" s="1372"/>
      <c r="AP642" s="1372"/>
      <c r="AQ642" s="1289"/>
      <c r="AR642" s="1372"/>
      <c r="AS642" s="1372"/>
      <c r="AT642" s="1372"/>
      <c r="AU642" s="1372"/>
      <c r="AV642" s="1372"/>
      <c r="AW642" s="1372"/>
      <c r="AX642" s="1372"/>
      <c r="AY642" s="1372"/>
      <c r="AZ642" s="1095"/>
      <c r="BA642" s="2"/>
    </row>
    <row r="643" spans="1:53" ht="15.75" customHeight="1">
      <c r="A643" s="1027"/>
      <c r="B643" s="1370"/>
      <c r="C643" s="13"/>
      <c r="D643" s="1371"/>
      <c r="E643" s="1357"/>
      <c r="F643" s="1358"/>
      <c r="G643" s="1358"/>
      <c r="H643" s="1358"/>
      <c r="I643" s="1358"/>
      <c r="J643" s="1076"/>
      <c r="K643" s="1076"/>
      <c r="L643" s="1076"/>
      <c r="M643" s="1289"/>
      <c r="N643" s="1076"/>
      <c r="O643" s="1076"/>
      <c r="P643" s="1358"/>
      <c r="Q643" s="1358"/>
      <c r="R643" s="1364"/>
      <c r="S643" s="1364"/>
      <c r="T643" s="13"/>
      <c r="U643" s="13"/>
      <c r="V643" s="1289"/>
      <c r="W643" s="1076"/>
      <c r="X643" s="1076"/>
      <c r="Y643" s="1358"/>
      <c r="Z643" s="1358"/>
      <c r="AA643" s="1364"/>
      <c r="AB643" s="1364"/>
      <c r="AC643" s="13"/>
      <c r="AD643" s="13"/>
      <c r="AE643" s="1289"/>
      <c r="AF643" s="1372"/>
      <c r="AG643" s="1372"/>
      <c r="AH643" s="1372"/>
      <c r="AI643" s="1372"/>
      <c r="AJ643" s="1372"/>
      <c r="AK643" s="1289"/>
      <c r="AL643" s="1372"/>
      <c r="AM643" s="1372"/>
      <c r="AN643" s="1372"/>
      <c r="AO643" s="1372"/>
      <c r="AP643" s="1372"/>
      <c r="AQ643" s="1289"/>
      <c r="AR643" s="1372"/>
      <c r="AS643" s="1372"/>
      <c r="AT643" s="1372"/>
      <c r="AU643" s="1372"/>
      <c r="AV643" s="1372"/>
      <c r="AW643" s="1372"/>
      <c r="AX643" s="1372"/>
      <c r="AY643" s="1372"/>
      <c r="AZ643" s="1095"/>
      <c r="BA643" s="2"/>
    </row>
    <row r="644" spans="1:53" ht="15.75" customHeight="1">
      <c r="A644" s="1027"/>
      <c r="B644" s="1370"/>
      <c r="C644" s="13"/>
      <c r="D644" s="1371"/>
      <c r="E644" s="1357"/>
      <c r="F644" s="1358"/>
      <c r="G644" s="1358"/>
      <c r="H644" s="1358"/>
      <c r="I644" s="1358"/>
      <c r="J644" s="1076"/>
      <c r="K644" s="1076"/>
      <c r="L644" s="1076"/>
      <c r="M644" s="1289"/>
      <c r="N644" s="1076"/>
      <c r="O644" s="1076"/>
      <c r="P644" s="1358"/>
      <c r="Q644" s="1358"/>
      <c r="R644" s="1364"/>
      <c r="S644" s="1364"/>
      <c r="T644" s="13"/>
      <c r="U644" s="13"/>
      <c r="V644" s="1289"/>
      <c r="W644" s="1076"/>
      <c r="X644" s="1076"/>
      <c r="Y644" s="1358"/>
      <c r="Z644" s="1358"/>
      <c r="AA644" s="1364"/>
      <c r="AB644" s="1364"/>
      <c r="AC644" s="13"/>
      <c r="AD644" s="13"/>
      <c r="AE644" s="1289"/>
      <c r="AF644" s="1372"/>
      <c r="AG644" s="1372"/>
      <c r="AH644" s="1372"/>
      <c r="AI644" s="1372"/>
      <c r="AJ644" s="1372"/>
      <c r="AK644" s="1289"/>
      <c r="AL644" s="1372"/>
      <c r="AM644" s="1372"/>
      <c r="AN644" s="1372"/>
      <c r="AO644" s="1372"/>
      <c r="AP644" s="1372"/>
      <c r="AQ644" s="1289"/>
      <c r="AR644" s="1372"/>
      <c r="AS644" s="1372"/>
      <c r="AT644" s="1372"/>
      <c r="AU644" s="1372"/>
      <c r="AV644" s="1372"/>
      <c r="AW644" s="1372"/>
      <c r="AX644" s="1372"/>
      <c r="AY644" s="1372"/>
      <c r="AZ644" s="1095"/>
      <c r="BA644" s="2"/>
    </row>
    <row r="645" spans="1:53" ht="15.75" customHeight="1">
      <c r="A645" s="1027"/>
      <c r="B645" s="1370"/>
      <c r="C645" s="13"/>
      <c r="D645" s="1371"/>
      <c r="E645" s="1357"/>
      <c r="F645" s="1358"/>
      <c r="G645" s="1358"/>
      <c r="H645" s="1358"/>
      <c r="I645" s="1358"/>
      <c r="J645" s="1076"/>
      <c r="K645" s="1076"/>
      <c r="L645" s="1076"/>
      <c r="M645" s="1289"/>
      <c r="N645" s="1076"/>
      <c r="O645" s="1076"/>
      <c r="P645" s="1358"/>
      <c r="Q645" s="1358"/>
      <c r="R645" s="1364"/>
      <c r="S645" s="1364"/>
      <c r="T645" s="13"/>
      <c r="U645" s="13"/>
      <c r="V645" s="1289"/>
      <c r="W645" s="1076"/>
      <c r="X645" s="1076"/>
      <c r="Y645" s="1358"/>
      <c r="Z645" s="1358"/>
      <c r="AA645" s="1364"/>
      <c r="AB645" s="1364"/>
      <c r="AC645" s="13"/>
      <c r="AD645" s="13"/>
      <c r="AE645" s="1289"/>
      <c r="AF645" s="1372"/>
      <c r="AG645" s="1372"/>
      <c r="AH645" s="1372"/>
      <c r="AI645" s="1372"/>
      <c r="AJ645" s="1372"/>
      <c r="AK645" s="1289"/>
      <c r="AL645" s="1372"/>
      <c r="AM645" s="1372"/>
      <c r="AN645" s="1372"/>
      <c r="AO645" s="1372"/>
      <c r="AP645" s="1372"/>
      <c r="AQ645" s="1289"/>
      <c r="AR645" s="1372"/>
      <c r="AS645" s="1372"/>
      <c r="AT645" s="1372"/>
      <c r="AU645" s="1372"/>
      <c r="AV645" s="1372"/>
      <c r="AW645" s="1372"/>
      <c r="AX645" s="1372"/>
      <c r="AY645" s="1372"/>
      <c r="AZ645" s="1095"/>
      <c r="BA645" s="2"/>
    </row>
    <row r="646" spans="1:53" ht="15.75" customHeight="1">
      <c r="A646" s="1027"/>
      <c r="B646" s="1370"/>
      <c r="C646" s="13"/>
      <c r="D646" s="1371"/>
      <c r="E646" s="1357"/>
      <c r="F646" s="1358"/>
      <c r="G646" s="1358"/>
      <c r="H646" s="1358"/>
      <c r="I646" s="1358"/>
      <c r="J646" s="1076"/>
      <c r="K646" s="1076"/>
      <c r="L646" s="1076"/>
      <c r="M646" s="1289"/>
      <c r="N646" s="1076"/>
      <c r="O646" s="1076"/>
      <c r="P646" s="1358"/>
      <c r="Q646" s="1358"/>
      <c r="R646" s="1364"/>
      <c r="S646" s="1364"/>
      <c r="T646" s="13"/>
      <c r="U646" s="13"/>
      <c r="V646" s="1289"/>
      <c r="W646" s="1076"/>
      <c r="X646" s="1076"/>
      <c r="Y646" s="1358"/>
      <c r="Z646" s="1358"/>
      <c r="AA646" s="1364"/>
      <c r="AB646" s="1364"/>
      <c r="AC646" s="13"/>
      <c r="AD646" s="13"/>
      <c r="AE646" s="1289"/>
      <c r="AF646" s="1372"/>
      <c r="AG646" s="1372"/>
      <c r="AH646" s="1372"/>
      <c r="AI646" s="1372"/>
      <c r="AJ646" s="1372"/>
      <c r="AK646" s="1289"/>
      <c r="AL646" s="1372"/>
      <c r="AM646" s="1372"/>
      <c r="AN646" s="1372"/>
      <c r="AO646" s="1372"/>
      <c r="AP646" s="1372"/>
      <c r="AQ646" s="1289"/>
      <c r="AR646" s="1372"/>
      <c r="AS646" s="1372"/>
      <c r="AT646" s="1372"/>
      <c r="AU646" s="1372"/>
      <c r="AV646" s="1372"/>
      <c r="AW646" s="1372"/>
      <c r="AX646" s="1372"/>
      <c r="AY646" s="1372"/>
      <c r="AZ646" s="1095"/>
      <c r="BA646" s="2"/>
    </row>
    <row r="647" spans="1:53" ht="15.75" customHeight="1">
      <c r="A647" s="1027"/>
      <c r="B647" s="1370"/>
      <c r="C647" s="13"/>
      <c r="D647" s="1371"/>
      <c r="E647" s="1357"/>
      <c r="F647" s="1358"/>
      <c r="G647" s="1358"/>
      <c r="H647" s="1358"/>
      <c r="I647" s="1358"/>
      <c r="J647" s="1076"/>
      <c r="K647" s="1076"/>
      <c r="L647" s="1076"/>
      <c r="M647" s="1289"/>
      <c r="N647" s="1076"/>
      <c r="O647" s="1076"/>
      <c r="P647" s="1358"/>
      <c r="Q647" s="1358"/>
      <c r="R647" s="1364"/>
      <c r="S647" s="1364"/>
      <c r="T647" s="13"/>
      <c r="U647" s="13"/>
      <c r="V647" s="1289"/>
      <c r="W647" s="1076"/>
      <c r="X647" s="1076"/>
      <c r="Y647" s="1358"/>
      <c r="Z647" s="1358"/>
      <c r="AA647" s="1364"/>
      <c r="AB647" s="1364"/>
      <c r="AC647" s="13"/>
      <c r="AD647" s="13"/>
      <c r="AE647" s="1289"/>
      <c r="AF647" s="1372"/>
      <c r="AG647" s="1372"/>
      <c r="AH647" s="1372"/>
      <c r="AI647" s="1372"/>
      <c r="AJ647" s="1372"/>
      <c r="AK647" s="1289"/>
      <c r="AL647" s="1372"/>
      <c r="AM647" s="1372"/>
      <c r="AN647" s="1372"/>
      <c r="AO647" s="1372"/>
      <c r="AP647" s="1372"/>
      <c r="AQ647" s="1289"/>
      <c r="AR647" s="1372"/>
      <c r="AS647" s="1372"/>
      <c r="AT647" s="1372"/>
      <c r="AU647" s="1372"/>
      <c r="AV647" s="1372"/>
      <c r="AW647" s="1372"/>
      <c r="AX647" s="1372"/>
      <c r="AY647" s="1372"/>
      <c r="AZ647" s="1095"/>
      <c r="BA647" s="2"/>
    </row>
    <row r="648" spans="1:53" ht="15.75" customHeight="1">
      <c r="A648" s="1027"/>
      <c r="B648" s="1370"/>
      <c r="C648" s="13"/>
      <c r="D648" s="1371"/>
      <c r="E648" s="1357"/>
      <c r="F648" s="1358"/>
      <c r="G648" s="1358"/>
      <c r="H648" s="1358"/>
      <c r="I648" s="1358"/>
      <c r="J648" s="1076"/>
      <c r="K648" s="1076"/>
      <c r="L648" s="1076"/>
      <c r="M648" s="1289"/>
      <c r="N648" s="1076"/>
      <c r="O648" s="1076"/>
      <c r="P648" s="1358"/>
      <c r="Q648" s="1358"/>
      <c r="R648" s="1364"/>
      <c r="S648" s="1364"/>
      <c r="T648" s="13"/>
      <c r="U648" s="13"/>
      <c r="V648" s="1289"/>
      <c r="W648" s="1076"/>
      <c r="X648" s="1076"/>
      <c r="Y648" s="1358"/>
      <c r="Z648" s="1358"/>
      <c r="AA648" s="1364"/>
      <c r="AB648" s="1364"/>
      <c r="AC648" s="13"/>
      <c r="AD648" s="13"/>
      <c r="AE648" s="1289"/>
      <c r="AF648" s="1372"/>
      <c r="AG648" s="1372"/>
      <c r="AH648" s="1372"/>
      <c r="AI648" s="1372"/>
      <c r="AJ648" s="1372"/>
      <c r="AK648" s="1289"/>
      <c r="AL648" s="1372"/>
      <c r="AM648" s="1372"/>
      <c r="AN648" s="1372"/>
      <c r="AO648" s="1372"/>
      <c r="AP648" s="1372"/>
      <c r="AQ648" s="1289"/>
      <c r="AR648" s="1372"/>
      <c r="AS648" s="1372"/>
      <c r="AT648" s="1372"/>
      <c r="AU648" s="1372"/>
      <c r="AV648" s="1372"/>
      <c r="AW648" s="1372"/>
      <c r="AX648" s="1372"/>
      <c r="AY648" s="1372"/>
      <c r="AZ648" s="1095"/>
      <c r="BA648" s="2"/>
    </row>
    <row r="649" spans="1:53" ht="15.75" customHeight="1">
      <c r="A649" s="1027"/>
      <c r="B649" s="1370"/>
      <c r="C649" s="13"/>
      <c r="D649" s="1371"/>
      <c r="E649" s="1357"/>
      <c r="F649" s="1358"/>
      <c r="G649" s="1358"/>
      <c r="H649" s="1358"/>
      <c r="I649" s="1358"/>
      <c r="J649" s="1076"/>
      <c r="K649" s="1076"/>
      <c r="L649" s="1076"/>
      <c r="M649" s="1289"/>
      <c r="N649" s="1076"/>
      <c r="O649" s="1076"/>
      <c r="P649" s="1358"/>
      <c r="Q649" s="1358"/>
      <c r="R649" s="1364"/>
      <c r="S649" s="1364"/>
      <c r="T649" s="13"/>
      <c r="U649" s="13"/>
      <c r="V649" s="1289"/>
      <c r="W649" s="1076"/>
      <c r="X649" s="1076"/>
      <c r="Y649" s="1358"/>
      <c r="Z649" s="1358"/>
      <c r="AA649" s="1364"/>
      <c r="AB649" s="1364"/>
      <c r="AC649" s="13"/>
      <c r="AD649" s="13"/>
      <c r="AE649" s="1289"/>
      <c r="AF649" s="1372"/>
      <c r="AG649" s="1372"/>
      <c r="AH649" s="1372"/>
      <c r="AI649" s="1372"/>
      <c r="AJ649" s="1372"/>
      <c r="AK649" s="1289"/>
      <c r="AL649" s="1372"/>
      <c r="AM649" s="1372"/>
      <c r="AN649" s="1372"/>
      <c r="AO649" s="1372"/>
      <c r="AP649" s="1372"/>
      <c r="AQ649" s="1289"/>
      <c r="AR649" s="1372"/>
      <c r="AS649" s="1372"/>
      <c r="AT649" s="1372"/>
      <c r="AU649" s="1372"/>
      <c r="AV649" s="1372"/>
      <c r="AW649" s="1372"/>
      <c r="AX649" s="1372"/>
      <c r="AY649" s="1372"/>
      <c r="AZ649" s="1095"/>
      <c r="BA649" s="2"/>
    </row>
    <row r="650" spans="1:53" ht="15.75" customHeight="1">
      <c r="A650" s="1027"/>
      <c r="B650" s="1370"/>
      <c r="C650" s="13"/>
      <c r="D650" s="1371"/>
      <c r="E650" s="1357"/>
      <c r="F650" s="1358"/>
      <c r="G650" s="1358"/>
      <c r="H650" s="1358"/>
      <c r="I650" s="1358"/>
      <c r="J650" s="1076"/>
      <c r="K650" s="1076"/>
      <c r="L650" s="1076"/>
      <c r="M650" s="1289"/>
      <c r="N650" s="1076"/>
      <c r="O650" s="1076"/>
      <c r="P650" s="1358"/>
      <c r="Q650" s="1358"/>
      <c r="R650" s="1364"/>
      <c r="S650" s="1364"/>
      <c r="T650" s="13"/>
      <c r="U650" s="13"/>
      <c r="V650" s="1289"/>
      <c r="W650" s="1076"/>
      <c r="X650" s="1076"/>
      <c r="Y650" s="1358"/>
      <c r="Z650" s="1358"/>
      <c r="AA650" s="1364"/>
      <c r="AB650" s="1364"/>
      <c r="AC650" s="13"/>
      <c r="AD650" s="13"/>
      <c r="AE650" s="1289"/>
      <c r="AF650" s="1372"/>
      <c r="AG650" s="1372"/>
      <c r="AH650" s="1372"/>
      <c r="AI650" s="1372"/>
      <c r="AJ650" s="1372"/>
      <c r="AK650" s="1289"/>
      <c r="AL650" s="1372"/>
      <c r="AM650" s="1372"/>
      <c r="AN650" s="1372"/>
      <c r="AO650" s="1372"/>
      <c r="AP650" s="1372"/>
      <c r="AQ650" s="1289"/>
      <c r="AR650" s="1372"/>
      <c r="AS650" s="1372"/>
      <c r="AT650" s="1372"/>
      <c r="AU650" s="1372"/>
      <c r="AV650" s="1372"/>
      <c r="AW650" s="1372"/>
      <c r="AX650" s="1372"/>
      <c r="AY650" s="1372"/>
      <c r="AZ650" s="1095"/>
      <c r="BA650" s="2"/>
    </row>
    <row r="651" spans="1:53" ht="15.75" customHeight="1">
      <c r="A651" s="1027"/>
      <c r="B651" s="1370"/>
      <c r="C651" s="13"/>
      <c r="D651" s="1371"/>
      <c r="E651" s="1357"/>
      <c r="F651" s="1358"/>
      <c r="G651" s="1358"/>
      <c r="H651" s="1358"/>
      <c r="I651" s="1358"/>
      <c r="J651" s="1076"/>
      <c r="K651" s="1076"/>
      <c r="L651" s="1076"/>
      <c r="M651" s="1289"/>
      <c r="N651" s="1076"/>
      <c r="O651" s="1076"/>
      <c r="P651" s="1358"/>
      <c r="Q651" s="1358"/>
      <c r="R651" s="1364"/>
      <c r="S651" s="1364"/>
      <c r="T651" s="13"/>
      <c r="U651" s="13"/>
      <c r="V651" s="1289"/>
      <c r="W651" s="1076"/>
      <c r="X651" s="1076"/>
      <c r="Y651" s="1358"/>
      <c r="Z651" s="1358"/>
      <c r="AA651" s="1364"/>
      <c r="AB651" s="1364"/>
      <c r="AC651" s="13"/>
      <c r="AD651" s="13"/>
      <c r="AE651" s="1289"/>
      <c r="AF651" s="1372"/>
      <c r="AG651" s="1372"/>
      <c r="AH651" s="1372"/>
      <c r="AI651" s="1372"/>
      <c r="AJ651" s="1372"/>
      <c r="AK651" s="1289"/>
      <c r="AL651" s="1372"/>
      <c r="AM651" s="1372"/>
      <c r="AN651" s="1372"/>
      <c r="AO651" s="1372"/>
      <c r="AP651" s="1372"/>
      <c r="AQ651" s="1289"/>
      <c r="AR651" s="1372"/>
      <c r="AS651" s="1372"/>
      <c r="AT651" s="1372"/>
      <c r="AU651" s="1372"/>
      <c r="AV651" s="1372"/>
      <c r="AW651" s="1372"/>
      <c r="AX651" s="1372"/>
      <c r="AY651" s="1372"/>
      <c r="AZ651" s="1095"/>
      <c r="BA651" s="2"/>
    </row>
    <row r="652" spans="1:53" ht="15.75" customHeight="1">
      <c r="A652" s="1027"/>
      <c r="B652" s="1370"/>
      <c r="C652" s="13"/>
      <c r="D652" s="1371"/>
      <c r="E652" s="1357"/>
      <c r="F652" s="1358"/>
      <c r="G652" s="1358"/>
      <c r="H652" s="1358"/>
      <c r="I652" s="1358"/>
      <c r="J652" s="1076"/>
      <c r="K652" s="1076"/>
      <c r="L652" s="1076"/>
      <c r="M652" s="1289"/>
      <c r="N652" s="1076"/>
      <c r="O652" s="1076"/>
      <c r="P652" s="1358"/>
      <c r="Q652" s="1358"/>
      <c r="R652" s="1364"/>
      <c r="S652" s="1364"/>
      <c r="T652" s="13"/>
      <c r="U652" s="13"/>
      <c r="V652" s="1289"/>
      <c r="W652" s="1076"/>
      <c r="X652" s="1076"/>
      <c r="Y652" s="1358"/>
      <c r="Z652" s="1358"/>
      <c r="AA652" s="1364"/>
      <c r="AB652" s="1364"/>
      <c r="AC652" s="13"/>
      <c r="AD652" s="13"/>
      <c r="AE652" s="1289"/>
      <c r="AF652" s="1372"/>
      <c r="AG652" s="1372"/>
      <c r="AH652" s="1372"/>
      <c r="AI652" s="1372"/>
      <c r="AJ652" s="1372"/>
      <c r="AK652" s="1289"/>
      <c r="AL652" s="1372"/>
      <c r="AM652" s="1372"/>
      <c r="AN652" s="1372"/>
      <c r="AO652" s="1372"/>
      <c r="AP652" s="1372"/>
      <c r="AQ652" s="1289"/>
      <c r="AR652" s="1372"/>
      <c r="AS652" s="1372"/>
      <c r="AT652" s="1372"/>
      <c r="AU652" s="1372"/>
      <c r="AV652" s="1372"/>
      <c r="AW652" s="1372"/>
      <c r="AX652" s="1372"/>
      <c r="AY652" s="1372"/>
      <c r="AZ652" s="1095"/>
      <c r="BA652" s="2"/>
    </row>
    <row r="653" spans="1:53" ht="15.75" customHeight="1">
      <c r="A653" s="1027"/>
      <c r="B653" s="1370"/>
      <c r="C653" s="13"/>
      <c r="D653" s="1371"/>
      <c r="E653" s="1357"/>
      <c r="F653" s="1358"/>
      <c r="G653" s="1358"/>
      <c r="H653" s="1358"/>
      <c r="I653" s="1358"/>
      <c r="J653" s="1076"/>
      <c r="K653" s="1076"/>
      <c r="L653" s="1076"/>
      <c r="M653" s="1289"/>
      <c r="N653" s="1076"/>
      <c r="O653" s="1076"/>
      <c r="P653" s="1358"/>
      <c r="Q653" s="1358"/>
      <c r="R653" s="1364"/>
      <c r="S653" s="1364"/>
      <c r="T653" s="13"/>
      <c r="U653" s="13"/>
      <c r="V653" s="1289"/>
      <c r="W653" s="1076"/>
      <c r="X653" s="1076"/>
      <c r="Y653" s="1358"/>
      <c r="Z653" s="1358"/>
      <c r="AA653" s="1364"/>
      <c r="AB653" s="1364"/>
      <c r="AC653" s="13"/>
      <c r="AD653" s="13"/>
      <c r="AE653" s="1289"/>
      <c r="AF653" s="1372"/>
      <c r="AG653" s="1372"/>
      <c r="AH653" s="1372"/>
      <c r="AI653" s="1372"/>
      <c r="AJ653" s="1372"/>
      <c r="AK653" s="1289"/>
      <c r="AL653" s="1372"/>
      <c r="AM653" s="1372"/>
      <c r="AN653" s="1372"/>
      <c r="AO653" s="1372"/>
      <c r="AP653" s="1372"/>
      <c r="AQ653" s="1289"/>
      <c r="AR653" s="1372"/>
      <c r="AS653" s="1372"/>
      <c r="AT653" s="1372"/>
      <c r="AU653" s="1372"/>
      <c r="AV653" s="1372"/>
      <c r="AW653" s="1372"/>
      <c r="AX653" s="1372"/>
      <c r="AY653" s="1372"/>
      <c r="AZ653" s="1095"/>
      <c r="BA653" s="2"/>
    </row>
    <row r="654" spans="1:53" ht="15.75" customHeight="1">
      <c r="A654" s="1027"/>
      <c r="B654" s="1370"/>
      <c r="C654" s="13"/>
      <c r="D654" s="1371"/>
      <c r="E654" s="1357"/>
      <c r="F654" s="1358"/>
      <c r="G654" s="1358"/>
      <c r="H654" s="1358"/>
      <c r="I654" s="1358"/>
      <c r="J654" s="1076"/>
      <c r="K654" s="1076"/>
      <c r="L654" s="1076"/>
      <c r="M654" s="1289"/>
      <c r="N654" s="1076"/>
      <c r="O654" s="1076"/>
      <c r="P654" s="1358"/>
      <c r="Q654" s="1358"/>
      <c r="R654" s="1364"/>
      <c r="S654" s="1364"/>
      <c r="T654" s="13"/>
      <c r="U654" s="13"/>
      <c r="V654" s="1289"/>
      <c r="W654" s="1076"/>
      <c r="X654" s="1076"/>
      <c r="Y654" s="1358"/>
      <c r="Z654" s="1358"/>
      <c r="AA654" s="1364"/>
      <c r="AB654" s="1364"/>
      <c r="AC654" s="13"/>
      <c r="AD654" s="13"/>
      <c r="AE654" s="1289"/>
      <c r="AF654" s="1372"/>
      <c r="AG654" s="1372"/>
      <c r="AH654" s="1372"/>
      <c r="AI654" s="1372"/>
      <c r="AJ654" s="1372"/>
      <c r="AK654" s="1289"/>
      <c r="AL654" s="1372"/>
      <c r="AM654" s="1372"/>
      <c r="AN654" s="1372"/>
      <c r="AO654" s="1372"/>
      <c r="AP654" s="1372"/>
      <c r="AQ654" s="1289"/>
      <c r="AR654" s="1372"/>
      <c r="AS654" s="1372"/>
      <c r="AT654" s="1372"/>
      <c r="AU654" s="1372"/>
      <c r="AV654" s="1372"/>
      <c r="AW654" s="1372"/>
      <c r="AX654" s="1372"/>
      <c r="AY654" s="1372"/>
      <c r="AZ654" s="1095"/>
      <c r="BA654" s="2"/>
    </row>
    <row r="655" spans="1:53" ht="15.75" customHeight="1">
      <c r="A655" s="1027"/>
      <c r="B655" s="1370"/>
      <c r="C655" s="13"/>
      <c r="D655" s="1371"/>
      <c r="E655" s="1357"/>
      <c r="F655" s="1358"/>
      <c r="G655" s="1358"/>
      <c r="H655" s="1358"/>
      <c r="I655" s="1358"/>
      <c r="J655" s="1076"/>
      <c r="K655" s="1076"/>
      <c r="L655" s="1076"/>
      <c r="M655" s="1289"/>
      <c r="N655" s="1076"/>
      <c r="O655" s="1076"/>
      <c r="P655" s="1358"/>
      <c r="Q655" s="1358"/>
      <c r="R655" s="1364"/>
      <c r="S655" s="1364"/>
      <c r="T655" s="13"/>
      <c r="U655" s="13"/>
      <c r="V655" s="1289"/>
      <c r="W655" s="1076"/>
      <c r="X655" s="1076"/>
      <c r="Y655" s="1358"/>
      <c r="Z655" s="1358"/>
      <c r="AA655" s="1364"/>
      <c r="AB655" s="1364"/>
      <c r="AC655" s="13"/>
      <c r="AD655" s="13"/>
      <c r="AE655" s="1289"/>
      <c r="AF655" s="1372"/>
      <c r="AG655" s="1372"/>
      <c r="AH655" s="1372"/>
      <c r="AI655" s="1372"/>
      <c r="AJ655" s="1372"/>
      <c r="AK655" s="1289"/>
      <c r="AL655" s="1372"/>
      <c r="AM655" s="1372"/>
      <c r="AN655" s="1372"/>
      <c r="AO655" s="1372"/>
      <c r="AP655" s="1372"/>
      <c r="AQ655" s="1289"/>
      <c r="AR655" s="1372"/>
      <c r="AS655" s="1372"/>
      <c r="AT655" s="1372"/>
      <c r="AU655" s="1372"/>
      <c r="AV655" s="1372"/>
      <c r="AW655" s="1372"/>
      <c r="AX655" s="1372"/>
      <c r="AY655" s="1372"/>
      <c r="AZ655" s="1095"/>
      <c r="BA655" s="2"/>
    </row>
    <row r="656" spans="1:53" ht="15.75" customHeight="1">
      <c r="A656" s="1027"/>
      <c r="B656" s="1370"/>
      <c r="C656" s="13"/>
      <c r="D656" s="1371"/>
      <c r="E656" s="1357"/>
      <c r="F656" s="1358"/>
      <c r="G656" s="1358"/>
      <c r="H656" s="1358"/>
      <c r="I656" s="1358"/>
      <c r="J656" s="1076"/>
      <c r="K656" s="1076"/>
      <c r="L656" s="1076"/>
      <c r="M656" s="1289"/>
      <c r="N656" s="1076"/>
      <c r="O656" s="1076"/>
      <c r="P656" s="1358"/>
      <c r="Q656" s="1358"/>
      <c r="R656" s="1364"/>
      <c r="S656" s="1364"/>
      <c r="T656" s="13"/>
      <c r="U656" s="13"/>
      <c r="V656" s="1289"/>
      <c r="W656" s="1076"/>
      <c r="X656" s="1076"/>
      <c r="Y656" s="1358"/>
      <c r="Z656" s="1358"/>
      <c r="AA656" s="1364"/>
      <c r="AB656" s="1364"/>
      <c r="AC656" s="13"/>
      <c r="AD656" s="13"/>
      <c r="AE656" s="1289"/>
      <c r="AF656" s="1372"/>
      <c r="AG656" s="1372"/>
      <c r="AH656" s="1372"/>
      <c r="AI656" s="1372"/>
      <c r="AJ656" s="1372"/>
      <c r="AK656" s="1289"/>
      <c r="AL656" s="1372"/>
      <c r="AM656" s="1372"/>
      <c r="AN656" s="1372"/>
      <c r="AO656" s="1372"/>
      <c r="AP656" s="1372"/>
      <c r="AQ656" s="1289"/>
      <c r="AR656" s="1372"/>
      <c r="AS656" s="1372"/>
      <c r="AT656" s="1372"/>
      <c r="AU656" s="1372"/>
      <c r="AV656" s="1372"/>
      <c r="AW656" s="1372"/>
      <c r="AX656" s="1372"/>
      <c r="AY656" s="1372"/>
      <c r="AZ656" s="1095"/>
      <c r="BA656" s="2"/>
    </row>
    <row r="657" spans="1:53" ht="15.75" customHeight="1">
      <c r="A657" s="1027"/>
      <c r="B657" s="1370"/>
      <c r="C657" s="13"/>
      <c r="D657" s="1371"/>
      <c r="E657" s="1357"/>
      <c r="F657" s="1358"/>
      <c r="G657" s="1358"/>
      <c r="H657" s="1358"/>
      <c r="I657" s="1358"/>
      <c r="J657" s="1076"/>
      <c r="K657" s="1076"/>
      <c r="L657" s="1076"/>
      <c r="M657" s="1289"/>
      <c r="N657" s="1076"/>
      <c r="O657" s="1076"/>
      <c r="P657" s="1358"/>
      <c r="Q657" s="1358"/>
      <c r="R657" s="1364"/>
      <c r="S657" s="1364"/>
      <c r="T657" s="13"/>
      <c r="U657" s="13"/>
      <c r="V657" s="1289"/>
      <c r="W657" s="1076"/>
      <c r="X657" s="1076"/>
      <c r="Y657" s="1358"/>
      <c r="Z657" s="1358"/>
      <c r="AA657" s="1364"/>
      <c r="AB657" s="1364"/>
      <c r="AC657" s="13"/>
      <c r="AD657" s="13"/>
      <c r="AE657" s="1289"/>
      <c r="AF657" s="1372"/>
      <c r="AG657" s="1372"/>
      <c r="AH657" s="1372"/>
      <c r="AI657" s="1372"/>
      <c r="AJ657" s="1372"/>
      <c r="AK657" s="1289"/>
      <c r="AL657" s="1372"/>
      <c r="AM657" s="1372"/>
      <c r="AN657" s="1372"/>
      <c r="AO657" s="1372"/>
      <c r="AP657" s="1372"/>
      <c r="AQ657" s="1289"/>
      <c r="AR657" s="1372"/>
      <c r="AS657" s="1372"/>
      <c r="AT657" s="1372"/>
      <c r="AU657" s="1372"/>
      <c r="AV657" s="1372"/>
      <c r="AW657" s="1372"/>
      <c r="AX657" s="1372"/>
      <c r="AY657" s="1372"/>
      <c r="AZ657" s="1095"/>
      <c r="BA657" s="2"/>
    </row>
    <row r="658" spans="1:53" ht="15.75" customHeight="1">
      <c r="A658" s="1027"/>
      <c r="B658" s="1370"/>
      <c r="C658" s="13"/>
      <c r="D658" s="1371"/>
      <c r="E658" s="1357"/>
      <c r="F658" s="1358"/>
      <c r="G658" s="1358"/>
      <c r="H658" s="1358"/>
      <c r="I658" s="1358"/>
      <c r="J658" s="1076"/>
      <c r="K658" s="1076"/>
      <c r="L658" s="1076"/>
      <c r="M658" s="1289"/>
      <c r="N658" s="1076"/>
      <c r="O658" s="1076"/>
      <c r="P658" s="1358"/>
      <c r="Q658" s="1358"/>
      <c r="R658" s="1364"/>
      <c r="S658" s="1364"/>
      <c r="T658" s="13"/>
      <c r="U658" s="13"/>
      <c r="V658" s="1289"/>
      <c r="W658" s="1076"/>
      <c r="X658" s="1076"/>
      <c r="Y658" s="1358"/>
      <c r="Z658" s="1358"/>
      <c r="AA658" s="1364"/>
      <c r="AB658" s="1364"/>
      <c r="AC658" s="13"/>
      <c r="AD658" s="13"/>
      <c r="AE658" s="1289"/>
      <c r="AF658" s="1372"/>
      <c r="AG658" s="1372"/>
      <c r="AH658" s="1372"/>
      <c r="AI658" s="1372"/>
      <c r="AJ658" s="1372"/>
      <c r="AK658" s="1289"/>
      <c r="AL658" s="1372"/>
      <c r="AM658" s="1372"/>
      <c r="AN658" s="1372"/>
      <c r="AO658" s="1372"/>
      <c r="AP658" s="1372"/>
      <c r="AQ658" s="1289"/>
      <c r="AR658" s="1372"/>
      <c r="AS658" s="1372"/>
      <c r="AT658" s="1372"/>
      <c r="AU658" s="1372"/>
      <c r="AV658" s="1372"/>
      <c r="AW658" s="1372"/>
      <c r="AX658" s="1372"/>
      <c r="AY658" s="1372"/>
      <c r="AZ658" s="1095"/>
      <c r="BA658" s="2"/>
    </row>
    <row r="659" spans="1:53" ht="15.75" customHeight="1">
      <c r="A659" s="1027"/>
      <c r="B659" s="1370"/>
      <c r="C659" s="13"/>
      <c r="D659" s="1371"/>
      <c r="E659" s="1357"/>
      <c r="F659" s="1358"/>
      <c r="G659" s="1358"/>
      <c r="H659" s="1358"/>
      <c r="I659" s="1358"/>
      <c r="J659" s="1076"/>
      <c r="K659" s="1076"/>
      <c r="L659" s="1076"/>
      <c r="M659" s="1289"/>
      <c r="N659" s="1076"/>
      <c r="O659" s="1076"/>
      <c r="P659" s="1358"/>
      <c r="Q659" s="1358"/>
      <c r="R659" s="1364"/>
      <c r="S659" s="1364"/>
      <c r="T659" s="13"/>
      <c r="U659" s="13"/>
      <c r="V659" s="1289"/>
      <c r="W659" s="1076"/>
      <c r="X659" s="1076"/>
      <c r="Y659" s="1358"/>
      <c r="Z659" s="1358"/>
      <c r="AA659" s="1364"/>
      <c r="AB659" s="1364"/>
      <c r="AC659" s="13"/>
      <c r="AD659" s="13"/>
      <c r="AE659" s="1289"/>
      <c r="AF659" s="1372"/>
      <c r="AG659" s="1372"/>
      <c r="AH659" s="1372"/>
      <c r="AI659" s="1372"/>
      <c r="AJ659" s="1372"/>
      <c r="AK659" s="1289"/>
      <c r="AL659" s="1372"/>
      <c r="AM659" s="1372"/>
      <c r="AN659" s="1372"/>
      <c r="AO659" s="1372"/>
      <c r="AP659" s="1372"/>
      <c r="AQ659" s="1289"/>
      <c r="AR659" s="1372"/>
      <c r="AS659" s="1372"/>
      <c r="AT659" s="1372"/>
      <c r="AU659" s="1372"/>
      <c r="AV659" s="1372"/>
      <c r="AW659" s="1372"/>
      <c r="AX659" s="1372"/>
      <c r="AY659" s="1372"/>
      <c r="AZ659" s="1095"/>
      <c r="BA659" s="2"/>
    </row>
    <row r="660" spans="1:53" ht="15.75" customHeight="1">
      <c r="A660" s="1027"/>
      <c r="B660" s="1370"/>
      <c r="C660" s="13"/>
      <c r="D660" s="1371"/>
      <c r="E660" s="1357"/>
      <c r="F660" s="1358"/>
      <c r="G660" s="1358"/>
      <c r="H660" s="1358"/>
      <c r="I660" s="1358"/>
      <c r="J660" s="1076"/>
      <c r="K660" s="1076"/>
      <c r="L660" s="1076"/>
      <c r="M660" s="1289"/>
      <c r="N660" s="1076"/>
      <c r="O660" s="1076"/>
      <c r="P660" s="1358"/>
      <c r="Q660" s="1358"/>
      <c r="R660" s="1364"/>
      <c r="S660" s="1364"/>
      <c r="T660" s="13"/>
      <c r="U660" s="13"/>
      <c r="V660" s="1289"/>
      <c r="W660" s="1076"/>
      <c r="X660" s="1076"/>
      <c r="Y660" s="1358"/>
      <c r="Z660" s="1358"/>
      <c r="AA660" s="1364"/>
      <c r="AB660" s="1364"/>
      <c r="AC660" s="13"/>
      <c r="AD660" s="13"/>
      <c r="AE660" s="1289"/>
      <c r="AF660" s="1372"/>
      <c r="AG660" s="1372"/>
      <c r="AH660" s="1372"/>
      <c r="AI660" s="1372"/>
      <c r="AJ660" s="1372"/>
      <c r="AK660" s="1289"/>
      <c r="AL660" s="1372"/>
      <c r="AM660" s="1372"/>
      <c r="AN660" s="1372"/>
      <c r="AO660" s="1372"/>
      <c r="AP660" s="1372"/>
      <c r="AQ660" s="1289"/>
      <c r="AR660" s="1372"/>
      <c r="AS660" s="1372"/>
      <c r="AT660" s="1372"/>
      <c r="AU660" s="1372"/>
      <c r="AV660" s="1372"/>
      <c r="AW660" s="1372"/>
      <c r="AX660" s="1372"/>
      <c r="AY660" s="1372"/>
      <c r="AZ660" s="1095"/>
      <c r="BA660" s="2"/>
    </row>
    <row r="661" spans="1:53" ht="15.75" customHeight="1">
      <c r="A661" s="1027"/>
      <c r="B661" s="1370"/>
      <c r="C661" s="13"/>
      <c r="D661" s="1371"/>
      <c r="E661" s="1357"/>
      <c r="F661" s="1358"/>
      <c r="G661" s="1358"/>
      <c r="H661" s="1358"/>
      <c r="I661" s="1358"/>
      <c r="J661" s="1076"/>
      <c r="K661" s="1076"/>
      <c r="L661" s="1076"/>
      <c r="M661" s="1289"/>
      <c r="N661" s="1076"/>
      <c r="O661" s="1076"/>
      <c r="P661" s="1358"/>
      <c r="Q661" s="1358"/>
      <c r="R661" s="1364"/>
      <c r="S661" s="1364"/>
      <c r="T661" s="13"/>
      <c r="U661" s="13"/>
      <c r="V661" s="1289"/>
      <c r="W661" s="1076"/>
      <c r="X661" s="1076"/>
      <c r="Y661" s="1358"/>
      <c r="Z661" s="1358"/>
      <c r="AA661" s="1364"/>
      <c r="AB661" s="1364"/>
      <c r="AC661" s="13"/>
      <c r="AD661" s="13"/>
      <c r="AE661" s="1289"/>
      <c r="AF661" s="1372"/>
      <c r="AG661" s="1372"/>
      <c r="AH661" s="1372"/>
      <c r="AI661" s="1372"/>
      <c r="AJ661" s="1372"/>
      <c r="AK661" s="1289"/>
      <c r="AL661" s="1372"/>
      <c r="AM661" s="1372"/>
      <c r="AN661" s="1372"/>
      <c r="AO661" s="1372"/>
      <c r="AP661" s="1372"/>
      <c r="AQ661" s="1289"/>
      <c r="AR661" s="1372"/>
      <c r="AS661" s="1372"/>
      <c r="AT661" s="1372"/>
      <c r="AU661" s="1372"/>
      <c r="AV661" s="1372"/>
      <c r="AW661" s="1372"/>
      <c r="AX661" s="1372"/>
      <c r="AY661" s="1372"/>
      <c r="AZ661" s="1095"/>
      <c r="BA661" s="2"/>
    </row>
    <row r="662" spans="1:53" ht="15.75" customHeight="1">
      <c r="A662" s="1027"/>
      <c r="B662" s="1370"/>
      <c r="C662" s="13"/>
      <c r="D662" s="1371"/>
      <c r="E662" s="1357"/>
      <c r="F662" s="1358"/>
      <c r="G662" s="1358"/>
      <c r="H662" s="1358"/>
      <c r="I662" s="1358"/>
      <c r="J662" s="1076"/>
      <c r="K662" s="1076"/>
      <c r="L662" s="1076"/>
      <c r="M662" s="1289"/>
      <c r="N662" s="1076"/>
      <c r="O662" s="1076"/>
      <c r="P662" s="1358"/>
      <c r="Q662" s="1358"/>
      <c r="R662" s="1364"/>
      <c r="S662" s="1364"/>
      <c r="T662" s="13"/>
      <c r="U662" s="13"/>
      <c r="V662" s="1289"/>
      <c r="W662" s="1076"/>
      <c r="X662" s="1076"/>
      <c r="Y662" s="1358"/>
      <c r="Z662" s="1358"/>
      <c r="AA662" s="1364"/>
      <c r="AB662" s="1364"/>
      <c r="AC662" s="13"/>
      <c r="AD662" s="13"/>
      <c r="AE662" s="1289"/>
      <c r="AF662" s="1372"/>
      <c r="AG662" s="1372"/>
      <c r="AH662" s="1372"/>
      <c r="AI662" s="1372"/>
      <c r="AJ662" s="1372"/>
      <c r="AK662" s="1289"/>
      <c r="AL662" s="1372"/>
      <c r="AM662" s="1372"/>
      <c r="AN662" s="1372"/>
      <c r="AO662" s="1372"/>
      <c r="AP662" s="1372"/>
      <c r="AQ662" s="1289"/>
      <c r="AR662" s="1372"/>
      <c r="AS662" s="1372"/>
      <c r="AT662" s="1372"/>
      <c r="AU662" s="1372"/>
      <c r="AV662" s="1372"/>
      <c r="AW662" s="1372"/>
      <c r="AX662" s="1372"/>
      <c r="AY662" s="1372"/>
      <c r="AZ662" s="1095"/>
      <c r="BA662" s="2"/>
    </row>
    <row r="663" spans="1:53" ht="15.75" customHeight="1">
      <c r="A663" s="1027"/>
      <c r="B663" s="1370"/>
      <c r="C663" s="13"/>
      <c r="D663" s="1371"/>
      <c r="E663" s="1357"/>
      <c r="F663" s="1358"/>
      <c r="G663" s="1358"/>
      <c r="H663" s="1358"/>
      <c r="I663" s="1358"/>
      <c r="J663" s="1076"/>
      <c r="K663" s="1076"/>
      <c r="L663" s="1076"/>
      <c r="M663" s="1289"/>
      <c r="N663" s="1076"/>
      <c r="O663" s="1076"/>
      <c r="P663" s="1358"/>
      <c r="Q663" s="1358"/>
      <c r="R663" s="1364"/>
      <c r="S663" s="1364"/>
      <c r="T663" s="13"/>
      <c r="U663" s="13"/>
      <c r="V663" s="1289"/>
      <c r="W663" s="1076"/>
      <c r="X663" s="1076"/>
      <c r="Y663" s="1358"/>
      <c r="Z663" s="1358"/>
      <c r="AA663" s="1364"/>
      <c r="AB663" s="1364"/>
      <c r="AC663" s="13"/>
      <c r="AD663" s="13"/>
      <c r="AE663" s="1289"/>
      <c r="AF663" s="1372"/>
      <c r="AG663" s="1372"/>
      <c r="AH663" s="1372"/>
      <c r="AI663" s="1372"/>
      <c r="AJ663" s="1372"/>
      <c r="AK663" s="1289"/>
      <c r="AL663" s="1372"/>
      <c r="AM663" s="1372"/>
      <c r="AN663" s="1372"/>
      <c r="AO663" s="1372"/>
      <c r="AP663" s="1372"/>
      <c r="AQ663" s="1289"/>
      <c r="AR663" s="1372"/>
      <c r="AS663" s="1372"/>
      <c r="AT663" s="1372"/>
      <c r="AU663" s="1372"/>
      <c r="AV663" s="1372"/>
      <c r="AW663" s="1372"/>
      <c r="AX663" s="1372"/>
      <c r="AY663" s="1372"/>
      <c r="AZ663" s="1095"/>
      <c r="BA663" s="2"/>
    </row>
    <row r="664" spans="1:53" ht="15.75" customHeight="1">
      <c r="A664" s="1027"/>
      <c r="B664" s="1370"/>
      <c r="C664" s="13"/>
      <c r="D664" s="1371"/>
      <c r="E664" s="1357"/>
      <c r="F664" s="1358"/>
      <c r="G664" s="1358"/>
      <c r="H664" s="1358"/>
      <c r="I664" s="1358"/>
      <c r="J664" s="1076"/>
      <c r="K664" s="1076"/>
      <c r="L664" s="1076"/>
      <c r="M664" s="1289"/>
      <c r="N664" s="1076"/>
      <c r="O664" s="1076"/>
      <c r="P664" s="1358"/>
      <c r="Q664" s="1358"/>
      <c r="R664" s="1364"/>
      <c r="S664" s="1364"/>
      <c r="T664" s="13"/>
      <c r="U664" s="13"/>
      <c r="V664" s="1289"/>
      <c r="W664" s="1076"/>
      <c r="X664" s="1076"/>
      <c r="Y664" s="1358"/>
      <c r="Z664" s="1358"/>
      <c r="AA664" s="1364"/>
      <c r="AB664" s="1364"/>
      <c r="AC664" s="13"/>
      <c r="AD664" s="13"/>
      <c r="AE664" s="1289"/>
      <c r="AF664" s="1372"/>
      <c r="AG664" s="1372"/>
      <c r="AH664" s="1372"/>
      <c r="AI664" s="1372"/>
      <c r="AJ664" s="1372"/>
      <c r="AK664" s="1289"/>
      <c r="AL664" s="1372"/>
      <c r="AM664" s="1372"/>
      <c r="AN664" s="1372"/>
      <c r="AO664" s="1372"/>
      <c r="AP664" s="1372"/>
      <c r="AQ664" s="1289"/>
      <c r="AR664" s="1372"/>
      <c r="AS664" s="1372"/>
      <c r="AT664" s="1372"/>
      <c r="AU664" s="1372"/>
      <c r="AV664" s="1372"/>
      <c r="AW664" s="1372"/>
      <c r="AX664" s="1372"/>
      <c r="AY664" s="1372"/>
      <c r="AZ664" s="1095"/>
      <c r="BA664" s="2"/>
    </row>
    <row r="665" spans="1:53" ht="15.75" customHeight="1">
      <c r="A665" s="1027"/>
      <c r="B665" s="1370"/>
      <c r="C665" s="13"/>
      <c r="D665" s="1371"/>
      <c r="E665" s="1357"/>
      <c r="F665" s="1358"/>
      <c r="G665" s="1358"/>
      <c r="H665" s="1358"/>
      <c r="I665" s="1358"/>
      <c r="J665" s="1076"/>
      <c r="K665" s="1076"/>
      <c r="L665" s="1076"/>
      <c r="M665" s="1289"/>
      <c r="N665" s="1076"/>
      <c r="O665" s="1076"/>
      <c r="P665" s="1358"/>
      <c r="Q665" s="1358"/>
      <c r="R665" s="1364"/>
      <c r="S665" s="1364"/>
      <c r="T665" s="13"/>
      <c r="U665" s="13"/>
      <c r="V665" s="1289"/>
      <c r="W665" s="1076"/>
      <c r="X665" s="1076"/>
      <c r="Y665" s="1358"/>
      <c r="Z665" s="1358"/>
      <c r="AA665" s="1364"/>
      <c r="AB665" s="1364"/>
      <c r="AC665" s="13"/>
      <c r="AD665" s="13"/>
      <c r="AE665" s="1289"/>
      <c r="AF665" s="1372"/>
      <c r="AG665" s="1372"/>
      <c r="AH665" s="1372"/>
      <c r="AI665" s="1372"/>
      <c r="AJ665" s="1372"/>
      <c r="AK665" s="1289"/>
      <c r="AL665" s="1372"/>
      <c r="AM665" s="1372"/>
      <c r="AN665" s="1372"/>
      <c r="AO665" s="1372"/>
      <c r="AP665" s="1372"/>
      <c r="AQ665" s="1289"/>
      <c r="AR665" s="1372"/>
      <c r="AS665" s="1372"/>
      <c r="AT665" s="1372"/>
      <c r="AU665" s="1372"/>
      <c r="AV665" s="1372"/>
      <c r="AW665" s="1372"/>
      <c r="AX665" s="1372"/>
      <c r="AY665" s="1372"/>
      <c r="AZ665" s="1095"/>
      <c r="BA665" s="2"/>
    </row>
    <row r="666" spans="1:53" ht="15.75" customHeight="1">
      <c r="A666" s="1027"/>
      <c r="B666" s="1370"/>
      <c r="C666" s="13"/>
      <c r="D666" s="1371"/>
      <c r="E666" s="1357"/>
      <c r="F666" s="1358"/>
      <c r="G666" s="1358"/>
      <c r="H666" s="1358"/>
      <c r="I666" s="1358"/>
      <c r="J666" s="1076"/>
      <c r="K666" s="1076"/>
      <c r="L666" s="1076"/>
      <c r="M666" s="1289"/>
      <c r="N666" s="1076"/>
      <c r="O666" s="1076"/>
      <c r="P666" s="1358"/>
      <c r="Q666" s="1358"/>
      <c r="R666" s="1364"/>
      <c r="S666" s="1364"/>
      <c r="T666" s="13"/>
      <c r="U666" s="13"/>
      <c r="V666" s="1289"/>
      <c r="W666" s="1076"/>
      <c r="X666" s="1076"/>
      <c r="Y666" s="1358"/>
      <c r="Z666" s="1358"/>
      <c r="AA666" s="1364"/>
      <c r="AB666" s="1364"/>
      <c r="AC666" s="13"/>
      <c r="AD666" s="13"/>
      <c r="AE666" s="1289"/>
      <c r="AF666" s="1372"/>
      <c r="AG666" s="1372"/>
      <c r="AH666" s="1372"/>
      <c r="AI666" s="1372"/>
      <c r="AJ666" s="1372"/>
      <c r="AK666" s="1289"/>
      <c r="AL666" s="1372"/>
      <c r="AM666" s="1372"/>
      <c r="AN666" s="1372"/>
      <c r="AO666" s="1372"/>
      <c r="AP666" s="1372"/>
      <c r="AQ666" s="1289"/>
      <c r="AR666" s="1372"/>
      <c r="AS666" s="1372"/>
      <c r="AT666" s="1372"/>
      <c r="AU666" s="1372"/>
      <c r="AV666" s="1372"/>
      <c r="AW666" s="1372"/>
      <c r="AX666" s="1372"/>
      <c r="AY666" s="1372"/>
      <c r="AZ666" s="1095"/>
      <c r="BA666" s="2"/>
    </row>
    <row r="667" spans="1:53" ht="15.75" customHeight="1">
      <c r="A667" s="1027"/>
      <c r="B667" s="1370"/>
      <c r="C667" s="13"/>
      <c r="D667" s="1371"/>
      <c r="E667" s="1357"/>
      <c r="F667" s="1358"/>
      <c r="G667" s="1358"/>
      <c r="H667" s="1358"/>
      <c r="I667" s="1358"/>
      <c r="J667" s="1076"/>
      <c r="K667" s="1076"/>
      <c r="L667" s="1076"/>
      <c r="M667" s="1289"/>
      <c r="N667" s="1076"/>
      <c r="O667" s="1076"/>
      <c r="P667" s="1358"/>
      <c r="Q667" s="1358"/>
      <c r="R667" s="1364"/>
      <c r="S667" s="1364"/>
      <c r="T667" s="13"/>
      <c r="U667" s="13"/>
      <c r="V667" s="1289"/>
      <c r="W667" s="1076"/>
      <c r="X667" s="1076"/>
      <c r="Y667" s="1358"/>
      <c r="Z667" s="1358"/>
      <c r="AA667" s="1364"/>
      <c r="AB667" s="1364"/>
      <c r="AC667" s="13"/>
      <c r="AD667" s="13"/>
      <c r="AE667" s="1289"/>
      <c r="AF667" s="1372"/>
      <c r="AG667" s="1372"/>
      <c r="AH667" s="1372"/>
      <c r="AI667" s="1372"/>
      <c r="AJ667" s="1372"/>
      <c r="AK667" s="1289"/>
      <c r="AL667" s="1372"/>
      <c r="AM667" s="1372"/>
      <c r="AN667" s="1372"/>
      <c r="AO667" s="1372"/>
      <c r="AP667" s="1372"/>
      <c r="AQ667" s="1289"/>
      <c r="AR667" s="1372"/>
      <c r="AS667" s="1372"/>
      <c r="AT667" s="1372"/>
      <c r="AU667" s="1372"/>
      <c r="AV667" s="1372"/>
      <c r="AW667" s="1372"/>
      <c r="AX667" s="1372"/>
      <c r="AY667" s="1372"/>
      <c r="AZ667" s="1095"/>
      <c r="BA667" s="2"/>
    </row>
    <row r="668" spans="1:53" ht="15.75" customHeight="1">
      <c r="A668" s="1027"/>
      <c r="B668" s="1370"/>
      <c r="C668" s="13"/>
      <c r="D668" s="1371"/>
      <c r="E668" s="1357"/>
      <c r="F668" s="1358"/>
      <c r="G668" s="1358"/>
      <c r="H668" s="1358"/>
      <c r="I668" s="1358"/>
      <c r="J668" s="1076"/>
      <c r="K668" s="1076"/>
      <c r="L668" s="1076"/>
      <c r="M668" s="1289"/>
      <c r="N668" s="1076"/>
      <c r="O668" s="1076"/>
      <c r="P668" s="1358"/>
      <c r="Q668" s="1358"/>
      <c r="R668" s="1364"/>
      <c r="S668" s="1364"/>
      <c r="T668" s="13"/>
      <c r="U668" s="13"/>
      <c r="V668" s="1289"/>
      <c r="W668" s="1076"/>
      <c r="X668" s="1076"/>
      <c r="Y668" s="1358"/>
      <c r="Z668" s="1358"/>
      <c r="AA668" s="1364"/>
      <c r="AB668" s="1364"/>
      <c r="AC668" s="13"/>
      <c r="AD668" s="13"/>
      <c r="AE668" s="1289"/>
      <c r="AF668" s="1372"/>
      <c r="AG668" s="1372"/>
      <c r="AH668" s="1372"/>
      <c r="AI668" s="1372"/>
      <c r="AJ668" s="1372"/>
      <c r="AK668" s="1289"/>
      <c r="AL668" s="1372"/>
      <c r="AM668" s="1372"/>
      <c r="AN668" s="1372"/>
      <c r="AO668" s="1372"/>
      <c r="AP668" s="1372"/>
      <c r="AQ668" s="1289"/>
      <c r="AR668" s="1372"/>
      <c r="AS668" s="1372"/>
      <c r="AT668" s="1372"/>
      <c r="AU668" s="1372"/>
      <c r="AV668" s="1372"/>
      <c r="AW668" s="1372"/>
      <c r="AX668" s="1372"/>
      <c r="AY668" s="1372"/>
      <c r="AZ668" s="1095"/>
      <c r="BA668" s="2"/>
    </row>
    <row r="669" spans="1:53" ht="15.75" customHeight="1">
      <c r="A669" s="1027"/>
      <c r="B669" s="1370"/>
      <c r="C669" s="13"/>
      <c r="D669" s="1371"/>
      <c r="E669" s="1357"/>
      <c r="F669" s="1358"/>
      <c r="G669" s="1358"/>
      <c r="H669" s="1358"/>
      <c r="I669" s="1358"/>
      <c r="J669" s="1076"/>
      <c r="K669" s="1076"/>
      <c r="L669" s="1076"/>
      <c r="M669" s="1289"/>
      <c r="N669" s="1076"/>
      <c r="O669" s="1076"/>
      <c r="P669" s="1358"/>
      <c r="Q669" s="1358"/>
      <c r="R669" s="1364"/>
      <c r="S669" s="1364"/>
      <c r="T669" s="13"/>
      <c r="U669" s="13"/>
      <c r="V669" s="1289"/>
      <c r="W669" s="1076"/>
      <c r="X669" s="1076"/>
      <c r="Y669" s="1358"/>
      <c r="Z669" s="1358"/>
      <c r="AA669" s="1364"/>
      <c r="AB669" s="1364"/>
      <c r="AC669" s="13"/>
      <c r="AD669" s="13"/>
      <c r="AE669" s="1289"/>
      <c r="AF669" s="1372"/>
      <c r="AG669" s="1372"/>
      <c r="AH669" s="1372"/>
      <c r="AI669" s="1372"/>
      <c r="AJ669" s="1372"/>
      <c r="AK669" s="1289"/>
      <c r="AL669" s="1372"/>
      <c r="AM669" s="1372"/>
      <c r="AN669" s="1372"/>
      <c r="AO669" s="1372"/>
      <c r="AP669" s="1372"/>
      <c r="AQ669" s="1289"/>
      <c r="AR669" s="1372"/>
      <c r="AS669" s="1372"/>
      <c r="AT669" s="1372"/>
      <c r="AU669" s="1372"/>
      <c r="AV669" s="1372"/>
      <c r="AW669" s="1372"/>
      <c r="AX669" s="1372"/>
      <c r="AY669" s="1372"/>
      <c r="AZ669" s="1095"/>
      <c r="BA669" s="2"/>
    </row>
    <row r="670" spans="1:53" ht="15.75" customHeight="1">
      <c r="A670" s="1027"/>
      <c r="B670" s="1370"/>
      <c r="C670" s="13"/>
      <c r="D670" s="1371"/>
      <c r="E670" s="1357"/>
      <c r="F670" s="1358"/>
      <c r="G670" s="1358"/>
      <c r="H670" s="1358"/>
      <c r="I670" s="1358"/>
      <c r="J670" s="1076"/>
      <c r="K670" s="1076"/>
      <c r="L670" s="1076"/>
      <c r="M670" s="1289"/>
      <c r="N670" s="1076"/>
      <c r="O670" s="1076"/>
      <c r="P670" s="1358"/>
      <c r="Q670" s="1358"/>
      <c r="R670" s="1364"/>
      <c r="S670" s="1364"/>
      <c r="T670" s="13"/>
      <c r="U670" s="13"/>
      <c r="V670" s="1289"/>
      <c r="W670" s="1076"/>
      <c r="X670" s="1076"/>
      <c r="Y670" s="1358"/>
      <c r="Z670" s="1358"/>
      <c r="AA670" s="1364"/>
      <c r="AB670" s="1364"/>
      <c r="AC670" s="13"/>
      <c r="AD670" s="13"/>
      <c r="AE670" s="1289"/>
      <c r="AF670" s="1372"/>
      <c r="AG670" s="1372"/>
      <c r="AH670" s="1372"/>
      <c r="AI670" s="1372"/>
      <c r="AJ670" s="1372"/>
      <c r="AK670" s="1289"/>
      <c r="AL670" s="1372"/>
      <c r="AM670" s="1372"/>
      <c r="AN670" s="1372"/>
      <c r="AO670" s="1372"/>
      <c r="AP670" s="1372"/>
      <c r="AQ670" s="1289"/>
      <c r="AR670" s="1372"/>
      <c r="AS670" s="1372"/>
      <c r="AT670" s="1372"/>
      <c r="AU670" s="1372"/>
      <c r="AV670" s="1372"/>
      <c r="AW670" s="1372"/>
      <c r="AX670" s="1372"/>
      <c r="AY670" s="1372"/>
      <c r="AZ670" s="1095"/>
      <c r="BA670" s="2"/>
    </row>
    <row r="671" spans="1:53" ht="15.75" customHeight="1">
      <c r="A671" s="1027"/>
      <c r="B671" s="1370"/>
      <c r="C671" s="13"/>
      <c r="D671" s="1371"/>
      <c r="E671" s="1357"/>
      <c r="F671" s="1358"/>
      <c r="G671" s="1358"/>
      <c r="H671" s="1358"/>
      <c r="I671" s="1358"/>
      <c r="J671" s="1076"/>
      <c r="K671" s="1076"/>
      <c r="L671" s="1076"/>
      <c r="M671" s="1289"/>
      <c r="N671" s="1076"/>
      <c r="O671" s="1076"/>
      <c r="P671" s="1358"/>
      <c r="Q671" s="1358"/>
      <c r="R671" s="1364"/>
      <c r="S671" s="1364"/>
      <c r="T671" s="13"/>
      <c r="U671" s="13"/>
      <c r="V671" s="1289"/>
      <c r="W671" s="1076"/>
      <c r="X671" s="1076"/>
      <c r="Y671" s="1358"/>
      <c r="Z671" s="1358"/>
      <c r="AA671" s="1364"/>
      <c r="AB671" s="1364"/>
      <c r="AC671" s="13"/>
      <c r="AD671" s="13"/>
      <c r="AE671" s="1289"/>
      <c r="AF671" s="1372"/>
      <c r="AG671" s="1372"/>
      <c r="AH671" s="1372"/>
      <c r="AI671" s="1372"/>
      <c r="AJ671" s="1372"/>
      <c r="AK671" s="1289"/>
      <c r="AL671" s="1372"/>
      <c r="AM671" s="1372"/>
      <c r="AN671" s="1372"/>
      <c r="AO671" s="1372"/>
      <c r="AP671" s="1372"/>
      <c r="AQ671" s="1289"/>
      <c r="AR671" s="1372"/>
      <c r="AS671" s="1372"/>
      <c r="AT671" s="1372"/>
      <c r="AU671" s="1372"/>
      <c r="AV671" s="1372"/>
      <c r="AW671" s="1372"/>
      <c r="AX671" s="1372"/>
      <c r="AY671" s="1372"/>
      <c r="AZ671" s="1095"/>
      <c r="BA671" s="2"/>
    </row>
    <row r="672" spans="1:53" ht="15.75" customHeight="1">
      <c r="A672" s="1027"/>
      <c r="B672" s="1370"/>
      <c r="C672" s="13"/>
      <c r="D672" s="1371"/>
      <c r="E672" s="1357"/>
      <c r="F672" s="1358"/>
      <c r="G672" s="1358"/>
      <c r="H672" s="1358"/>
      <c r="I672" s="1358"/>
      <c r="J672" s="1076"/>
      <c r="K672" s="1076"/>
      <c r="L672" s="1076"/>
      <c r="M672" s="1289"/>
      <c r="N672" s="1076"/>
      <c r="O672" s="1076"/>
      <c r="P672" s="1358"/>
      <c r="Q672" s="1358"/>
      <c r="R672" s="1364"/>
      <c r="S672" s="1364"/>
      <c r="T672" s="13"/>
      <c r="U672" s="13"/>
      <c r="V672" s="1289"/>
      <c r="W672" s="1076"/>
      <c r="X672" s="1076"/>
      <c r="Y672" s="1358"/>
      <c r="Z672" s="1358"/>
      <c r="AA672" s="1364"/>
      <c r="AB672" s="1364"/>
      <c r="AC672" s="13"/>
      <c r="AD672" s="13"/>
      <c r="AE672" s="1289"/>
      <c r="AF672" s="1372"/>
      <c r="AG672" s="1372"/>
      <c r="AH672" s="1372"/>
      <c r="AI672" s="1372"/>
      <c r="AJ672" s="1372"/>
      <c r="AK672" s="1289"/>
      <c r="AL672" s="1372"/>
      <c r="AM672" s="1372"/>
      <c r="AN672" s="1372"/>
      <c r="AO672" s="1372"/>
      <c r="AP672" s="1372"/>
      <c r="AQ672" s="1289"/>
      <c r="AR672" s="1372"/>
      <c r="AS672" s="1372"/>
      <c r="AT672" s="1372"/>
      <c r="AU672" s="1372"/>
      <c r="AV672" s="1372"/>
      <c r="AW672" s="1372"/>
      <c r="AX672" s="1372"/>
      <c r="AY672" s="1372"/>
      <c r="AZ672" s="1095"/>
      <c r="BA672" s="2"/>
    </row>
    <row r="673" spans="1:53" ht="15.75" customHeight="1">
      <c r="A673" s="1027"/>
      <c r="B673" s="1370"/>
      <c r="C673" s="13"/>
      <c r="D673" s="1371"/>
      <c r="E673" s="1357"/>
      <c r="F673" s="1358"/>
      <c r="G673" s="1358"/>
      <c r="H673" s="1358"/>
      <c r="I673" s="1358"/>
      <c r="J673" s="1076"/>
      <c r="K673" s="1076"/>
      <c r="L673" s="1076"/>
      <c r="M673" s="1289"/>
      <c r="N673" s="1076"/>
      <c r="O673" s="1076"/>
      <c r="P673" s="1358"/>
      <c r="Q673" s="1358"/>
      <c r="R673" s="1364"/>
      <c r="S673" s="1364"/>
      <c r="T673" s="13"/>
      <c r="U673" s="13"/>
      <c r="V673" s="1289"/>
      <c r="W673" s="1076"/>
      <c r="X673" s="1076"/>
      <c r="Y673" s="1358"/>
      <c r="Z673" s="1358"/>
      <c r="AA673" s="1364"/>
      <c r="AB673" s="1364"/>
      <c r="AC673" s="13"/>
      <c r="AD673" s="13"/>
      <c r="AE673" s="1289"/>
      <c r="AF673" s="1372"/>
      <c r="AG673" s="1372"/>
      <c r="AH673" s="1372"/>
      <c r="AI673" s="1372"/>
      <c r="AJ673" s="1372"/>
      <c r="AK673" s="1289"/>
      <c r="AL673" s="1372"/>
      <c r="AM673" s="1372"/>
      <c r="AN673" s="1372"/>
      <c r="AO673" s="1372"/>
      <c r="AP673" s="1372"/>
      <c r="AQ673" s="1289"/>
      <c r="AR673" s="1372"/>
      <c r="AS673" s="1372"/>
      <c r="AT673" s="1372"/>
      <c r="AU673" s="1372"/>
      <c r="AV673" s="1372"/>
      <c r="AW673" s="1372"/>
      <c r="AX673" s="1372"/>
      <c r="AY673" s="1372"/>
      <c r="AZ673" s="1095"/>
      <c r="BA673" s="2"/>
    </row>
    <row r="674" spans="1:53" ht="15.75" customHeight="1">
      <c r="A674" s="1027"/>
      <c r="B674" s="1370"/>
      <c r="C674" s="13"/>
      <c r="D674" s="1371"/>
      <c r="E674" s="1357"/>
      <c r="F674" s="1358"/>
      <c r="G674" s="1358"/>
      <c r="H674" s="1358"/>
      <c r="I674" s="1358"/>
      <c r="J674" s="1076"/>
      <c r="K674" s="1076"/>
      <c r="L674" s="1076"/>
      <c r="M674" s="1289"/>
      <c r="N674" s="1076"/>
      <c r="O674" s="1076"/>
      <c r="P674" s="1358"/>
      <c r="Q674" s="1358"/>
      <c r="R674" s="1364"/>
      <c r="S674" s="1364"/>
      <c r="T674" s="13"/>
      <c r="U674" s="13"/>
      <c r="V674" s="1289"/>
      <c r="W674" s="1076"/>
      <c r="X674" s="1076"/>
      <c r="Y674" s="1358"/>
      <c r="Z674" s="1358"/>
      <c r="AA674" s="1364"/>
      <c r="AB674" s="1364"/>
      <c r="AC674" s="13"/>
      <c r="AD674" s="13"/>
      <c r="AE674" s="1289"/>
      <c r="AF674" s="1372"/>
      <c r="AG674" s="1372"/>
      <c r="AH674" s="1372"/>
      <c r="AI674" s="1372"/>
      <c r="AJ674" s="1372"/>
      <c r="AK674" s="1289"/>
      <c r="AL674" s="1372"/>
      <c r="AM674" s="1372"/>
      <c r="AN674" s="1372"/>
      <c r="AO674" s="1372"/>
      <c r="AP674" s="1372"/>
      <c r="AQ674" s="1289"/>
      <c r="AR674" s="1372"/>
      <c r="AS674" s="1372"/>
      <c r="AT674" s="1372"/>
      <c r="AU674" s="1372"/>
      <c r="AV674" s="1372"/>
      <c r="AW674" s="1372"/>
      <c r="AX674" s="1372"/>
      <c r="AY674" s="1372"/>
      <c r="AZ674" s="1095"/>
      <c r="BA674" s="2"/>
    </row>
    <row r="675" spans="1:53" ht="15.75" customHeight="1">
      <c r="A675" s="1027"/>
      <c r="B675" s="1370"/>
      <c r="C675" s="13"/>
      <c r="D675" s="1371"/>
      <c r="E675" s="1357"/>
      <c r="F675" s="1358"/>
      <c r="G675" s="1358"/>
      <c r="H675" s="1358"/>
      <c r="I675" s="1358"/>
      <c r="J675" s="1076"/>
      <c r="K675" s="1076"/>
      <c r="L675" s="1076"/>
      <c r="M675" s="1289"/>
      <c r="N675" s="1076"/>
      <c r="O675" s="1076"/>
      <c r="P675" s="1358"/>
      <c r="Q675" s="1358"/>
      <c r="R675" s="1364"/>
      <c r="S675" s="1364"/>
      <c r="T675" s="13"/>
      <c r="U675" s="13"/>
      <c r="V675" s="1289"/>
      <c r="W675" s="1076"/>
      <c r="X675" s="1076"/>
      <c r="Y675" s="1358"/>
      <c r="Z675" s="1358"/>
      <c r="AA675" s="1364"/>
      <c r="AB675" s="1364"/>
      <c r="AC675" s="13"/>
      <c r="AD675" s="13"/>
      <c r="AE675" s="1289"/>
      <c r="AF675" s="1372"/>
      <c r="AG675" s="1372"/>
      <c r="AH675" s="1372"/>
      <c r="AI675" s="1372"/>
      <c r="AJ675" s="1372"/>
      <c r="AK675" s="1289"/>
      <c r="AL675" s="1372"/>
      <c r="AM675" s="1372"/>
      <c r="AN675" s="1372"/>
      <c r="AO675" s="1372"/>
      <c r="AP675" s="1372"/>
      <c r="AQ675" s="1289"/>
      <c r="AR675" s="1372"/>
      <c r="AS675" s="1372"/>
      <c r="AT675" s="1372"/>
      <c r="AU675" s="1372"/>
      <c r="AV675" s="1372"/>
      <c r="AW675" s="1372"/>
      <c r="AX675" s="1372"/>
      <c r="AY675" s="1372"/>
      <c r="AZ675" s="1095"/>
      <c r="BA675" s="2"/>
    </row>
    <row r="676" spans="1:53" ht="15.75" customHeight="1">
      <c r="A676" s="1027"/>
      <c r="B676" s="1370"/>
      <c r="C676" s="13"/>
      <c r="D676" s="1371"/>
      <c r="E676" s="1357"/>
      <c r="F676" s="1358"/>
      <c r="G676" s="1358"/>
      <c r="H676" s="1358"/>
      <c r="I676" s="1358"/>
      <c r="J676" s="1076"/>
      <c r="K676" s="1076"/>
      <c r="L676" s="1076"/>
      <c r="M676" s="1289"/>
      <c r="N676" s="1076"/>
      <c r="O676" s="1076"/>
      <c r="P676" s="1358"/>
      <c r="Q676" s="1358"/>
      <c r="R676" s="1364"/>
      <c r="S676" s="1364"/>
      <c r="T676" s="13"/>
      <c r="U676" s="13"/>
      <c r="V676" s="1289"/>
      <c r="W676" s="1076"/>
      <c r="X676" s="1076"/>
      <c r="Y676" s="1358"/>
      <c r="Z676" s="1358"/>
      <c r="AA676" s="1364"/>
      <c r="AB676" s="1364"/>
      <c r="AC676" s="13"/>
      <c r="AD676" s="13"/>
      <c r="AE676" s="1289"/>
      <c r="AF676" s="1372"/>
      <c r="AG676" s="1372"/>
      <c r="AH676" s="1372"/>
      <c r="AI676" s="1372"/>
      <c r="AJ676" s="1372"/>
      <c r="AK676" s="1289"/>
      <c r="AL676" s="1372"/>
      <c r="AM676" s="1372"/>
      <c r="AN676" s="1372"/>
      <c r="AO676" s="1372"/>
      <c r="AP676" s="1372"/>
      <c r="AQ676" s="1289"/>
      <c r="AR676" s="1372"/>
      <c r="AS676" s="1372"/>
      <c r="AT676" s="1372"/>
      <c r="AU676" s="1372"/>
      <c r="AV676" s="1372"/>
      <c r="AW676" s="1372"/>
      <c r="AX676" s="1372"/>
      <c r="AY676" s="1372"/>
      <c r="AZ676" s="1095"/>
      <c r="BA676" s="2"/>
    </row>
    <row r="677" spans="1:53" ht="15.75" customHeight="1">
      <c r="A677" s="1027"/>
      <c r="B677" s="1370"/>
      <c r="C677" s="13"/>
      <c r="D677" s="1371"/>
      <c r="E677" s="1357"/>
      <c r="F677" s="1358"/>
      <c r="G677" s="1358"/>
      <c r="H677" s="1358"/>
      <c r="I677" s="1358"/>
      <c r="J677" s="1076"/>
      <c r="K677" s="1076"/>
      <c r="L677" s="1076"/>
      <c r="M677" s="1289"/>
      <c r="N677" s="1076"/>
      <c r="O677" s="1076"/>
      <c r="P677" s="1358"/>
      <c r="Q677" s="1358"/>
      <c r="R677" s="1364"/>
      <c r="S677" s="1364"/>
      <c r="T677" s="13"/>
      <c r="U677" s="13"/>
      <c r="V677" s="1289"/>
      <c r="W677" s="1076"/>
      <c r="X677" s="1076"/>
      <c r="Y677" s="1358"/>
      <c r="Z677" s="1358"/>
      <c r="AA677" s="1364"/>
      <c r="AB677" s="1364"/>
      <c r="AC677" s="13"/>
      <c r="AD677" s="13"/>
      <c r="AE677" s="1289"/>
      <c r="AF677" s="1372"/>
      <c r="AG677" s="1372"/>
      <c r="AH677" s="1372"/>
      <c r="AI677" s="1372"/>
      <c r="AJ677" s="1372"/>
      <c r="AK677" s="1289"/>
      <c r="AL677" s="1372"/>
      <c r="AM677" s="1372"/>
      <c r="AN677" s="1372"/>
      <c r="AO677" s="1372"/>
      <c r="AP677" s="1372"/>
      <c r="AQ677" s="1289"/>
      <c r="AR677" s="1372"/>
      <c r="AS677" s="1372"/>
      <c r="AT677" s="1372"/>
      <c r="AU677" s="1372"/>
      <c r="AV677" s="1372"/>
      <c r="AW677" s="1372"/>
      <c r="AX677" s="1372"/>
      <c r="AY677" s="1372"/>
      <c r="AZ677" s="1095"/>
      <c r="BA677" s="2"/>
    </row>
    <row r="678" spans="1:53" ht="15.75" customHeight="1">
      <c r="A678" s="1027"/>
      <c r="B678" s="1370"/>
      <c r="C678" s="13"/>
      <c r="D678" s="1371"/>
      <c r="E678" s="1357"/>
      <c r="F678" s="1358"/>
      <c r="G678" s="1358"/>
      <c r="H678" s="1358"/>
      <c r="I678" s="1358"/>
      <c r="J678" s="1076"/>
      <c r="K678" s="1076"/>
      <c r="L678" s="1076"/>
      <c r="M678" s="1289"/>
      <c r="N678" s="1076"/>
      <c r="O678" s="1076"/>
      <c r="P678" s="1358"/>
      <c r="Q678" s="1358"/>
      <c r="R678" s="1364"/>
      <c r="S678" s="1364"/>
      <c r="T678" s="13"/>
      <c r="U678" s="13"/>
      <c r="V678" s="1289"/>
      <c r="W678" s="1076"/>
      <c r="X678" s="1076"/>
      <c r="Y678" s="1358"/>
      <c r="Z678" s="1358"/>
      <c r="AA678" s="1364"/>
      <c r="AB678" s="1364"/>
      <c r="AC678" s="13"/>
      <c r="AD678" s="13"/>
      <c r="AE678" s="1289"/>
      <c r="AF678" s="1372"/>
      <c r="AG678" s="1372"/>
      <c r="AH678" s="1372"/>
      <c r="AI678" s="1372"/>
      <c r="AJ678" s="1372"/>
      <c r="AK678" s="1289"/>
      <c r="AL678" s="1372"/>
      <c r="AM678" s="1372"/>
      <c r="AN678" s="1372"/>
      <c r="AO678" s="1372"/>
      <c r="AP678" s="1372"/>
      <c r="AQ678" s="1289"/>
      <c r="AR678" s="1372"/>
      <c r="AS678" s="1372"/>
      <c r="AT678" s="1372"/>
      <c r="AU678" s="1372"/>
      <c r="AV678" s="1372"/>
      <c r="AW678" s="1372"/>
      <c r="AX678" s="1372"/>
      <c r="AY678" s="1372"/>
      <c r="AZ678" s="1095"/>
      <c r="BA678" s="2"/>
    </row>
    <row r="679" spans="1:53" ht="15.75" customHeight="1">
      <c r="A679" s="1027"/>
      <c r="B679" s="1370"/>
      <c r="C679" s="13"/>
      <c r="D679" s="1371"/>
      <c r="E679" s="1357"/>
      <c r="F679" s="1358"/>
      <c r="G679" s="1358"/>
      <c r="H679" s="1358"/>
      <c r="I679" s="1358"/>
      <c r="J679" s="1076"/>
      <c r="K679" s="1076"/>
      <c r="L679" s="1076"/>
      <c r="M679" s="1289"/>
      <c r="N679" s="1076"/>
      <c r="O679" s="1076"/>
      <c r="P679" s="1358"/>
      <c r="Q679" s="1358"/>
      <c r="R679" s="1364"/>
      <c r="S679" s="1364"/>
      <c r="T679" s="13"/>
      <c r="U679" s="13"/>
      <c r="V679" s="1289"/>
      <c r="W679" s="1076"/>
      <c r="X679" s="1076"/>
      <c r="Y679" s="1358"/>
      <c r="Z679" s="1358"/>
      <c r="AA679" s="1364"/>
      <c r="AB679" s="1364"/>
      <c r="AC679" s="13"/>
      <c r="AD679" s="13"/>
      <c r="AE679" s="1289"/>
      <c r="AF679" s="1372"/>
      <c r="AG679" s="1372"/>
      <c r="AH679" s="1372"/>
      <c r="AI679" s="1372"/>
      <c r="AJ679" s="1372"/>
      <c r="AK679" s="1289"/>
      <c r="AL679" s="1372"/>
      <c r="AM679" s="1372"/>
      <c r="AN679" s="1372"/>
      <c r="AO679" s="1372"/>
      <c r="AP679" s="1372"/>
      <c r="AQ679" s="1289"/>
      <c r="AR679" s="1372"/>
      <c r="AS679" s="1372"/>
      <c r="AT679" s="1372"/>
      <c r="AU679" s="1372"/>
      <c r="AV679" s="1372"/>
      <c r="AW679" s="1372"/>
      <c r="AX679" s="1372"/>
      <c r="AY679" s="1372"/>
      <c r="AZ679" s="1095"/>
      <c r="BA679" s="2"/>
    </row>
    <row r="680" spans="1:53" ht="15.75" customHeight="1">
      <c r="A680" s="1027"/>
      <c r="B680" s="1370"/>
      <c r="C680" s="13"/>
      <c r="D680" s="1371"/>
      <c r="E680" s="1357"/>
      <c r="F680" s="1358"/>
      <c r="G680" s="1358"/>
      <c r="H680" s="1358"/>
      <c r="I680" s="1358"/>
      <c r="J680" s="1076"/>
      <c r="K680" s="1076"/>
      <c r="L680" s="1076"/>
      <c r="M680" s="1289"/>
      <c r="N680" s="1076"/>
      <c r="O680" s="1076"/>
      <c r="P680" s="1358"/>
      <c r="Q680" s="1358"/>
      <c r="R680" s="1364"/>
      <c r="S680" s="1364"/>
      <c r="T680" s="13"/>
      <c r="U680" s="13"/>
      <c r="V680" s="1289"/>
      <c r="W680" s="1076"/>
      <c r="X680" s="1076"/>
      <c r="Y680" s="1358"/>
      <c r="Z680" s="1358"/>
      <c r="AA680" s="1364"/>
      <c r="AB680" s="1364"/>
      <c r="AC680" s="13"/>
      <c r="AD680" s="13"/>
      <c r="AE680" s="1289"/>
      <c r="AF680" s="1372"/>
      <c r="AG680" s="1372"/>
      <c r="AH680" s="1372"/>
      <c r="AI680" s="1372"/>
      <c r="AJ680" s="1372"/>
      <c r="AK680" s="1289"/>
      <c r="AL680" s="1372"/>
      <c r="AM680" s="1372"/>
      <c r="AN680" s="1372"/>
      <c r="AO680" s="1372"/>
      <c r="AP680" s="1372"/>
      <c r="AQ680" s="1289"/>
      <c r="AR680" s="1372"/>
      <c r="AS680" s="1372"/>
      <c r="AT680" s="1372"/>
      <c r="AU680" s="1372"/>
      <c r="AV680" s="1372"/>
      <c r="AW680" s="1372"/>
      <c r="AX680" s="1372"/>
      <c r="AY680" s="1372"/>
      <c r="AZ680" s="1095"/>
      <c r="BA680" s="2"/>
    </row>
    <row r="681" spans="1:53" ht="15.75" customHeight="1">
      <c r="A681" s="1027"/>
      <c r="B681" s="1370"/>
      <c r="C681" s="13"/>
      <c r="D681" s="1371"/>
      <c r="E681" s="1357"/>
      <c r="F681" s="1358"/>
      <c r="G681" s="1358"/>
      <c r="H681" s="1358"/>
      <c r="I681" s="1358"/>
      <c r="J681" s="1076"/>
      <c r="K681" s="1076"/>
      <c r="L681" s="1076"/>
      <c r="M681" s="1289"/>
      <c r="N681" s="1076"/>
      <c r="O681" s="1076"/>
      <c r="P681" s="1358"/>
      <c r="Q681" s="1358"/>
      <c r="R681" s="1364"/>
      <c r="S681" s="1364"/>
      <c r="T681" s="13"/>
      <c r="U681" s="13"/>
      <c r="V681" s="1289"/>
      <c r="W681" s="1076"/>
      <c r="X681" s="1076"/>
      <c r="Y681" s="1358"/>
      <c r="Z681" s="1358"/>
      <c r="AA681" s="1364"/>
      <c r="AB681" s="1364"/>
      <c r="AC681" s="13"/>
      <c r="AD681" s="13"/>
      <c r="AE681" s="1289"/>
      <c r="AF681" s="1372"/>
      <c r="AG681" s="1372"/>
      <c r="AH681" s="1372"/>
      <c r="AI681" s="1372"/>
      <c r="AJ681" s="1372"/>
      <c r="AK681" s="1289"/>
      <c r="AL681" s="1372"/>
      <c r="AM681" s="1372"/>
      <c r="AN681" s="1372"/>
      <c r="AO681" s="1372"/>
      <c r="AP681" s="1372"/>
      <c r="AQ681" s="1289"/>
      <c r="AR681" s="1372"/>
      <c r="AS681" s="1372"/>
      <c r="AT681" s="1372"/>
      <c r="AU681" s="1372"/>
      <c r="AV681" s="1372"/>
      <c r="AW681" s="1372"/>
      <c r="AX681" s="1372"/>
      <c r="AY681" s="1372"/>
      <c r="AZ681" s="1095"/>
      <c r="BA681" s="2"/>
    </row>
    <row r="682" spans="1:53" ht="15.75" customHeight="1">
      <c r="A682" s="1027"/>
      <c r="B682" s="1370"/>
      <c r="C682" s="13"/>
      <c r="D682" s="1371"/>
      <c r="E682" s="1357"/>
      <c r="F682" s="1358"/>
      <c r="G682" s="1358"/>
      <c r="H682" s="1358"/>
      <c r="I682" s="1358"/>
      <c r="J682" s="1076"/>
      <c r="K682" s="1076"/>
      <c r="L682" s="1076"/>
      <c r="M682" s="1289"/>
      <c r="N682" s="1076"/>
      <c r="O682" s="1076"/>
      <c r="P682" s="1358"/>
      <c r="Q682" s="1358"/>
      <c r="R682" s="1364"/>
      <c r="S682" s="1364"/>
      <c r="T682" s="13"/>
      <c r="U682" s="13"/>
      <c r="V682" s="1289"/>
      <c r="W682" s="1076"/>
      <c r="X682" s="1076"/>
      <c r="Y682" s="1358"/>
      <c r="Z682" s="1358"/>
      <c r="AA682" s="1364"/>
      <c r="AB682" s="1364"/>
      <c r="AC682" s="13"/>
      <c r="AD682" s="13"/>
      <c r="AE682" s="1289"/>
      <c r="AF682" s="1372"/>
      <c r="AG682" s="1372"/>
      <c r="AH682" s="1372"/>
      <c r="AI682" s="1372"/>
      <c r="AJ682" s="1372"/>
      <c r="AK682" s="1289"/>
      <c r="AL682" s="1372"/>
      <c r="AM682" s="1372"/>
      <c r="AN682" s="1372"/>
      <c r="AO682" s="1372"/>
      <c r="AP682" s="1372"/>
      <c r="AQ682" s="1289"/>
      <c r="AR682" s="1372"/>
      <c r="AS682" s="1372"/>
      <c r="AT682" s="1372"/>
      <c r="AU682" s="1372"/>
      <c r="AV682" s="1372"/>
      <c r="AW682" s="1372"/>
      <c r="AX682" s="1372"/>
      <c r="AY682" s="1372"/>
      <c r="AZ682" s="1095"/>
      <c r="BA682" s="2"/>
    </row>
    <row r="683" spans="1:53" ht="15.75" customHeight="1">
      <c r="A683" s="1027"/>
      <c r="B683" s="1370"/>
      <c r="C683" s="13"/>
      <c r="D683" s="1371"/>
      <c r="E683" s="1357"/>
      <c r="F683" s="1358"/>
      <c r="G683" s="1358"/>
      <c r="H683" s="1358"/>
      <c r="I683" s="1358"/>
      <c r="J683" s="1076"/>
      <c r="K683" s="1076"/>
      <c r="L683" s="1076"/>
      <c r="M683" s="1289"/>
      <c r="N683" s="1076"/>
      <c r="O683" s="1076"/>
      <c r="P683" s="1358"/>
      <c r="Q683" s="1358"/>
      <c r="R683" s="1364"/>
      <c r="S683" s="1364"/>
      <c r="T683" s="13"/>
      <c r="U683" s="13"/>
      <c r="V683" s="1289"/>
      <c r="W683" s="1076"/>
      <c r="X683" s="1076"/>
      <c r="Y683" s="1358"/>
      <c r="Z683" s="1358"/>
      <c r="AA683" s="1364"/>
      <c r="AB683" s="1364"/>
      <c r="AC683" s="13"/>
      <c r="AD683" s="13"/>
      <c r="AE683" s="1289"/>
      <c r="AF683" s="1372"/>
      <c r="AG683" s="1372"/>
      <c r="AH683" s="1372"/>
      <c r="AI683" s="1372"/>
      <c r="AJ683" s="1372"/>
      <c r="AK683" s="1289"/>
      <c r="AL683" s="1372"/>
      <c r="AM683" s="1372"/>
      <c r="AN683" s="1372"/>
      <c r="AO683" s="1372"/>
      <c r="AP683" s="1372"/>
      <c r="AQ683" s="1289"/>
      <c r="AR683" s="1372"/>
      <c r="AS683" s="1372"/>
      <c r="AT683" s="1372"/>
      <c r="AU683" s="1372"/>
      <c r="AV683" s="1372"/>
      <c r="AW683" s="1372"/>
      <c r="AX683" s="1372"/>
      <c r="AY683" s="1372"/>
      <c r="AZ683" s="1095"/>
      <c r="BA683" s="2"/>
    </row>
    <row r="684" spans="1:53" ht="15.75" customHeight="1">
      <c r="A684" s="1027"/>
      <c r="B684" s="1370"/>
      <c r="C684" s="13"/>
      <c r="D684" s="1371"/>
      <c r="E684" s="1357"/>
      <c r="F684" s="1358"/>
      <c r="G684" s="1358"/>
      <c r="H684" s="1358"/>
      <c r="I684" s="1358"/>
      <c r="J684" s="1076"/>
      <c r="K684" s="1076"/>
      <c r="L684" s="1076"/>
      <c r="M684" s="1289"/>
      <c r="N684" s="1076"/>
      <c r="O684" s="1076"/>
      <c r="P684" s="1358"/>
      <c r="Q684" s="1358"/>
      <c r="R684" s="1364"/>
      <c r="S684" s="1364"/>
      <c r="T684" s="13"/>
      <c r="U684" s="13"/>
      <c r="V684" s="1289"/>
      <c r="W684" s="1076"/>
      <c r="X684" s="1076"/>
      <c r="Y684" s="1358"/>
      <c r="Z684" s="1358"/>
      <c r="AA684" s="1364"/>
      <c r="AB684" s="1364"/>
      <c r="AC684" s="13"/>
      <c r="AD684" s="13"/>
      <c r="AE684" s="1289"/>
      <c r="AF684" s="1372"/>
      <c r="AG684" s="1372"/>
      <c r="AH684" s="1372"/>
      <c r="AI684" s="1372"/>
      <c r="AJ684" s="1372"/>
      <c r="AK684" s="1289"/>
      <c r="AL684" s="1372"/>
      <c r="AM684" s="1372"/>
      <c r="AN684" s="1372"/>
      <c r="AO684" s="1372"/>
      <c r="AP684" s="1372"/>
      <c r="AQ684" s="1289"/>
      <c r="AR684" s="1372"/>
      <c r="AS684" s="1372"/>
      <c r="AT684" s="1372"/>
      <c r="AU684" s="1372"/>
      <c r="AV684" s="1372"/>
      <c r="AW684" s="1372"/>
      <c r="AX684" s="1372"/>
      <c r="AY684" s="1372"/>
      <c r="AZ684" s="1095"/>
      <c r="BA684" s="2"/>
    </row>
    <row r="685" spans="1:53" ht="15.75" customHeight="1">
      <c r="A685" s="1027"/>
      <c r="B685" s="1370"/>
      <c r="C685" s="13"/>
      <c r="D685" s="1371"/>
      <c r="E685" s="1357"/>
      <c r="F685" s="1358"/>
      <c r="G685" s="1358"/>
      <c r="H685" s="1358"/>
      <c r="I685" s="1358"/>
      <c r="J685" s="1076"/>
      <c r="K685" s="1076"/>
      <c r="L685" s="1076"/>
      <c r="M685" s="1289"/>
      <c r="N685" s="1076"/>
      <c r="O685" s="1076"/>
      <c r="P685" s="1358"/>
      <c r="Q685" s="1358"/>
      <c r="R685" s="1364"/>
      <c r="S685" s="1364"/>
      <c r="T685" s="13"/>
      <c r="U685" s="13"/>
      <c r="V685" s="1289"/>
      <c r="W685" s="1076"/>
      <c r="X685" s="1076"/>
      <c r="Y685" s="1358"/>
      <c r="Z685" s="1358"/>
      <c r="AA685" s="1364"/>
      <c r="AB685" s="1364"/>
      <c r="AC685" s="13"/>
      <c r="AD685" s="13"/>
      <c r="AE685" s="1289"/>
      <c r="AF685" s="1372"/>
      <c r="AG685" s="1372"/>
      <c r="AH685" s="1372"/>
      <c r="AI685" s="1372"/>
      <c r="AJ685" s="1372"/>
      <c r="AK685" s="1289"/>
      <c r="AL685" s="1372"/>
      <c r="AM685" s="1372"/>
      <c r="AN685" s="1372"/>
      <c r="AO685" s="1372"/>
      <c r="AP685" s="1372"/>
      <c r="AQ685" s="1289"/>
      <c r="AR685" s="1372"/>
      <c r="AS685" s="1372"/>
      <c r="AT685" s="1372"/>
      <c r="AU685" s="1372"/>
      <c r="AV685" s="1372"/>
      <c r="AW685" s="1372"/>
      <c r="AX685" s="1372"/>
      <c r="AY685" s="1372"/>
      <c r="AZ685" s="1095"/>
      <c r="BA685" s="2"/>
    </row>
    <row r="686" spans="1:53" ht="15.75" customHeight="1">
      <c r="A686" s="1027"/>
      <c r="B686" s="1370"/>
      <c r="C686" s="13"/>
      <c r="D686" s="1371"/>
      <c r="E686" s="1357"/>
      <c r="F686" s="1358"/>
      <c r="G686" s="1358"/>
      <c r="H686" s="1358"/>
      <c r="I686" s="1358"/>
      <c r="J686" s="1076"/>
      <c r="K686" s="1076"/>
      <c r="L686" s="1076"/>
      <c r="M686" s="1289"/>
      <c r="N686" s="1076"/>
      <c r="O686" s="1076"/>
      <c r="P686" s="1358"/>
      <c r="Q686" s="1358"/>
      <c r="R686" s="1364"/>
      <c r="S686" s="1364"/>
      <c r="T686" s="13"/>
      <c r="U686" s="13"/>
      <c r="V686" s="1289"/>
      <c r="W686" s="1076"/>
      <c r="X686" s="1076"/>
      <c r="Y686" s="1358"/>
      <c r="Z686" s="1358"/>
      <c r="AA686" s="1364"/>
      <c r="AB686" s="1364"/>
      <c r="AC686" s="13"/>
      <c r="AD686" s="13"/>
      <c r="AE686" s="1289"/>
      <c r="AF686" s="1372"/>
      <c r="AG686" s="1372"/>
      <c r="AH686" s="1372"/>
      <c r="AI686" s="1372"/>
      <c r="AJ686" s="1372"/>
      <c r="AK686" s="1289"/>
      <c r="AL686" s="1372"/>
      <c r="AM686" s="1372"/>
      <c r="AN686" s="1372"/>
      <c r="AO686" s="1372"/>
      <c r="AP686" s="1372"/>
      <c r="AQ686" s="1289"/>
      <c r="AR686" s="1372"/>
      <c r="AS686" s="1372"/>
      <c r="AT686" s="1372"/>
      <c r="AU686" s="1372"/>
      <c r="AV686" s="1372"/>
      <c r="AW686" s="1372"/>
      <c r="AX686" s="1372"/>
      <c r="AY686" s="1372"/>
      <c r="AZ686" s="1095"/>
      <c r="BA686" s="2"/>
    </row>
    <row r="687" spans="1:53" ht="15.75" customHeight="1">
      <c r="A687" s="1027"/>
      <c r="B687" s="1370"/>
      <c r="C687" s="13"/>
      <c r="D687" s="1371"/>
      <c r="E687" s="1357"/>
      <c r="F687" s="1358"/>
      <c r="G687" s="1358"/>
      <c r="H687" s="1358"/>
      <c r="I687" s="1358"/>
      <c r="J687" s="1076"/>
      <c r="K687" s="1076"/>
      <c r="L687" s="1076"/>
      <c r="M687" s="1289"/>
      <c r="N687" s="1076"/>
      <c r="O687" s="1076"/>
      <c r="P687" s="1358"/>
      <c r="Q687" s="1358"/>
      <c r="R687" s="1364"/>
      <c r="S687" s="1364"/>
      <c r="T687" s="13"/>
      <c r="U687" s="13"/>
      <c r="V687" s="1289"/>
      <c r="W687" s="1076"/>
      <c r="X687" s="1076"/>
      <c r="Y687" s="1358"/>
      <c r="Z687" s="1358"/>
      <c r="AA687" s="1364"/>
      <c r="AB687" s="1364"/>
      <c r="AC687" s="13"/>
      <c r="AD687" s="13"/>
      <c r="AE687" s="1289"/>
      <c r="AF687" s="1372"/>
      <c r="AG687" s="1372"/>
      <c r="AH687" s="1372"/>
      <c r="AI687" s="1372"/>
      <c r="AJ687" s="1372"/>
      <c r="AK687" s="1289"/>
      <c r="AL687" s="1372"/>
      <c r="AM687" s="1372"/>
      <c r="AN687" s="1372"/>
      <c r="AO687" s="1372"/>
      <c r="AP687" s="1372"/>
      <c r="AQ687" s="1289"/>
      <c r="AR687" s="1372"/>
      <c r="AS687" s="1372"/>
      <c r="AT687" s="1372"/>
      <c r="AU687" s="1372"/>
      <c r="AV687" s="1372"/>
      <c r="AW687" s="1372"/>
      <c r="AX687" s="1372"/>
      <c r="AY687" s="1372"/>
      <c r="AZ687" s="1095"/>
      <c r="BA687" s="2"/>
    </row>
    <row r="688" spans="1:53" ht="15.75" customHeight="1">
      <c r="A688" s="1027"/>
      <c r="B688" s="1370"/>
      <c r="C688" s="13"/>
      <c r="D688" s="1371"/>
      <c r="E688" s="1357"/>
      <c r="F688" s="1358"/>
      <c r="G688" s="1358"/>
      <c r="H688" s="1358"/>
      <c r="I688" s="1358"/>
      <c r="J688" s="1076"/>
      <c r="K688" s="1076"/>
      <c r="L688" s="1076"/>
      <c r="M688" s="1289"/>
      <c r="N688" s="1076"/>
      <c r="O688" s="1076"/>
      <c r="P688" s="1358"/>
      <c r="Q688" s="1358"/>
      <c r="R688" s="1364"/>
      <c r="S688" s="1364"/>
      <c r="T688" s="13"/>
      <c r="U688" s="13"/>
      <c r="V688" s="1289"/>
      <c r="W688" s="1076"/>
      <c r="X688" s="1076"/>
      <c r="Y688" s="1358"/>
      <c r="Z688" s="1358"/>
      <c r="AA688" s="1364"/>
      <c r="AB688" s="1364"/>
      <c r="AC688" s="13"/>
      <c r="AD688" s="13"/>
      <c r="AE688" s="1289"/>
      <c r="AF688" s="1372"/>
      <c r="AG688" s="1372"/>
      <c r="AH688" s="1372"/>
      <c r="AI688" s="1372"/>
      <c r="AJ688" s="1372"/>
      <c r="AK688" s="1289"/>
      <c r="AL688" s="1372"/>
      <c r="AM688" s="1372"/>
      <c r="AN688" s="1372"/>
      <c r="AO688" s="1372"/>
      <c r="AP688" s="1372"/>
      <c r="AQ688" s="1289"/>
      <c r="AR688" s="1372"/>
      <c r="AS688" s="1372"/>
      <c r="AT688" s="1372"/>
      <c r="AU688" s="1372"/>
      <c r="AV688" s="1372"/>
      <c r="AW688" s="1372"/>
      <c r="AX688" s="1372"/>
      <c r="AY688" s="1372"/>
      <c r="AZ688" s="1095"/>
      <c r="BA688" s="2"/>
    </row>
    <row r="689" spans="1:53" ht="15.75" customHeight="1">
      <c r="A689" s="1027"/>
      <c r="B689" s="1370"/>
      <c r="C689" s="13"/>
      <c r="D689" s="1371"/>
      <c r="E689" s="1357"/>
      <c r="F689" s="1358"/>
      <c r="G689" s="1358"/>
      <c r="H689" s="1358"/>
      <c r="I689" s="1358"/>
      <c r="J689" s="1076"/>
      <c r="K689" s="1076"/>
      <c r="L689" s="1076"/>
      <c r="M689" s="1289"/>
      <c r="N689" s="1076"/>
      <c r="O689" s="1076"/>
      <c r="P689" s="1358"/>
      <c r="Q689" s="1358"/>
      <c r="R689" s="1364"/>
      <c r="S689" s="1364"/>
      <c r="T689" s="13"/>
      <c r="U689" s="13"/>
      <c r="V689" s="1289"/>
      <c r="W689" s="1076"/>
      <c r="X689" s="1076"/>
      <c r="Y689" s="1358"/>
      <c r="Z689" s="1358"/>
      <c r="AA689" s="1364"/>
      <c r="AB689" s="1364"/>
      <c r="AC689" s="13"/>
      <c r="AD689" s="13"/>
      <c r="AE689" s="1289"/>
      <c r="AF689" s="1372"/>
      <c r="AG689" s="1372"/>
      <c r="AH689" s="1372"/>
      <c r="AI689" s="1372"/>
      <c r="AJ689" s="1372"/>
      <c r="AK689" s="1289"/>
      <c r="AL689" s="1372"/>
      <c r="AM689" s="1372"/>
      <c r="AN689" s="1372"/>
      <c r="AO689" s="1372"/>
      <c r="AP689" s="1372"/>
      <c r="AQ689" s="1289"/>
      <c r="AR689" s="1372"/>
      <c r="AS689" s="1372"/>
      <c r="AT689" s="1372"/>
      <c r="AU689" s="1372"/>
      <c r="AV689" s="1372"/>
      <c r="AW689" s="1372"/>
      <c r="AX689" s="1372"/>
      <c r="AY689" s="1372"/>
      <c r="AZ689" s="1095"/>
      <c r="BA689" s="2"/>
    </row>
    <row r="690" spans="1:53" ht="15.75" customHeight="1">
      <c r="A690" s="1027"/>
      <c r="B690" s="1370"/>
      <c r="C690" s="13"/>
      <c r="D690" s="1371"/>
      <c r="E690" s="1357"/>
      <c r="F690" s="1358"/>
      <c r="G690" s="1358"/>
      <c r="H690" s="1358"/>
      <c r="I690" s="1358"/>
      <c r="J690" s="1076"/>
      <c r="K690" s="1076"/>
      <c r="L690" s="1076"/>
      <c r="M690" s="1289"/>
      <c r="N690" s="1076"/>
      <c r="O690" s="1076"/>
      <c r="P690" s="1358"/>
      <c r="Q690" s="1358"/>
      <c r="R690" s="1364"/>
      <c r="S690" s="1364"/>
      <c r="T690" s="13"/>
      <c r="U690" s="13"/>
      <c r="V690" s="1289"/>
      <c r="W690" s="1076"/>
      <c r="X690" s="1076"/>
      <c r="Y690" s="1358"/>
      <c r="Z690" s="1358"/>
      <c r="AA690" s="1364"/>
      <c r="AB690" s="1364"/>
      <c r="AC690" s="13"/>
      <c r="AD690" s="13"/>
      <c r="AE690" s="1289"/>
      <c r="AF690" s="1372"/>
      <c r="AG690" s="1372"/>
      <c r="AH690" s="1372"/>
      <c r="AI690" s="1372"/>
      <c r="AJ690" s="1372"/>
      <c r="AK690" s="1289"/>
      <c r="AL690" s="1372"/>
      <c r="AM690" s="1372"/>
      <c r="AN690" s="1372"/>
      <c r="AO690" s="1372"/>
      <c r="AP690" s="1372"/>
      <c r="AQ690" s="1289"/>
      <c r="AR690" s="1372"/>
      <c r="AS690" s="1372"/>
      <c r="AT690" s="1372"/>
      <c r="AU690" s="1372"/>
      <c r="AV690" s="1372"/>
      <c r="AW690" s="1372"/>
      <c r="AX690" s="1372"/>
      <c r="AY690" s="1372"/>
      <c r="AZ690" s="1095"/>
      <c r="BA690" s="2"/>
    </row>
    <row r="691" spans="1:53" ht="15.75" customHeight="1">
      <c r="A691" s="1027"/>
      <c r="B691" s="1370"/>
      <c r="C691" s="13"/>
      <c r="D691" s="1371"/>
      <c r="E691" s="1357"/>
      <c r="F691" s="1358"/>
      <c r="G691" s="1358"/>
      <c r="H691" s="1358"/>
      <c r="I691" s="1358"/>
      <c r="J691" s="1076"/>
      <c r="K691" s="1076"/>
      <c r="L691" s="1076"/>
      <c r="M691" s="1289"/>
      <c r="N691" s="1076"/>
      <c r="O691" s="1076"/>
      <c r="P691" s="1358"/>
      <c r="Q691" s="1358"/>
      <c r="R691" s="1364"/>
      <c r="S691" s="1364"/>
      <c r="T691" s="13"/>
      <c r="U691" s="13"/>
      <c r="V691" s="1289"/>
      <c r="W691" s="1076"/>
      <c r="X691" s="1076"/>
      <c r="Y691" s="1358"/>
      <c r="Z691" s="1358"/>
      <c r="AA691" s="1364"/>
      <c r="AB691" s="1364"/>
      <c r="AC691" s="13"/>
      <c r="AD691" s="13"/>
      <c r="AE691" s="1289"/>
      <c r="AF691" s="1372"/>
      <c r="AG691" s="1372"/>
      <c r="AH691" s="1372"/>
      <c r="AI691" s="1372"/>
      <c r="AJ691" s="1372"/>
      <c r="AK691" s="1289"/>
      <c r="AL691" s="1372"/>
      <c r="AM691" s="1372"/>
      <c r="AN691" s="1372"/>
      <c r="AO691" s="1372"/>
      <c r="AP691" s="1372"/>
      <c r="AQ691" s="1289"/>
      <c r="AR691" s="1372"/>
      <c r="AS691" s="1372"/>
      <c r="AT691" s="1372"/>
      <c r="AU691" s="1372"/>
      <c r="AV691" s="1372"/>
      <c r="AW691" s="1372"/>
      <c r="AX691" s="1372"/>
      <c r="AY691" s="1372"/>
      <c r="AZ691" s="1095"/>
      <c r="BA691" s="2"/>
    </row>
    <row r="692" spans="1:53" ht="15.75" customHeight="1">
      <c r="A692" s="1027"/>
      <c r="B692" s="1370"/>
      <c r="C692" s="13"/>
      <c r="D692" s="1371"/>
      <c r="E692" s="1357"/>
      <c r="F692" s="1358"/>
      <c r="G692" s="1358"/>
      <c r="H692" s="1358"/>
      <c r="I692" s="1358"/>
      <c r="J692" s="1076"/>
      <c r="K692" s="1076"/>
      <c r="L692" s="1076"/>
      <c r="M692" s="1289"/>
      <c r="N692" s="1076"/>
      <c r="O692" s="1076"/>
      <c r="P692" s="1358"/>
      <c r="Q692" s="1358"/>
      <c r="R692" s="1364"/>
      <c r="S692" s="1364"/>
      <c r="T692" s="13"/>
      <c r="U692" s="13"/>
      <c r="V692" s="1289"/>
      <c r="W692" s="1076"/>
      <c r="X692" s="1076"/>
      <c r="Y692" s="1358"/>
      <c r="Z692" s="1358"/>
      <c r="AA692" s="1364"/>
      <c r="AB692" s="1364"/>
      <c r="AC692" s="13"/>
      <c r="AD692" s="13"/>
      <c r="AE692" s="1289"/>
      <c r="AF692" s="1372"/>
      <c r="AG692" s="1372"/>
      <c r="AH692" s="1372"/>
      <c r="AI692" s="1372"/>
      <c r="AJ692" s="1372"/>
      <c r="AK692" s="1289"/>
      <c r="AL692" s="1372"/>
      <c r="AM692" s="1372"/>
      <c r="AN692" s="1372"/>
      <c r="AO692" s="1372"/>
      <c r="AP692" s="1372"/>
      <c r="AQ692" s="1289"/>
      <c r="AR692" s="1372"/>
      <c r="AS692" s="1372"/>
      <c r="AT692" s="1372"/>
      <c r="AU692" s="1372"/>
      <c r="AV692" s="1372"/>
      <c r="AW692" s="1372"/>
      <c r="AX692" s="1372"/>
      <c r="AY692" s="1372"/>
      <c r="AZ692" s="1095"/>
      <c r="BA692" s="2"/>
    </row>
    <row r="693" spans="1:53" ht="15.75" customHeight="1">
      <c r="A693" s="1027"/>
      <c r="B693" s="1370"/>
      <c r="C693" s="13"/>
      <c r="D693" s="1371"/>
      <c r="E693" s="1357"/>
      <c r="F693" s="1358"/>
      <c r="G693" s="1358"/>
      <c r="H693" s="1358"/>
      <c r="I693" s="1358"/>
      <c r="J693" s="1076"/>
      <c r="K693" s="1076"/>
      <c r="L693" s="1076"/>
      <c r="M693" s="1289"/>
      <c r="N693" s="1076"/>
      <c r="O693" s="1076"/>
      <c r="P693" s="1358"/>
      <c r="Q693" s="1358"/>
      <c r="R693" s="1364"/>
      <c r="S693" s="1364"/>
      <c r="T693" s="13"/>
      <c r="U693" s="13"/>
      <c r="V693" s="1289"/>
      <c r="W693" s="1076"/>
      <c r="X693" s="1076"/>
      <c r="Y693" s="1358"/>
      <c r="Z693" s="1358"/>
      <c r="AA693" s="1364"/>
      <c r="AB693" s="1364"/>
      <c r="AC693" s="13"/>
      <c r="AD693" s="13"/>
      <c r="AE693" s="1289"/>
      <c r="AF693" s="1372"/>
      <c r="AG693" s="1372"/>
      <c r="AH693" s="1372"/>
      <c r="AI693" s="1372"/>
      <c r="AJ693" s="1372"/>
      <c r="AK693" s="1289"/>
      <c r="AL693" s="1372"/>
      <c r="AM693" s="1372"/>
      <c r="AN693" s="1372"/>
      <c r="AO693" s="1372"/>
      <c r="AP693" s="1372"/>
      <c r="AQ693" s="1289"/>
      <c r="AR693" s="1372"/>
      <c r="AS693" s="1372"/>
      <c r="AT693" s="1372"/>
      <c r="AU693" s="1372"/>
      <c r="AV693" s="1372"/>
      <c r="AW693" s="1372"/>
      <c r="AX693" s="1372"/>
      <c r="AY693" s="1372"/>
      <c r="AZ693" s="1095"/>
      <c r="BA693" s="2"/>
    </row>
    <row r="694" spans="1:53" ht="15.75" customHeight="1">
      <c r="A694" s="1027"/>
      <c r="B694" s="1370"/>
      <c r="C694" s="13"/>
      <c r="D694" s="1371"/>
      <c r="E694" s="1357"/>
      <c r="F694" s="1358"/>
      <c r="G694" s="1358"/>
      <c r="H694" s="1358"/>
      <c r="I694" s="1358"/>
      <c r="J694" s="1076"/>
      <c r="K694" s="1076"/>
      <c r="L694" s="1076"/>
      <c r="M694" s="1289"/>
      <c r="N694" s="1076"/>
      <c r="O694" s="1076"/>
      <c r="P694" s="1358"/>
      <c r="Q694" s="1358"/>
      <c r="R694" s="1364"/>
      <c r="S694" s="1364"/>
      <c r="T694" s="13"/>
      <c r="U694" s="13"/>
      <c r="V694" s="1289"/>
      <c r="W694" s="1076"/>
      <c r="X694" s="1076"/>
      <c r="Y694" s="1358"/>
      <c r="Z694" s="1358"/>
      <c r="AA694" s="1364"/>
      <c r="AB694" s="1364"/>
      <c r="AC694" s="13"/>
      <c r="AD694" s="13"/>
      <c r="AE694" s="1289"/>
      <c r="AF694" s="1372"/>
      <c r="AG694" s="1372"/>
      <c r="AH694" s="1372"/>
      <c r="AI694" s="1372"/>
      <c r="AJ694" s="1372"/>
      <c r="AK694" s="1289"/>
      <c r="AL694" s="1372"/>
      <c r="AM694" s="1372"/>
      <c r="AN694" s="1372"/>
      <c r="AO694" s="1372"/>
      <c r="AP694" s="1372"/>
      <c r="AQ694" s="1289"/>
      <c r="AR694" s="1372"/>
      <c r="AS694" s="1372"/>
      <c r="AT694" s="1372"/>
      <c r="AU694" s="1372"/>
      <c r="AV694" s="1372"/>
      <c r="AW694" s="1372"/>
      <c r="AX694" s="1372"/>
      <c r="AY694" s="1372"/>
      <c r="AZ694" s="1095"/>
      <c r="BA694" s="2"/>
    </row>
    <row r="695" spans="1:53" ht="15.75" customHeight="1">
      <c r="A695" s="1027"/>
      <c r="B695" s="1370"/>
      <c r="C695" s="13"/>
      <c r="D695" s="1371"/>
      <c r="E695" s="1357"/>
      <c r="F695" s="1358"/>
      <c r="G695" s="1358"/>
      <c r="H695" s="1358"/>
      <c r="I695" s="1358"/>
      <c r="J695" s="1076"/>
      <c r="K695" s="1076"/>
      <c r="L695" s="1076"/>
      <c r="M695" s="1289"/>
      <c r="N695" s="1076"/>
      <c r="O695" s="1076"/>
      <c r="P695" s="1358"/>
      <c r="Q695" s="1358"/>
      <c r="R695" s="1364"/>
      <c r="S695" s="1364"/>
      <c r="T695" s="13"/>
      <c r="U695" s="13"/>
      <c r="V695" s="1289"/>
      <c r="W695" s="1076"/>
      <c r="X695" s="1076"/>
      <c r="Y695" s="1358"/>
      <c r="Z695" s="1358"/>
      <c r="AA695" s="1364"/>
      <c r="AB695" s="1364"/>
      <c r="AC695" s="13"/>
      <c r="AD695" s="13"/>
      <c r="AE695" s="1289"/>
      <c r="AF695" s="1372"/>
      <c r="AG695" s="1372"/>
      <c r="AH695" s="1372"/>
      <c r="AI695" s="1372"/>
      <c r="AJ695" s="1372"/>
      <c r="AK695" s="1289"/>
      <c r="AL695" s="1372"/>
      <c r="AM695" s="1372"/>
      <c r="AN695" s="1372"/>
      <c r="AO695" s="1372"/>
      <c r="AP695" s="1372"/>
      <c r="AQ695" s="1289"/>
      <c r="AR695" s="1372"/>
      <c r="AS695" s="1372"/>
      <c r="AT695" s="1372"/>
      <c r="AU695" s="1372"/>
      <c r="AV695" s="1372"/>
      <c r="AW695" s="1372"/>
      <c r="AX695" s="1372"/>
      <c r="AY695" s="1372"/>
      <c r="AZ695" s="1095"/>
      <c r="BA695" s="2"/>
    </row>
    <row r="696" spans="1:53" ht="15.75" customHeight="1">
      <c r="A696" s="1027"/>
      <c r="B696" s="1370"/>
      <c r="C696" s="13"/>
      <c r="D696" s="1371"/>
      <c r="E696" s="1357"/>
      <c r="F696" s="1358"/>
      <c r="G696" s="1358"/>
      <c r="H696" s="1358"/>
      <c r="I696" s="1358"/>
      <c r="J696" s="1076"/>
      <c r="K696" s="1076"/>
      <c r="L696" s="1076"/>
      <c r="M696" s="1289"/>
      <c r="N696" s="1076"/>
      <c r="O696" s="1076"/>
      <c r="P696" s="1358"/>
      <c r="Q696" s="1358"/>
      <c r="R696" s="1364"/>
      <c r="S696" s="1364"/>
      <c r="T696" s="13"/>
      <c r="U696" s="13"/>
      <c r="V696" s="1289"/>
      <c r="W696" s="1076"/>
      <c r="X696" s="1076"/>
      <c r="Y696" s="1358"/>
      <c r="Z696" s="1358"/>
      <c r="AA696" s="1364"/>
      <c r="AB696" s="1364"/>
      <c r="AC696" s="13"/>
      <c r="AD696" s="13"/>
      <c r="AE696" s="1289"/>
      <c r="AF696" s="1372"/>
      <c r="AG696" s="1372"/>
      <c r="AH696" s="1372"/>
      <c r="AI696" s="1372"/>
      <c r="AJ696" s="1372"/>
      <c r="AK696" s="1289"/>
      <c r="AL696" s="1372"/>
      <c r="AM696" s="1372"/>
      <c r="AN696" s="1372"/>
      <c r="AO696" s="1372"/>
      <c r="AP696" s="1372"/>
      <c r="AQ696" s="1289"/>
      <c r="AR696" s="1372"/>
      <c r="AS696" s="1372"/>
      <c r="AT696" s="1372"/>
      <c r="AU696" s="1372"/>
      <c r="AV696" s="1372"/>
      <c r="AW696" s="1372"/>
      <c r="AX696" s="1372"/>
      <c r="AY696" s="1372"/>
      <c r="AZ696" s="1095"/>
      <c r="BA696" s="2"/>
    </row>
    <row r="697" spans="1:53" ht="15.75" customHeight="1">
      <c r="A697" s="1027"/>
      <c r="B697" s="1370"/>
      <c r="C697" s="13"/>
      <c r="D697" s="1371"/>
      <c r="E697" s="1357"/>
      <c r="F697" s="1358"/>
      <c r="G697" s="1358"/>
      <c r="H697" s="1358"/>
      <c r="I697" s="1358"/>
      <c r="J697" s="1076"/>
      <c r="K697" s="1076"/>
      <c r="L697" s="1076"/>
      <c r="M697" s="1289"/>
      <c r="N697" s="1076"/>
      <c r="O697" s="1076"/>
      <c r="P697" s="1358"/>
      <c r="Q697" s="1358"/>
      <c r="R697" s="1364"/>
      <c r="S697" s="1364"/>
      <c r="T697" s="13"/>
      <c r="U697" s="13"/>
      <c r="V697" s="1289"/>
      <c r="W697" s="1076"/>
      <c r="X697" s="1076"/>
      <c r="Y697" s="1358"/>
      <c r="Z697" s="1358"/>
      <c r="AA697" s="1364"/>
      <c r="AB697" s="1364"/>
      <c r="AC697" s="13"/>
      <c r="AD697" s="13"/>
      <c r="AE697" s="1289"/>
      <c r="AF697" s="1372"/>
      <c r="AG697" s="1372"/>
      <c r="AH697" s="1372"/>
      <c r="AI697" s="1372"/>
      <c r="AJ697" s="1372"/>
      <c r="AK697" s="1289"/>
      <c r="AL697" s="1372"/>
      <c r="AM697" s="1372"/>
      <c r="AN697" s="1372"/>
      <c r="AO697" s="1372"/>
      <c r="AP697" s="1372"/>
      <c r="AQ697" s="1289"/>
      <c r="AR697" s="1372"/>
      <c r="AS697" s="1372"/>
      <c r="AT697" s="1372"/>
      <c r="AU697" s="1372"/>
      <c r="AV697" s="1372"/>
      <c r="AW697" s="1372"/>
      <c r="AX697" s="1372"/>
      <c r="AY697" s="1372"/>
      <c r="AZ697" s="1095"/>
      <c r="BA697" s="2"/>
    </row>
    <row r="698" spans="1:53" ht="15.75" customHeight="1">
      <c r="A698" s="1027"/>
      <c r="B698" s="1370"/>
      <c r="C698" s="13"/>
      <c r="D698" s="1371"/>
      <c r="E698" s="1357"/>
      <c r="F698" s="1358"/>
      <c r="G698" s="1358"/>
      <c r="H698" s="1358"/>
      <c r="I698" s="1358"/>
      <c r="J698" s="1076"/>
      <c r="K698" s="1076"/>
      <c r="L698" s="1076"/>
      <c r="M698" s="1289"/>
      <c r="N698" s="1076"/>
      <c r="O698" s="1076"/>
      <c r="P698" s="1358"/>
      <c r="Q698" s="1358"/>
      <c r="R698" s="1364"/>
      <c r="S698" s="1364"/>
      <c r="T698" s="13"/>
      <c r="U698" s="13"/>
      <c r="V698" s="1289"/>
      <c r="W698" s="1076"/>
      <c r="X698" s="1076"/>
      <c r="Y698" s="1358"/>
      <c r="Z698" s="1358"/>
      <c r="AA698" s="1364"/>
      <c r="AB698" s="1364"/>
      <c r="AC698" s="13"/>
      <c r="AD698" s="13"/>
      <c r="AE698" s="1289"/>
      <c r="AF698" s="1372"/>
      <c r="AG698" s="1372"/>
      <c r="AH698" s="1372"/>
      <c r="AI698" s="1372"/>
      <c r="AJ698" s="1372"/>
      <c r="AK698" s="1289"/>
      <c r="AL698" s="1372"/>
      <c r="AM698" s="1372"/>
      <c r="AN698" s="1372"/>
      <c r="AO698" s="1372"/>
      <c r="AP698" s="1372"/>
      <c r="AQ698" s="1289"/>
      <c r="AR698" s="1372"/>
      <c r="AS698" s="1372"/>
      <c r="AT698" s="1372"/>
      <c r="AU698" s="1372"/>
      <c r="AV698" s="1372"/>
      <c r="AW698" s="1372"/>
      <c r="AX698" s="1372"/>
      <c r="AY698" s="1372"/>
      <c r="AZ698" s="1095"/>
      <c r="BA698" s="2"/>
    </row>
    <row r="699" spans="1:53" ht="15.75" customHeight="1">
      <c r="A699" s="1027"/>
      <c r="B699" s="1370"/>
      <c r="C699" s="13"/>
      <c r="D699" s="1371"/>
      <c r="E699" s="1357"/>
      <c r="F699" s="1358"/>
      <c r="G699" s="1358"/>
      <c r="H699" s="1358"/>
      <c r="I699" s="1358"/>
      <c r="J699" s="1076"/>
      <c r="K699" s="1076"/>
      <c r="L699" s="1076"/>
      <c r="M699" s="1289"/>
      <c r="N699" s="1076"/>
      <c r="O699" s="1076"/>
      <c r="P699" s="1358"/>
      <c r="Q699" s="1358"/>
      <c r="R699" s="1364"/>
      <c r="S699" s="1364"/>
      <c r="T699" s="13"/>
      <c r="U699" s="13"/>
      <c r="V699" s="1289"/>
      <c r="W699" s="1076"/>
      <c r="X699" s="1076"/>
      <c r="Y699" s="1358"/>
      <c r="Z699" s="1358"/>
      <c r="AA699" s="1364"/>
      <c r="AB699" s="1364"/>
      <c r="AC699" s="13"/>
      <c r="AD699" s="13"/>
      <c r="AE699" s="1289"/>
      <c r="AF699" s="1372"/>
      <c r="AG699" s="1372"/>
      <c r="AH699" s="1372"/>
      <c r="AI699" s="1372"/>
      <c r="AJ699" s="1372"/>
      <c r="AK699" s="1289"/>
      <c r="AL699" s="1372"/>
      <c r="AM699" s="1372"/>
      <c r="AN699" s="1372"/>
      <c r="AO699" s="1372"/>
      <c r="AP699" s="1372"/>
      <c r="AQ699" s="1289"/>
      <c r="AR699" s="1372"/>
      <c r="AS699" s="1372"/>
      <c r="AT699" s="1372"/>
      <c r="AU699" s="1372"/>
      <c r="AV699" s="1372"/>
      <c r="AW699" s="1372"/>
      <c r="AX699" s="1372"/>
      <c r="AY699" s="1372"/>
      <c r="AZ699" s="1095"/>
      <c r="BA699" s="2"/>
    </row>
    <row r="700" spans="1:53" ht="15.75" customHeight="1">
      <c r="A700" s="1027"/>
      <c r="B700" s="1370"/>
      <c r="C700" s="13"/>
      <c r="D700" s="1371"/>
      <c r="E700" s="1357"/>
      <c r="F700" s="1358"/>
      <c r="G700" s="1358"/>
      <c r="H700" s="1358"/>
      <c r="I700" s="1358"/>
      <c r="J700" s="1076"/>
      <c r="K700" s="1076"/>
      <c r="L700" s="1076"/>
      <c r="M700" s="1289"/>
      <c r="N700" s="1076"/>
      <c r="O700" s="1076"/>
      <c r="P700" s="1358"/>
      <c r="Q700" s="1358"/>
      <c r="R700" s="1364"/>
      <c r="S700" s="1364"/>
      <c r="T700" s="13"/>
      <c r="U700" s="13"/>
      <c r="V700" s="1289"/>
      <c r="W700" s="1076"/>
      <c r="X700" s="1076"/>
      <c r="Y700" s="1358"/>
      <c r="Z700" s="1358"/>
      <c r="AA700" s="1364"/>
      <c r="AB700" s="1364"/>
      <c r="AC700" s="13"/>
      <c r="AD700" s="13"/>
      <c r="AE700" s="1289"/>
      <c r="AF700" s="1372"/>
      <c r="AG700" s="1372"/>
      <c r="AH700" s="1372"/>
      <c r="AI700" s="1372"/>
      <c r="AJ700" s="1372"/>
      <c r="AK700" s="1289"/>
      <c r="AL700" s="1372"/>
      <c r="AM700" s="1372"/>
      <c r="AN700" s="1372"/>
      <c r="AO700" s="1372"/>
      <c r="AP700" s="1372"/>
      <c r="AQ700" s="1289"/>
      <c r="AR700" s="1372"/>
      <c r="AS700" s="1372"/>
      <c r="AT700" s="1372"/>
      <c r="AU700" s="1372"/>
      <c r="AV700" s="1372"/>
      <c r="AW700" s="1372"/>
      <c r="AX700" s="1372"/>
      <c r="AY700" s="1372"/>
      <c r="AZ700" s="1095"/>
      <c r="BA700" s="2"/>
    </row>
    <row r="701" spans="1:53" ht="15.75" customHeight="1">
      <c r="A701" s="1027"/>
      <c r="B701" s="1370"/>
      <c r="C701" s="13"/>
      <c r="D701" s="1371"/>
      <c r="E701" s="1357"/>
      <c r="F701" s="1358"/>
      <c r="G701" s="1358"/>
      <c r="H701" s="1358"/>
      <c r="I701" s="1358"/>
      <c r="J701" s="1076"/>
      <c r="K701" s="1076"/>
      <c r="L701" s="1076"/>
      <c r="M701" s="1289"/>
      <c r="N701" s="1076"/>
      <c r="O701" s="1076"/>
      <c r="P701" s="1358"/>
      <c r="Q701" s="1358"/>
      <c r="R701" s="1364"/>
      <c r="S701" s="1364"/>
      <c r="T701" s="13"/>
      <c r="U701" s="13"/>
      <c r="V701" s="1289"/>
      <c r="W701" s="1076"/>
      <c r="X701" s="1076"/>
      <c r="Y701" s="1358"/>
      <c r="Z701" s="1358"/>
      <c r="AA701" s="1364"/>
      <c r="AB701" s="1364"/>
      <c r="AC701" s="13"/>
      <c r="AD701" s="13"/>
      <c r="AE701" s="1289"/>
      <c r="AF701" s="1372"/>
      <c r="AG701" s="1372"/>
      <c r="AH701" s="1372"/>
      <c r="AI701" s="1372"/>
      <c r="AJ701" s="1372"/>
      <c r="AK701" s="1289"/>
      <c r="AL701" s="1372"/>
      <c r="AM701" s="1372"/>
      <c r="AN701" s="1372"/>
      <c r="AO701" s="1372"/>
      <c r="AP701" s="1372"/>
      <c r="AQ701" s="1289"/>
      <c r="AR701" s="1372"/>
      <c r="AS701" s="1372"/>
      <c r="AT701" s="1372"/>
      <c r="AU701" s="1372"/>
      <c r="AV701" s="1372"/>
      <c r="AW701" s="1372"/>
      <c r="AX701" s="1372"/>
      <c r="AY701" s="1372"/>
      <c r="AZ701" s="1095"/>
      <c r="BA701" s="2"/>
    </row>
    <row r="702" spans="1:53" ht="15.75" customHeight="1">
      <c r="A702" s="1027"/>
      <c r="B702" s="1370"/>
      <c r="C702" s="13"/>
      <c r="D702" s="1371"/>
      <c r="E702" s="1357"/>
      <c r="F702" s="1358"/>
      <c r="G702" s="1358"/>
      <c r="H702" s="1358"/>
      <c r="I702" s="1358"/>
      <c r="J702" s="1076"/>
      <c r="K702" s="1076"/>
      <c r="L702" s="1076"/>
      <c r="M702" s="1289"/>
      <c r="N702" s="1076"/>
      <c r="O702" s="1076"/>
      <c r="P702" s="1358"/>
      <c r="Q702" s="1358"/>
      <c r="R702" s="1364"/>
      <c r="S702" s="1364"/>
      <c r="T702" s="13"/>
      <c r="U702" s="13"/>
      <c r="V702" s="1289"/>
      <c r="W702" s="1076"/>
      <c r="X702" s="1076"/>
      <c r="Y702" s="1358"/>
      <c r="Z702" s="1358"/>
      <c r="AA702" s="1364"/>
      <c r="AB702" s="1364"/>
      <c r="AC702" s="13"/>
      <c r="AD702" s="13"/>
      <c r="AE702" s="1289"/>
      <c r="AF702" s="1372"/>
      <c r="AG702" s="1372"/>
      <c r="AH702" s="1372"/>
      <c r="AI702" s="1372"/>
      <c r="AJ702" s="1372"/>
      <c r="AK702" s="1289"/>
      <c r="AL702" s="1372"/>
      <c r="AM702" s="1372"/>
      <c r="AN702" s="1372"/>
      <c r="AO702" s="1372"/>
      <c r="AP702" s="1372"/>
      <c r="AQ702" s="1289"/>
      <c r="AR702" s="1372"/>
      <c r="AS702" s="1372"/>
      <c r="AT702" s="1372"/>
      <c r="AU702" s="1372"/>
      <c r="AV702" s="1372"/>
      <c r="AW702" s="1372"/>
      <c r="AX702" s="1372"/>
      <c r="AY702" s="1372"/>
      <c r="AZ702" s="1095"/>
      <c r="BA702" s="2"/>
    </row>
    <row r="703" spans="1:53" ht="15.75" customHeight="1">
      <c r="A703" s="1027"/>
      <c r="B703" s="1370"/>
      <c r="C703" s="13"/>
      <c r="D703" s="1371"/>
      <c r="E703" s="1357"/>
      <c r="F703" s="1358"/>
      <c r="G703" s="1358"/>
      <c r="H703" s="1358"/>
      <c r="I703" s="1358"/>
      <c r="J703" s="1076"/>
      <c r="K703" s="1076"/>
      <c r="L703" s="1076"/>
      <c r="M703" s="1289"/>
      <c r="N703" s="1076"/>
      <c r="O703" s="1076"/>
      <c r="P703" s="1358"/>
      <c r="Q703" s="1358"/>
      <c r="R703" s="1364"/>
      <c r="S703" s="1364"/>
      <c r="T703" s="13"/>
      <c r="U703" s="13"/>
      <c r="V703" s="1289"/>
      <c r="W703" s="1076"/>
      <c r="X703" s="1076"/>
      <c r="Y703" s="1358"/>
      <c r="Z703" s="1358"/>
      <c r="AA703" s="1364"/>
      <c r="AB703" s="1364"/>
      <c r="AC703" s="13"/>
      <c r="AD703" s="13"/>
      <c r="AE703" s="1289"/>
      <c r="AF703" s="1372"/>
      <c r="AG703" s="1372"/>
      <c r="AH703" s="1372"/>
      <c r="AI703" s="1372"/>
      <c r="AJ703" s="1372"/>
      <c r="AK703" s="1289"/>
      <c r="AL703" s="1372"/>
      <c r="AM703" s="1372"/>
      <c r="AN703" s="1372"/>
      <c r="AO703" s="1372"/>
      <c r="AP703" s="1372"/>
      <c r="AQ703" s="1289"/>
      <c r="AR703" s="1372"/>
      <c r="AS703" s="1372"/>
      <c r="AT703" s="1372"/>
      <c r="AU703" s="1372"/>
      <c r="AV703" s="1372"/>
      <c r="AW703" s="1372"/>
      <c r="AX703" s="1372"/>
      <c r="AY703" s="1372"/>
      <c r="AZ703" s="1095"/>
      <c r="BA703" s="2"/>
    </row>
    <row r="704" spans="1:53" ht="15.75" customHeight="1">
      <c r="A704" s="1027"/>
      <c r="B704" s="1370"/>
      <c r="C704" s="13"/>
      <c r="D704" s="1371"/>
      <c r="E704" s="1357"/>
      <c r="F704" s="1358"/>
      <c r="G704" s="1358"/>
      <c r="H704" s="1358"/>
      <c r="I704" s="1358"/>
      <c r="J704" s="1076"/>
      <c r="K704" s="1076"/>
      <c r="L704" s="1076"/>
      <c r="M704" s="1289"/>
      <c r="N704" s="1076"/>
      <c r="O704" s="1076"/>
      <c r="P704" s="1358"/>
      <c r="Q704" s="1358"/>
      <c r="R704" s="1364"/>
      <c r="S704" s="1364"/>
      <c r="T704" s="13"/>
      <c r="U704" s="13"/>
      <c r="V704" s="1289"/>
      <c r="W704" s="1076"/>
      <c r="X704" s="1076"/>
      <c r="Y704" s="1358"/>
      <c r="Z704" s="1358"/>
      <c r="AA704" s="1364"/>
      <c r="AB704" s="1364"/>
      <c r="AC704" s="13"/>
      <c r="AD704" s="13"/>
      <c r="AE704" s="1289"/>
      <c r="AF704" s="1372"/>
      <c r="AG704" s="1372"/>
      <c r="AH704" s="1372"/>
      <c r="AI704" s="1372"/>
      <c r="AJ704" s="1372"/>
      <c r="AK704" s="1289"/>
      <c r="AL704" s="1372"/>
      <c r="AM704" s="1372"/>
      <c r="AN704" s="1372"/>
      <c r="AO704" s="1372"/>
      <c r="AP704" s="1372"/>
      <c r="AQ704" s="1289"/>
      <c r="AR704" s="1372"/>
      <c r="AS704" s="1372"/>
      <c r="AT704" s="1372"/>
      <c r="AU704" s="1372"/>
      <c r="AV704" s="1372"/>
      <c r="AW704" s="1372"/>
      <c r="AX704" s="1372"/>
      <c r="AY704" s="1372"/>
      <c r="AZ704" s="1095"/>
      <c r="BA704" s="2"/>
    </row>
    <row r="705" spans="1:53" ht="15.75" customHeight="1">
      <c r="A705" s="1027"/>
      <c r="B705" s="1370"/>
      <c r="C705" s="13"/>
      <c r="D705" s="1371"/>
      <c r="E705" s="1357"/>
      <c r="F705" s="1358"/>
      <c r="G705" s="1358"/>
      <c r="H705" s="1358"/>
      <c r="I705" s="1358"/>
      <c r="J705" s="1076"/>
      <c r="K705" s="1076"/>
      <c r="L705" s="1076"/>
      <c r="M705" s="1289"/>
      <c r="N705" s="1076"/>
      <c r="O705" s="1076"/>
      <c r="P705" s="1358"/>
      <c r="Q705" s="1358"/>
      <c r="R705" s="1364"/>
      <c r="S705" s="1364"/>
      <c r="T705" s="13"/>
      <c r="U705" s="13"/>
      <c r="V705" s="1289"/>
      <c r="W705" s="1076"/>
      <c r="X705" s="1076"/>
      <c r="Y705" s="1358"/>
      <c r="Z705" s="1358"/>
      <c r="AA705" s="1364"/>
      <c r="AB705" s="1364"/>
      <c r="AC705" s="13"/>
      <c r="AD705" s="13"/>
      <c r="AE705" s="1289"/>
      <c r="AF705" s="1372"/>
      <c r="AG705" s="1372"/>
      <c r="AH705" s="1372"/>
      <c r="AI705" s="1372"/>
      <c r="AJ705" s="1372"/>
      <c r="AK705" s="1289"/>
      <c r="AL705" s="1372"/>
      <c r="AM705" s="1372"/>
      <c r="AN705" s="1372"/>
      <c r="AO705" s="1372"/>
      <c r="AP705" s="1372"/>
      <c r="AQ705" s="1289"/>
      <c r="AR705" s="1372"/>
      <c r="AS705" s="1372"/>
      <c r="AT705" s="1372"/>
      <c r="AU705" s="1372"/>
      <c r="AV705" s="1372"/>
      <c r="AW705" s="1372"/>
      <c r="AX705" s="1372"/>
      <c r="AY705" s="1372"/>
      <c r="AZ705" s="1095"/>
      <c r="BA705" s="2"/>
    </row>
    <row r="706" spans="1:53" ht="15.75" customHeight="1">
      <c r="A706" s="1027"/>
      <c r="B706" s="1370"/>
      <c r="C706" s="13"/>
      <c r="D706" s="1371"/>
      <c r="E706" s="1357"/>
      <c r="F706" s="1358"/>
      <c r="G706" s="1358"/>
      <c r="H706" s="1358"/>
      <c r="I706" s="1358"/>
      <c r="J706" s="1076"/>
      <c r="K706" s="1076"/>
      <c r="L706" s="1076"/>
      <c r="M706" s="1289"/>
      <c r="N706" s="1076"/>
      <c r="O706" s="1076"/>
      <c r="P706" s="1358"/>
      <c r="Q706" s="1358"/>
      <c r="R706" s="1364"/>
      <c r="S706" s="1364"/>
      <c r="T706" s="13"/>
      <c r="U706" s="13"/>
      <c r="V706" s="1289"/>
      <c r="W706" s="1076"/>
      <c r="X706" s="1076"/>
      <c r="Y706" s="1358"/>
      <c r="Z706" s="1358"/>
      <c r="AA706" s="1364"/>
      <c r="AB706" s="1364"/>
      <c r="AC706" s="13"/>
      <c r="AD706" s="13"/>
      <c r="AE706" s="1289"/>
      <c r="AF706" s="1372"/>
      <c r="AG706" s="1372"/>
      <c r="AH706" s="1372"/>
      <c r="AI706" s="1372"/>
      <c r="AJ706" s="1372"/>
      <c r="AK706" s="1289"/>
      <c r="AL706" s="1372"/>
      <c r="AM706" s="1372"/>
      <c r="AN706" s="1372"/>
      <c r="AO706" s="1372"/>
      <c r="AP706" s="1372"/>
      <c r="AQ706" s="1289"/>
      <c r="AR706" s="1372"/>
      <c r="AS706" s="1372"/>
      <c r="AT706" s="1372"/>
      <c r="AU706" s="1372"/>
      <c r="AV706" s="1372"/>
      <c r="AW706" s="1372"/>
      <c r="AX706" s="1372"/>
      <c r="AY706" s="1372"/>
      <c r="AZ706" s="1095"/>
      <c r="BA706" s="2"/>
    </row>
    <row r="707" spans="1:53" ht="15.75" customHeight="1">
      <c r="A707" s="1027"/>
      <c r="B707" s="1370"/>
      <c r="C707" s="13"/>
      <c r="D707" s="1371"/>
      <c r="E707" s="1357"/>
      <c r="F707" s="1358"/>
      <c r="G707" s="1358"/>
      <c r="H707" s="1358"/>
      <c r="I707" s="1358"/>
      <c r="J707" s="1076"/>
      <c r="K707" s="1076"/>
      <c r="L707" s="1076"/>
      <c r="M707" s="1289"/>
      <c r="N707" s="1076"/>
      <c r="O707" s="1076"/>
      <c r="P707" s="1358"/>
      <c r="Q707" s="1358"/>
      <c r="R707" s="1364"/>
      <c r="S707" s="1364"/>
      <c r="T707" s="13"/>
      <c r="U707" s="13"/>
      <c r="V707" s="1289"/>
      <c r="W707" s="1076"/>
      <c r="X707" s="1076"/>
      <c r="Y707" s="1358"/>
      <c r="Z707" s="1358"/>
      <c r="AA707" s="1364"/>
      <c r="AB707" s="1364"/>
      <c r="AC707" s="13"/>
      <c r="AD707" s="13"/>
      <c r="AE707" s="1289"/>
      <c r="AF707" s="1372"/>
      <c r="AG707" s="1372"/>
      <c r="AH707" s="1372"/>
      <c r="AI707" s="1372"/>
      <c r="AJ707" s="1372"/>
      <c r="AK707" s="1289"/>
      <c r="AL707" s="1372"/>
      <c r="AM707" s="1372"/>
      <c r="AN707" s="1372"/>
      <c r="AO707" s="1372"/>
      <c r="AP707" s="1372"/>
      <c r="AQ707" s="1289"/>
      <c r="AR707" s="1372"/>
      <c r="AS707" s="1372"/>
      <c r="AT707" s="1372"/>
      <c r="AU707" s="1372"/>
      <c r="AV707" s="1372"/>
      <c r="AW707" s="1372"/>
      <c r="AX707" s="1372"/>
      <c r="AY707" s="1372"/>
      <c r="AZ707" s="1095"/>
      <c r="BA707" s="2"/>
    </row>
    <row r="708" spans="1:53" ht="15.75" customHeight="1">
      <c r="A708" s="1027"/>
      <c r="B708" s="1370"/>
      <c r="C708" s="13"/>
      <c r="D708" s="1371"/>
      <c r="E708" s="1357"/>
      <c r="F708" s="1358"/>
      <c r="G708" s="1358"/>
      <c r="H708" s="1358"/>
      <c r="I708" s="1358"/>
      <c r="J708" s="1076"/>
      <c r="K708" s="1076"/>
      <c r="L708" s="1076"/>
      <c r="M708" s="1289"/>
      <c r="N708" s="1076"/>
      <c r="O708" s="1076"/>
      <c r="P708" s="1358"/>
      <c r="Q708" s="1358"/>
      <c r="R708" s="1364"/>
      <c r="S708" s="1364"/>
      <c r="T708" s="13"/>
      <c r="U708" s="13"/>
      <c r="V708" s="1289"/>
      <c r="W708" s="1076"/>
      <c r="X708" s="1076"/>
      <c r="Y708" s="1358"/>
      <c r="Z708" s="1358"/>
      <c r="AA708" s="1364"/>
      <c r="AB708" s="1364"/>
      <c r="AC708" s="13"/>
      <c r="AD708" s="13"/>
      <c r="AE708" s="1289"/>
      <c r="AF708" s="1372"/>
      <c r="AG708" s="1372"/>
      <c r="AH708" s="1372"/>
      <c r="AI708" s="1372"/>
      <c r="AJ708" s="1372"/>
      <c r="AK708" s="1289"/>
      <c r="AL708" s="1372"/>
      <c r="AM708" s="1372"/>
      <c r="AN708" s="1372"/>
      <c r="AO708" s="1372"/>
      <c r="AP708" s="1372"/>
      <c r="AQ708" s="1289"/>
      <c r="AR708" s="1372"/>
      <c r="AS708" s="1372"/>
      <c r="AT708" s="1372"/>
      <c r="AU708" s="1372"/>
      <c r="AV708" s="1372"/>
      <c r="AW708" s="1372"/>
      <c r="AX708" s="1372"/>
      <c r="AY708" s="1372"/>
      <c r="AZ708" s="1095"/>
      <c r="BA708" s="2"/>
    </row>
    <row r="709" spans="1:53" ht="15.75" customHeight="1">
      <c r="A709" s="1027"/>
      <c r="B709" s="1370"/>
      <c r="C709" s="13"/>
      <c r="D709" s="1371"/>
      <c r="E709" s="1357"/>
      <c r="F709" s="1358"/>
      <c r="G709" s="1358"/>
      <c r="H709" s="1358"/>
      <c r="I709" s="1358"/>
      <c r="J709" s="1076"/>
      <c r="K709" s="1076"/>
      <c r="L709" s="1076"/>
      <c r="M709" s="1289"/>
      <c r="N709" s="1076"/>
      <c r="O709" s="1076"/>
      <c r="P709" s="1358"/>
      <c r="Q709" s="1358"/>
      <c r="R709" s="1364"/>
      <c r="S709" s="1364"/>
      <c r="T709" s="13"/>
      <c r="U709" s="13"/>
      <c r="V709" s="1289"/>
      <c r="W709" s="1076"/>
      <c r="X709" s="1076"/>
      <c r="Y709" s="1358"/>
      <c r="Z709" s="1358"/>
      <c r="AA709" s="1364"/>
      <c r="AB709" s="1364"/>
      <c r="AC709" s="13"/>
      <c r="AD709" s="13"/>
      <c r="AE709" s="1289"/>
      <c r="AF709" s="1372"/>
      <c r="AG709" s="1372"/>
      <c r="AH709" s="1372"/>
      <c r="AI709" s="1372"/>
      <c r="AJ709" s="1372"/>
      <c r="AK709" s="1289"/>
      <c r="AL709" s="1372"/>
      <c r="AM709" s="1372"/>
      <c r="AN709" s="1372"/>
      <c r="AO709" s="1372"/>
      <c r="AP709" s="1372"/>
      <c r="AQ709" s="1289"/>
      <c r="AR709" s="1372"/>
      <c r="AS709" s="1372"/>
      <c r="AT709" s="1372"/>
      <c r="AU709" s="1372"/>
      <c r="AV709" s="1372"/>
      <c r="AW709" s="1372"/>
      <c r="AX709" s="1372"/>
      <c r="AY709" s="1372"/>
      <c r="AZ709" s="1095"/>
      <c r="BA709" s="2"/>
    </row>
    <row r="710" spans="1:53" ht="15.75" customHeight="1">
      <c r="A710" s="1027"/>
      <c r="B710" s="1370"/>
      <c r="C710" s="13"/>
      <c r="D710" s="1371"/>
      <c r="E710" s="1357"/>
      <c r="F710" s="1358"/>
      <c r="G710" s="1358"/>
      <c r="H710" s="1358"/>
      <c r="I710" s="1358"/>
      <c r="J710" s="1076"/>
      <c r="K710" s="1076"/>
      <c r="L710" s="1076"/>
      <c r="M710" s="1289"/>
      <c r="N710" s="1076"/>
      <c r="O710" s="1076"/>
      <c r="P710" s="1358"/>
      <c r="Q710" s="1358"/>
      <c r="R710" s="1364"/>
      <c r="S710" s="1364"/>
      <c r="T710" s="13"/>
      <c r="U710" s="13"/>
      <c r="V710" s="1289"/>
      <c r="W710" s="1076"/>
      <c r="X710" s="1076"/>
      <c r="Y710" s="1358"/>
      <c r="Z710" s="1358"/>
      <c r="AA710" s="1364"/>
      <c r="AB710" s="1364"/>
      <c r="AC710" s="13"/>
      <c r="AD710" s="13"/>
      <c r="AE710" s="1289"/>
      <c r="AF710" s="1372"/>
      <c r="AG710" s="1372"/>
      <c r="AH710" s="1372"/>
      <c r="AI710" s="1372"/>
      <c r="AJ710" s="1372"/>
      <c r="AK710" s="1289"/>
      <c r="AL710" s="1372"/>
      <c r="AM710" s="1372"/>
      <c r="AN710" s="1372"/>
      <c r="AO710" s="1372"/>
      <c r="AP710" s="1372"/>
      <c r="AQ710" s="1289"/>
      <c r="AR710" s="1372"/>
      <c r="AS710" s="1372"/>
      <c r="AT710" s="1372"/>
      <c r="AU710" s="1372"/>
      <c r="AV710" s="1372"/>
      <c r="AW710" s="1372"/>
      <c r="AX710" s="1372"/>
      <c r="AY710" s="1372"/>
      <c r="AZ710" s="1095"/>
      <c r="BA710" s="2"/>
    </row>
    <row r="711" spans="1:53" ht="15.75" customHeight="1">
      <c r="A711" s="1027"/>
      <c r="B711" s="1370"/>
      <c r="C711" s="13"/>
      <c r="D711" s="1371"/>
      <c r="E711" s="1357"/>
      <c r="F711" s="1358"/>
      <c r="G711" s="1358"/>
      <c r="H711" s="1358"/>
      <c r="I711" s="1358"/>
      <c r="J711" s="1076"/>
      <c r="K711" s="1076"/>
      <c r="L711" s="1076"/>
      <c r="M711" s="1289"/>
      <c r="N711" s="1076"/>
      <c r="O711" s="1076"/>
      <c r="P711" s="1358"/>
      <c r="Q711" s="1358"/>
      <c r="R711" s="1364"/>
      <c r="S711" s="1364"/>
      <c r="T711" s="13"/>
      <c r="U711" s="13"/>
      <c r="V711" s="1289"/>
      <c r="W711" s="1076"/>
      <c r="X711" s="1076"/>
      <c r="Y711" s="1358"/>
      <c r="Z711" s="1358"/>
      <c r="AA711" s="1364"/>
      <c r="AB711" s="1364"/>
      <c r="AC711" s="13"/>
      <c r="AD711" s="13"/>
      <c r="AE711" s="1289"/>
      <c r="AF711" s="1372"/>
      <c r="AG711" s="1372"/>
      <c r="AH711" s="1372"/>
      <c r="AI711" s="1372"/>
      <c r="AJ711" s="1372"/>
      <c r="AK711" s="1289"/>
      <c r="AL711" s="1372"/>
      <c r="AM711" s="1372"/>
      <c r="AN711" s="1372"/>
      <c r="AO711" s="1372"/>
      <c r="AP711" s="1372"/>
      <c r="AQ711" s="1289"/>
      <c r="AR711" s="1372"/>
      <c r="AS711" s="1372"/>
      <c r="AT711" s="1372"/>
      <c r="AU711" s="1372"/>
      <c r="AV711" s="1372"/>
      <c r="AW711" s="1372"/>
      <c r="AX711" s="1372"/>
      <c r="AY711" s="1372"/>
      <c r="AZ711" s="1095"/>
      <c r="BA711" s="2"/>
    </row>
    <row r="712" spans="1:53" ht="15.75" customHeight="1">
      <c r="A712" s="1027"/>
      <c r="B712" s="1370"/>
      <c r="C712" s="13"/>
      <c r="D712" s="1371"/>
      <c r="E712" s="1357"/>
      <c r="F712" s="1358"/>
      <c r="G712" s="1358"/>
      <c r="H712" s="1358"/>
      <c r="I712" s="1358"/>
      <c r="J712" s="1076"/>
      <c r="K712" s="1076"/>
      <c r="L712" s="1076"/>
      <c r="M712" s="1289"/>
      <c r="N712" s="1076"/>
      <c r="O712" s="1076"/>
      <c r="P712" s="1358"/>
      <c r="Q712" s="1358"/>
      <c r="R712" s="1364"/>
      <c r="S712" s="1364"/>
      <c r="T712" s="13"/>
      <c r="U712" s="13"/>
      <c r="V712" s="1289"/>
      <c r="W712" s="1076"/>
      <c r="X712" s="1076"/>
      <c r="Y712" s="1358"/>
      <c r="Z712" s="1358"/>
      <c r="AA712" s="1364"/>
      <c r="AB712" s="1364"/>
      <c r="AC712" s="13"/>
      <c r="AD712" s="13"/>
      <c r="AE712" s="1289"/>
      <c r="AF712" s="1372"/>
      <c r="AG712" s="1372"/>
      <c r="AH712" s="1372"/>
      <c r="AI712" s="1372"/>
      <c r="AJ712" s="1372"/>
      <c r="AK712" s="1289"/>
      <c r="AL712" s="1372"/>
      <c r="AM712" s="1372"/>
      <c r="AN712" s="1372"/>
      <c r="AO712" s="1372"/>
      <c r="AP712" s="1372"/>
      <c r="AQ712" s="1289"/>
      <c r="AR712" s="1372"/>
      <c r="AS712" s="1372"/>
      <c r="AT712" s="1372"/>
      <c r="AU712" s="1372"/>
      <c r="AV712" s="1372"/>
      <c r="AW712" s="1372"/>
      <c r="AX712" s="1372"/>
      <c r="AY712" s="1372"/>
      <c r="AZ712" s="1095"/>
      <c r="BA712" s="2"/>
    </row>
    <row r="713" spans="1:53" ht="15.75" customHeight="1">
      <c r="A713" s="1027"/>
      <c r="B713" s="1370"/>
      <c r="C713" s="13"/>
      <c r="D713" s="1371"/>
      <c r="E713" s="1357"/>
      <c r="F713" s="1358"/>
      <c r="G713" s="1358"/>
      <c r="H713" s="1358"/>
      <c r="I713" s="1358"/>
      <c r="J713" s="1076"/>
      <c r="K713" s="1076"/>
      <c r="L713" s="1076"/>
      <c r="M713" s="1289"/>
      <c r="N713" s="1076"/>
      <c r="O713" s="1076"/>
      <c r="P713" s="1358"/>
      <c r="Q713" s="1358"/>
      <c r="R713" s="1364"/>
      <c r="S713" s="1364"/>
      <c r="T713" s="13"/>
      <c r="U713" s="13"/>
      <c r="V713" s="1289"/>
      <c r="W713" s="1076"/>
      <c r="X713" s="1076"/>
      <c r="Y713" s="1358"/>
      <c r="Z713" s="1358"/>
      <c r="AA713" s="1364"/>
      <c r="AB713" s="1364"/>
      <c r="AC713" s="13"/>
      <c r="AD713" s="13"/>
      <c r="AE713" s="1289"/>
      <c r="AF713" s="1372"/>
      <c r="AG713" s="1372"/>
      <c r="AH713" s="1372"/>
      <c r="AI713" s="1372"/>
      <c r="AJ713" s="1372"/>
      <c r="AK713" s="1289"/>
      <c r="AL713" s="1372"/>
      <c r="AM713" s="1372"/>
      <c r="AN713" s="1372"/>
      <c r="AO713" s="1372"/>
      <c r="AP713" s="1372"/>
      <c r="AQ713" s="1289"/>
      <c r="AR713" s="1372"/>
      <c r="AS713" s="1372"/>
      <c r="AT713" s="1372"/>
      <c r="AU713" s="1372"/>
      <c r="AV713" s="1372"/>
      <c r="AW713" s="1372"/>
      <c r="AX713" s="1372"/>
      <c r="AY713" s="1372"/>
      <c r="AZ713" s="1095"/>
      <c r="BA713" s="2"/>
    </row>
    <row r="714" spans="1:53" ht="15.75" customHeight="1">
      <c r="A714" s="1027"/>
      <c r="B714" s="1370"/>
      <c r="C714" s="13"/>
      <c r="D714" s="1371"/>
      <c r="E714" s="1357"/>
      <c r="F714" s="1358"/>
      <c r="G714" s="1358"/>
      <c r="H714" s="1358"/>
      <c r="I714" s="1358"/>
      <c r="J714" s="1076"/>
      <c r="K714" s="1076"/>
      <c r="L714" s="1076"/>
      <c r="M714" s="1289"/>
      <c r="N714" s="1076"/>
      <c r="O714" s="1076"/>
      <c r="P714" s="1358"/>
      <c r="Q714" s="1358"/>
      <c r="R714" s="1364"/>
      <c r="S714" s="1364"/>
      <c r="T714" s="13"/>
      <c r="U714" s="13"/>
      <c r="V714" s="1289"/>
      <c r="W714" s="1076"/>
      <c r="X714" s="1076"/>
      <c r="Y714" s="1358"/>
      <c r="Z714" s="1358"/>
      <c r="AA714" s="1364"/>
      <c r="AB714" s="1364"/>
      <c r="AC714" s="13"/>
      <c r="AD714" s="13"/>
      <c r="AE714" s="1289"/>
      <c r="AF714" s="1372"/>
      <c r="AG714" s="1372"/>
      <c r="AH714" s="1372"/>
      <c r="AI714" s="1372"/>
      <c r="AJ714" s="1372"/>
      <c r="AK714" s="1289"/>
      <c r="AL714" s="1372"/>
      <c r="AM714" s="1372"/>
      <c r="AN714" s="1372"/>
      <c r="AO714" s="1372"/>
      <c r="AP714" s="1372"/>
      <c r="AQ714" s="1289"/>
      <c r="AR714" s="1372"/>
      <c r="AS714" s="1372"/>
      <c r="AT714" s="1372"/>
      <c r="AU714" s="1372"/>
      <c r="AV714" s="1372"/>
      <c r="AW714" s="1372"/>
      <c r="AX714" s="1372"/>
      <c r="AY714" s="1372"/>
      <c r="AZ714" s="1095"/>
      <c r="BA714" s="2"/>
    </row>
    <row r="715" spans="1:53" ht="15.75" customHeight="1">
      <c r="A715" s="1027"/>
      <c r="B715" s="1370"/>
      <c r="C715" s="13"/>
      <c r="D715" s="1371"/>
      <c r="E715" s="1357"/>
      <c r="F715" s="1358"/>
      <c r="G715" s="1358"/>
      <c r="H715" s="1358"/>
      <c r="I715" s="1358"/>
      <c r="J715" s="1076"/>
      <c r="K715" s="1076"/>
      <c r="L715" s="1076"/>
      <c r="M715" s="1289"/>
      <c r="N715" s="1076"/>
      <c r="O715" s="1076"/>
      <c r="P715" s="1358"/>
      <c r="Q715" s="1358"/>
      <c r="R715" s="1364"/>
      <c r="S715" s="1364"/>
      <c r="T715" s="13"/>
      <c r="U715" s="13"/>
      <c r="V715" s="1289"/>
      <c r="W715" s="1076"/>
      <c r="X715" s="1076"/>
      <c r="Y715" s="1358"/>
      <c r="Z715" s="1358"/>
      <c r="AA715" s="1364"/>
      <c r="AB715" s="1364"/>
      <c r="AC715" s="13"/>
      <c r="AD715" s="13"/>
      <c r="AE715" s="1289"/>
      <c r="AF715" s="1372"/>
      <c r="AG715" s="1372"/>
      <c r="AH715" s="1372"/>
      <c r="AI715" s="1372"/>
      <c r="AJ715" s="1372"/>
      <c r="AK715" s="1289"/>
      <c r="AL715" s="1372"/>
      <c r="AM715" s="1372"/>
      <c r="AN715" s="1372"/>
      <c r="AO715" s="1372"/>
      <c r="AP715" s="1372"/>
      <c r="AQ715" s="1289"/>
      <c r="AR715" s="1372"/>
      <c r="AS715" s="1372"/>
      <c r="AT715" s="1372"/>
      <c r="AU715" s="1372"/>
      <c r="AV715" s="1372"/>
      <c r="AW715" s="1372"/>
      <c r="AX715" s="1372"/>
      <c r="AY715" s="1372"/>
      <c r="AZ715" s="1095"/>
      <c r="BA715" s="2"/>
    </row>
    <row r="716" spans="1:53" ht="15.75" customHeight="1">
      <c r="A716" s="1027"/>
      <c r="B716" s="1370"/>
      <c r="C716" s="13"/>
      <c r="D716" s="1371"/>
      <c r="E716" s="1357"/>
      <c r="F716" s="1358"/>
      <c r="G716" s="1358"/>
      <c r="H716" s="1358"/>
      <c r="I716" s="1358"/>
      <c r="J716" s="1076"/>
      <c r="K716" s="1076"/>
      <c r="L716" s="1076"/>
      <c r="M716" s="1289"/>
      <c r="N716" s="1076"/>
      <c r="O716" s="1076"/>
      <c r="P716" s="1358"/>
      <c r="Q716" s="1358"/>
      <c r="R716" s="1364"/>
      <c r="S716" s="1364"/>
      <c r="T716" s="13"/>
      <c r="U716" s="13"/>
      <c r="V716" s="1289"/>
      <c r="W716" s="1076"/>
      <c r="X716" s="1076"/>
      <c r="Y716" s="1358"/>
      <c r="Z716" s="1358"/>
      <c r="AA716" s="1364"/>
      <c r="AB716" s="1364"/>
      <c r="AC716" s="13"/>
      <c r="AD716" s="13"/>
      <c r="AE716" s="1289"/>
      <c r="AF716" s="1372"/>
      <c r="AG716" s="1372"/>
      <c r="AH716" s="1372"/>
      <c r="AI716" s="1372"/>
      <c r="AJ716" s="1372"/>
      <c r="AK716" s="1289"/>
      <c r="AL716" s="1372"/>
      <c r="AM716" s="1372"/>
      <c r="AN716" s="1372"/>
      <c r="AO716" s="1372"/>
      <c r="AP716" s="1372"/>
      <c r="AQ716" s="1289"/>
      <c r="AR716" s="1372"/>
      <c r="AS716" s="1372"/>
      <c r="AT716" s="1372"/>
      <c r="AU716" s="1372"/>
      <c r="AV716" s="1372"/>
      <c r="AW716" s="1372"/>
      <c r="AX716" s="1372"/>
      <c r="AY716" s="1372"/>
      <c r="AZ716" s="1095"/>
      <c r="BA716" s="2"/>
    </row>
    <row r="717" spans="1:53" ht="15.75" customHeight="1">
      <c r="A717" s="1027"/>
      <c r="B717" s="1370"/>
      <c r="C717" s="13"/>
      <c r="D717" s="1371"/>
      <c r="E717" s="1357"/>
      <c r="F717" s="1358"/>
      <c r="G717" s="1358"/>
      <c r="H717" s="1358"/>
      <c r="I717" s="1358"/>
      <c r="J717" s="1076"/>
      <c r="K717" s="1076"/>
      <c r="L717" s="1076"/>
      <c r="M717" s="1289"/>
      <c r="N717" s="1076"/>
      <c r="O717" s="1076"/>
      <c r="P717" s="1358"/>
      <c r="Q717" s="1358"/>
      <c r="R717" s="1364"/>
      <c r="S717" s="1364"/>
      <c r="T717" s="13"/>
      <c r="U717" s="13"/>
      <c r="V717" s="1289"/>
      <c r="W717" s="1076"/>
      <c r="X717" s="1076"/>
      <c r="Y717" s="1358"/>
      <c r="Z717" s="1358"/>
      <c r="AA717" s="1364"/>
      <c r="AB717" s="1364"/>
      <c r="AC717" s="13"/>
      <c r="AD717" s="13"/>
      <c r="AE717" s="1289"/>
      <c r="AF717" s="1372"/>
      <c r="AG717" s="1372"/>
      <c r="AH717" s="1372"/>
      <c r="AI717" s="1372"/>
      <c r="AJ717" s="1372"/>
      <c r="AK717" s="1289"/>
      <c r="AL717" s="1372"/>
      <c r="AM717" s="1372"/>
      <c r="AN717" s="1372"/>
      <c r="AO717" s="1372"/>
      <c r="AP717" s="1372"/>
      <c r="AQ717" s="1289"/>
      <c r="AR717" s="1372"/>
      <c r="AS717" s="1372"/>
      <c r="AT717" s="1372"/>
      <c r="AU717" s="1372"/>
      <c r="AV717" s="1372"/>
      <c r="AW717" s="1372"/>
      <c r="AX717" s="1372"/>
      <c r="AY717" s="1372"/>
      <c r="AZ717" s="1095"/>
      <c r="BA717" s="2"/>
    </row>
    <row r="718" spans="1:53" ht="15.75" customHeight="1">
      <c r="A718" s="1027"/>
      <c r="B718" s="1370"/>
      <c r="C718" s="13"/>
      <c r="D718" s="1371"/>
      <c r="E718" s="1357"/>
      <c r="F718" s="1358"/>
      <c r="G718" s="1358"/>
      <c r="H718" s="1358"/>
      <c r="I718" s="1358"/>
      <c r="J718" s="1076"/>
      <c r="K718" s="1076"/>
      <c r="L718" s="1076"/>
      <c r="M718" s="1289"/>
      <c r="N718" s="1076"/>
      <c r="O718" s="1076"/>
      <c r="P718" s="1358"/>
      <c r="Q718" s="1358"/>
      <c r="R718" s="1364"/>
      <c r="S718" s="1364"/>
      <c r="T718" s="13"/>
      <c r="U718" s="13"/>
      <c r="V718" s="1289"/>
      <c r="W718" s="1076"/>
      <c r="X718" s="1076"/>
      <c r="Y718" s="1358"/>
      <c r="Z718" s="1358"/>
      <c r="AA718" s="1364"/>
      <c r="AB718" s="1364"/>
      <c r="AC718" s="13"/>
      <c r="AD718" s="13"/>
      <c r="AE718" s="1289"/>
      <c r="AF718" s="1372"/>
      <c r="AG718" s="1372"/>
      <c r="AH718" s="1372"/>
      <c r="AI718" s="1372"/>
      <c r="AJ718" s="1372"/>
      <c r="AK718" s="1289"/>
      <c r="AL718" s="1372"/>
      <c r="AM718" s="1372"/>
      <c r="AN718" s="1372"/>
      <c r="AO718" s="1372"/>
      <c r="AP718" s="1372"/>
      <c r="AQ718" s="1289"/>
      <c r="AR718" s="1372"/>
      <c r="AS718" s="1372"/>
      <c r="AT718" s="1372"/>
      <c r="AU718" s="1372"/>
      <c r="AV718" s="1372"/>
      <c r="AW718" s="1372"/>
      <c r="AX718" s="1372"/>
      <c r="AY718" s="1372"/>
      <c r="AZ718" s="1095"/>
      <c r="BA718" s="2"/>
    </row>
    <row r="719" spans="1:53" ht="15.75" customHeight="1">
      <c r="A719" s="1027"/>
      <c r="B719" s="1370"/>
      <c r="C719" s="13"/>
      <c r="D719" s="1371"/>
      <c r="E719" s="1357"/>
      <c r="F719" s="1358"/>
      <c r="G719" s="1358"/>
      <c r="H719" s="1358"/>
      <c r="I719" s="1358"/>
      <c r="J719" s="1076"/>
      <c r="K719" s="1076"/>
      <c r="L719" s="1076"/>
      <c r="M719" s="1289"/>
      <c r="N719" s="1076"/>
      <c r="O719" s="1076"/>
      <c r="P719" s="1358"/>
      <c r="Q719" s="1358"/>
      <c r="R719" s="1364"/>
      <c r="S719" s="1364"/>
      <c r="T719" s="13"/>
      <c r="U719" s="13"/>
      <c r="V719" s="1289"/>
      <c r="W719" s="1076"/>
      <c r="X719" s="1076"/>
      <c r="Y719" s="1358"/>
      <c r="Z719" s="1358"/>
      <c r="AA719" s="1364"/>
      <c r="AB719" s="1364"/>
      <c r="AC719" s="13"/>
      <c r="AD719" s="13"/>
      <c r="AE719" s="1289"/>
      <c r="AF719" s="1372"/>
      <c r="AG719" s="1372"/>
      <c r="AH719" s="1372"/>
      <c r="AI719" s="1372"/>
      <c r="AJ719" s="1372"/>
      <c r="AK719" s="1289"/>
      <c r="AL719" s="1372"/>
      <c r="AM719" s="1372"/>
      <c r="AN719" s="1372"/>
      <c r="AO719" s="1372"/>
      <c r="AP719" s="1372"/>
      <c r="AQ719" s="1289"/>
      <c r="AR719" s="1372"/>
      <c r="AS719" s="1372"/>
      <c r="AT719" s="1372"/>
      <c r="AU719" s="1372"/>
      <c r="AV719" s="1372"/>
      <c r="AW719" s="1372"/>
      <c r="AX719" s="1372"/>
      <c r="AY719" s="1372"/>
      <c r="AZ719" s="1095"/>
      <c r="BA719" s="2"/>
    </row>
    <row r="720" spans="1:53" ht="15.75" customHeight="1">
      <c r="A720" s="1027"/>
      <c r="B720" s="1370"/>
      <c r="C720" s="13"/>
      <c r="D720" s="1371"/>
      <c r="E720" s="1357"/>
      <c r="F720" s="1358"/>
      <c r="G720" s="1358"/>
      <c r="H720" s="1358"/>
      <c r="I720" s="1358"/>
      <c r="J720" s="1076"/>
      <c r="K720" s="1076"/>
      <c r="L720" s="1076"/>
      <c r="M720" s="1289"/>
      <c r="N720" s="1076"/>
      <c r="O720" s="1076"/>
      <c r="P720" s="1358"/>
      <c r="Q720" s="1358"/>
      <c r="R720" s="1364"/>
      <c r="S720" s="1364"/>
      <c r="T720" s="13"/>
      <c r="U720" s="13"/>
      <c r="V720" s="1289"/>
      <c r="W720" s="1076"/>
      <c r="X720" s="1076"/>
      <c r="Y720" s="1358"/>
      <c r="Z720" s="1358"/>
      <c r="AA720" s="1364"/>
      <c r="AB720" s="1364"/>
      <c r="AC720" s="13"/>
      <c r="AD720" s="13"/>
      <c r="AE720" s="1289"/>
      <c r="AF720" s="1372"/>
      <c r="AG720" s="1372"/>
      <c r="AH720" s="1372"/>
      <c r="AI720" s="1372"/>
      <c r="AJ720" s="1372"/>
      <c r="AK720" s="1289"/>
      <c r="AL720" s="1372"/>
      <c r="AM720" s="1372"/>
      <c r="AN720" s="1372"/>
      <c r="AO720" s="1372"/>
      <c r="AP720" s="1372"/>
      <c r="AQ720" s="1289"/>
      <c r="AR720" s="1372"/>
      <c r="AS720" s="1372"/>
      <c r="AT720" s="1372"/>
      <c r="AU720" s="1372"/>
      <c r="AV720" s="1372"/>
      <c r="AW720" s="1372"/>
      <c r="AX720" s="1372"/>
      <c r="AY720" s="1372"/>
      <c r="AZ720" s="1095"/>
      <c r="BA720" s="2"/>
    </row>
    <row r="721" spans="1:53" ht="15.75" customHeight="1">
      <c r="A721" s="1027"/>
      <c r="B721" s="1370"/>
      <c r="C721" s="13"/>
      <c r="D721" s="1371"/>
      <c r="E721" s="1357"/>
      <c r="F721" s="1358"/>
      <c r="G721" s="1358"/>
      <c r="H721" s="1358"/>
      <c r="I721" s="1358"/>
      <c r="J721" s="1076"/>
      <c r="K721" s="1076"/>
      <c r="L721" s="1076"/>
      <c r="M721" s="1289"/>
      <c r="N721" s="1076"/>
      <c r="O721" s="1076"/>
      <c r="P721" s="1358"/>
      <c r="Q721" s="1358"/>
      <c r="R721" s="1364"/>
      <c r="S721" s="1364"/>
      <c r="T721" s="13"/>
      <c r="U721" s="13"/>
      <c r="V721" s="1289"/>
      <c r="W721" s="1076"/>
      <c r="X721" s="1076"/>
      <c r="Y721" s="1358"/>
      <c r="Z721" s="1358"/>
      <c r="AA721" s="1364"/>
      <c r="AB721" s="1364"/>
      <c r="AC721" s="13"/>
      <c r="AD721" s="13"/>
      <c r="AE721" s="1289"/>
      <c r="AF721" s="1372"/>
      <c r="AG721" s="1372"/>
      <c r="AH721" s="1372"/>
      <c r="AI721" s="1372"/>
      <c r="AJ721" s="1372"/>
      <c r="AK721" s="1289"/>
      <c r="AL721" s="1372"/>
      <c r="AM721" s="1372"/>
      <c r="AN721" s="1372"/>
      <c r="AO721" s="1372"/>
      <c r="AP721" s="1372"/>
      <c r="AQ721" s="1289"/>
      <c r="AR721" s="1372"/>
      <c r="AS721" s="1372"/>
      <c r="AT721" s="1372"/>
      <c r="AU721" s="1372"/>
      <c r="AV721" s="1372"/>
      <c r="AW721" s="1372"/>
      <c r="AX721" s="1372"/>
      <c r="AY721" s="1372"/>
      <c r="AZ721" s="1095"/>
      <c r="BA721" s="2"/>
    </row>
    <row r="722" spans="1:53" ht="15.75" customHeight="1">
      <c r="A722" s="1027"/>
      <c r="B722" s="1370"/>
      <c r="C722" s="13"/>
      <c r="D722" s="1371"/>
      <c r="E722" s="1357"/>
      <c r="F722" s="1358"/>
      <c r="G722" s="1358"/>
      <c r="H722" s="1358"/>
      <c r="I722" s="1358"/>
      <c r="J722" s="1076"/>
      <c r="K722" s="1076"/>
      <c r="L722" s="1076"/>
      <c r="M722" s="1289"/>
      <c r="N722" s="1076"/>
      <c r="O722" s="1076"/>
      <c r="P722" s="1358"/>
      <c r="Q722" s="1358"/>
      <c r="R722" s="1364"/>
      <c r="S722" s="1364"/>
      <c r="T722" s="13"/>
      <c r="U722" s="13"/>
      <c r="V722" s="1289"/>
      <c r="W722" s="1076"/>
      <c r="X722" s="1076"/>
      <c r="Y722" s="1358"/>
      <c r="Z722" s="1358"/>
      <c r="AA722" s="1364"/>
      <c r="AB722" s="1364"/>
      <c r="AC722" s="13"/>
      <c r="AD722" s="13"/>
      <c r="AE722" s="1289"/>
      <c r="AF722" s="1372"/>
      <c r="AG722" s="1372"/>
      <c r="AH722" s="1372"/>
      <c r="AI722" s="1372"/>
      <c r="AJ722" s="1372"/>
      <c r="AK722" s="1289"/>
      <c r="AL722" s="1372"/>
      <c r="AM722" s="1372"/>
      <c r="AN722" s="1372"/>
      <c r="AO722" s="1372"/>
      <c r="AP722" s="1372"/>
      <c r="AQ722" s="1289"/>
      <c r="AR722" s="1372"/>
      <c r="AS722" s="1372"/>
      <c r="AT722" s="1372"/>
      <c r="AU722" s="1372"/>
      <c r="AV722" s="1372"/>
      <c r="AW722" s="1372"/>
      <c r="AX722" s="1372"/>
      <c r="AY722" s="1372"/>
      <c r="AZ722" s="1095"/>
      <c r="BA722" s="2"/>
    </row>
    <row r="723" spans="1:53" ht="15.75" customHeight="1">
      <c r="A723" s="1027"/>
      <c r="B723" s="1370"/>
      <c r="C723" s="13"/>
      <c r="D723" s="1371"/>
      <c r="E723" s="1357"/>
      <c r="F723" s="1358"/>
      <c r="G723" s="1358"/>
      <c r="H723" s="1358"/>
      <c r="I723" s="1358"/>
      <c r="J723" s="1076"/>
      <c r="K723" s="1076"/>
      <c r="L723" s="1076"/>
      <c r="M723" s="1289"/>
      <c r="N723" s="1076"/>
      <c r="O723" s="1076"/>
      <c r="P723" s="1358"/>
      <c r="Q723" s="1358"/>
      <c r="R723" s="1364"/>
      <c r="S723" s="1364"/>
      <c r="T723" s="13"/>
      <c r="U723" s="13"/>
      <c r="V723" s="1289"/>
      <c r="W723" s="1076"/>
      <c r="X723" s="1076"/>
      <c r="Y723" s="1358"/>
      <c r="Z723" s="1358"/>
      <c r="AA723" s="1364"/>
      <c r="AB723" s="1364"/>
      <c r="AC723" s="13"/>
      <c r="AD723" s="13"/>
      <c r="AE723" s="1289"/>
      <c r="AF723" s="1372"/>
      <c r="AG723" s="1372"/>
      <c r="AH723" s="1372"/>
      <c r="AI723" s="1372"/>
      <c r="AJ723" s="1372"/>
      <c r="AK723" s="1289"/>
      <c r="AL723" s="1372"/>
      <c r="AM723" s="1372"/>
      <c r="AN723" s="1372"/>
      <c r="AO723" s="1372"/>
      <c r="AP723" s="1372"/>
      <c r="AQ723" s="1289"/>
      <c r="AR723" s="1372"/>
      <c r="AS723" s="1372"/>
      <c r="AT723" s="1372"/>
      <c r="AU723" s="1372"/>
      <c r="AV723" s="1372"/>
      <c r="AW723" s="1372"/>
      <c r="AX723" s="1372"/>
      <c r="AY723" s="1372"/>
      <c r="AZ723" s="1095"/>
      <c r="BA723" s="2"/>
    </row>
    <row r="724" spans="1:53" ht="15.75" customHeight="1">
      <c r="A724" s="1027"/>
      <c r="B724" s="1370"/>
      <c r="C724" s="13"/>
      <c r="D724" s="1371"/>
      <c r="E724" s="1357"/>
      <c r="F724" s="1358"/>
      <c r="G724" s="1358"/>
      <c r="H724" s="1358"/>
      <c r="I724" s="1358"/>
      <c r="J724" s="1076"/>
      <c r="K724" s="1076"/>
      <c r="L724" s="1076"/>
      <c r="M724" s="1289"/>
      <c r="N724" s="1076"/>
      <c r="O724" s="1076"/>
      <c r="P724" s="1358"/>
      <c r="Q724" s="1358"/>
      <c r="R724" s="1364"/>
      <c r="S724" s="1364"/>
      <c r="T724" s="13"/>
      <c r="U724" s="13"/>
      <c r="V724" s="1289"/>
      <c r="W724" s="1076"/>
      <c r="X724" s="1076"/>
      <c r="Y724" s="1358"/>
      <c r="Z724" s="1358"/>
      <c r="AA724" s="1364"/>
      <c r="AB724" s="1364"/>
      <c r="AC724" s="13"/>
      <c r="AD724" s="13"/>
      <c r="AE724" s="1289"/>
      <c r="AF724" s="1372"/>
      <c r="AG724" s="1372"/>
      <c r="AH724" s="1372"/>
      <c r="AI724" s="1372"/>
      <c r="AJ724" s="1372"/>
      <c r="AK724" s="1289"/>
      <c r="AL724" s="1372"/>
      <c r="AM724" s="1372"/>
      <c r="AN724" s="1372"/>
      <c r="AO724" s="1372"/>
      <c r="AP724" s="1372"/>
      <c r="AQ724" s="1289"/>
      <c r="AR724" s="1372"/>
      <c r="AS724" s="1372"/>
      <c r="AT724" s="1372"/>
      <c r="AU724" s="1372"/>
      <c r="AV724" s="1372"/>
      <c r="AW724" s="1372"/>
      <c r="AX724" s="1372"/>
      <c r="AY724" s="1372"/>
      <c r="AZ724" s="1095"/>
      <c r="BA724" s="2"/>
    </row>
    <row r="725" spans="1:53" ht="15.75" customHeight="1">
      <c r="A725" s="1027"/>
      <c r="B725" s="1370"/>
      <c r="C725" s="13"/>
      <c r="D725" s="1371"/>
      <c r="E725" s="1357"/>
      <c r="F725" s="1358"/>
      <c r="G725" s="1358"/>
      <c r="H725" s="1358"/>
      <c r="I725" s="1358"/>
      <c r="J725" s="1076"/>
      <c r="K725" s="1076"/>
      <c r="L725" s="1076"/>
      <c r="M725" s="1289"/>
      <c r="N725" s="1076"/>
      <c r="O725" s="1076"/>
      <c r="P725" s="1358"/>
      <c r="Q725" s="1358"/>
      <c r="R725" s="1364"/>
      <c r="S725" s="1364"/>
      <c r="T725" s="13"/>
      <c r="U725" s="13"/>
      <c r="V725" s="1289"/>
      <c r="W725" s="1076"/>
      <c r="X725" s="1076"/>
      <c r="Y725" s="1358"/>
      <c r="Z725" s="1358"/>
      <c r="AA725" s="1364"/>
      <c r="AB725" s="1364"/>
      <c r="AC725" s="13"/>
      <c r="AD725" s="13"/>
      <c r="AE725" s="1289"/>
      <c r="AF725" s="1372"/>
      <c r="AG725" s="1372"/>
      <c r="AH725" s="1372"/>
      <c r="AI725" s="1372"/>
      <c r="AJ725" s="1372"/>
      <c r="AK725" s="1289"/>
      <c r="AL725" s="1372"/>
      <c r="AM725" s="1372"/>
      <c r="AN725" s="1372"/>
      <c r="AO725" s="1372"/>
      <c r="AP725" s="1372"/>
      <c r="AQ725" s="1289"/>
      <c r="AR725" s="1372"/>
      <c r="AS725" s="1372"/>
      <c r="AT725" s="1372"/>
      <c r="AU725" s="1372"/>
      <c r="AV725" s="1372"/>
      <c r="AW725" s="1372"/>
      <c r="AX725" s="1372"/>
      <c r="AY725" s="1372"/>
      <c r="AZ725" s="1095"/>
      <c r="BA725" s="2"/>
    </row>
    <row r="726" spans="1:53" ht="15.75" customHeight="1">
      <c r="A726" s="1027"/>
      <c r="B726" s="1370"/>
      <c r="C726" s="13"/>
      <c r="D726" s="1371"/>
      <c r="E726" s="1357"/>
      <c r="F726" s="1358"/>
      <c r="G726" s="1358"/>
      <c r="H726" s="1358"/>
      <c r="I726" s="1358"/>
      <c r="J726" s="1076"/>
      <c r="K726" s="1076"/>
      <c r="L726" s="1076"/>
      <c r="M726" s="1289"/>
      <c r="N726" s="1076"/>
      <c r="O726" s="1076"/>
      <c r="P726" s="1358"/>
      <c r="Q726" s="1358"/>
      <c r="R726" s="1364"/>
      <c r="S726" s="1364"/>
      <c r="T726" s="13"/>
      <c r="U726" s="13"/>
      <c r="V726" s="1289"/>
      <c r="W726" s="1076"/>
      <c r="X726" s="1076"/>
      <c r="Y726" s="1358"/>
      <c r="Z726" s="1358"/>
      <c r="AA726" s="1364"/>
      <c r="AB726" s="1364"/>
      <c r="AC726" s="13"/>
      <c r="AD726" s="13"/>
      <c r="AE726" s="1289"/>
      <c r="AF726" s="1372"/>
      <c r="AG726" s="1372"/>
      <c r="AH726" s="1372"/>
      <c r="AI726" s="1372"/>
      <c r="AJ726" s="1372"/>
      <c r="AK726" s="1289"/>
      <c r="AL726" s="1372"/>
      <c r="AM726" s="1372"/>
      <c r="AN726" s="1372"/>
      <c r="AO726" s="1372"/>
      <c r="AP726" s="1372"/>
      <c r="AQ726" s="1289"/>
      <c r="AR726" s="1372"/>
      <c r="AS726" s="1372"/>
      <c r="AT726" s="1372"/>
      <c r="AU726" s="1372"/>
      <c r="AV726" s="1372"/>
      <c r="AW726" s="1372"/>
      <c r="AX726" s="1372"/>
      <c r="AY726" s="1372"/>
      <c r="AZ726" s="1095"/>
      <c r="BA726" s="2"/>
    </row>
    <row r="727" spans="1:53" ht="15.75" customHeight="1">
      <c r="A727" s="1027"/>
      <c r="B727" s="1370"/>
      <c r="C727" s="13"/>
      <c r="D727" s="1371"/>
      <c r="E727" s="1357"/>
      <c r="F727" s="1358"/>
      <c r="G727" s="1358"/>
      <c r="H727" s="1358"/>
      <c r="I727" s="1358"/>
      <c r="J727" s="1076"/>
      <c r="K727" s="1076"/>
      <c r="L727" s="1076"/>
      <c r="M727" s="1289"/>
      <c r="N727" s="1076"/>
      <c r="O727" s="1076"/>
      <c r="P727" s="1358"/>
      <c r="Q727" s="1358"/>
      <c r="R727" s="1364"/>
      <c r="S727" s="1364"/>
      <c r="T727" s="13"/>
      <c r="U727" s="13"/>
      <c r="V727" s="1289"/>
      <c r="W727" s="1076"/>
      <c r="X727" s="1076"/>
      <c r="Y727" s="1358"/>
      <c r="Z727" s="1358"/>
      <c r="AA727" s="1364"/>
      <c r="AB727" s="1364"/>
      <c r="AC727" s="13"/>
      <c r="AD727" s="13"/>
      <c r="AE727" s="1289"/>
      <c r="AF727" s="1372"/>
      <c r="AG727" s="1372"/>
      <c r="AH727" s="1372"/>
      <c r="AI727" s="1372"/>
      <c r="AJ727" s="1372"/>
      <c r="AK727" s="1289"/>
      <c r="AL727" s="1372"/>
      <c r="AM727" s="1372"/>
      <c r="AN727" s="1372"/>
      <c r="AO727" s="1372"/>
      <c r="AP727" s="1372"/>
      <c r="AQ727" s="1289"/>
      <c r="AR727" s="1372"/>
      <c r="AS727" s="1372"/>
      <c r="AT727" s="1372"/>
      <c r="AU727" s="1372"/>
      <c r="AV727" s="1372"/>
      <c r="AW727" s="1372"/>
      <c r="AX727" s="1372"/>
      <c r="AY727" s="1372"/>
      <c r="AZ727" s="1095"/>
      <c r="BA727" s="2"/>
    </row>
    <row r="728" spans="1:53" ht="15.75" customHeight="1">
      <c r="A728" s="1027"/>
      <c r="B728" s="1370"/>
      <c r="C728" s="13"/>
      <c r="D728" s="1371"/>
      <c r="E728" s="1357"/>
      <c r="F728" s="1358"/>
      <c r="G728" s="1358"/>
      <c r="H728" s="1358"/>
      <c r="I728" s="1358"/>
      <c r="J728" s="1076"/>
      <c r="K728" s="1076"/>
      <c r="L728" s="1076"/>
      <c r="M728" s="1289"/>
      <c r="N728" s="1076"/>
      <c r="O728" s="1076"/>
      <c r="P728" s="1358"/>
      <c r="Q728" s="1358"/>
      <c r="R728" s="1364"/>
      <c r="S728" s="1364"/>
      <c r="T728" s="13"/>
      <c r="U728" s="13"/>
      <c r="V728" s="1289"/>
      <c r="W728" s="1076"/>
      <c r="X728" s="1076"/>
      <c r="Y728" s="1358"/>
      <c r="Z728" s="1358"/>
      <c r="AA728" s="1364"/>
      <c r="AB728" s="1364"/>
      <c r="AC728" s="13"/>
      <c r="AD728" s="13"/>
      <c r="AE728" s="1289"/>
      <c r="AF728" s="1372"/>
      <c r="AG728" s="1372"/>
      <c r="AH728" s="1372"/>
      <c r="AI728" s="1372"/>
      <c r="AJ728" s="1372"/>
      <c r="AK728" s="1289"/>
      <c r="AL728" s="1372"/>
      <c r="AM728" s="1372"/>
      <c r="AN728" s="1372"/>
      <c r="AO728" s="1372"/>
      <c r="AP728" s="1372"/>
      <c r="AQ728" s="1289"/>
      <c r="AR728" s="1372"/>
      <c r="AS728" s="1372"/>
      <c r="AT728" s="1372"/>
      <c r="AU728" s="1372"/>
      <c r="AV728" s="1372"/>
      <c r="AW728" s="1372"/>
      <c r="AX728" s="1372"/>
      <c r="AY728" s="1372"/>
      <c r="AZ728" s="1095"/>
      <c r="BA728" s="2"/>
    </row>
    <row r="729" spans="1:53" ht="15.75" customHeight="1">
      <c r="A729" s="1027"/>
      <c r="B729" s="1370"/>
      <c r="C729" s="13"/>
      <c r="D729" s="1371"/>
      <c r="E729" s="1357"/>
      <c r="F729" s="1358"/>
      <c r="G729" s="1358"/>
      <c r="H729" s="1358"/>
      <c r="I729" s="1358"/>
      <c r="J729" s="1076"/>
      <c r="K729" s="1076"/>
      <c r="L729" s="1076"/>
      <c r="M729" s="1289"/>
      <c r="N729" s="1076"/>
      <c r="O729" s="1076"/>
      <c r="P729" s="1358"/>
      <c r="Q729" s="1358"/>
      <c r="R729" s="1364"/>
      <c r="S729" s="1364"/>
      <c r="T729" s="13"/>
      <c r="U729" s="13"/>
      <c r="V729" s="1289"/>
      <c r="W729" s="1076"/>
      <c r="X729" s="1076"/>
      <c r="Y729" s="1358"/>
      <c r="Z729" s="1358"/>
      <c r="AA729" s="1364"/>
      <c r="AB729" s="1364"/>
      <c r="AC729" s="13"/>
      <c r="AD729" s="13"/>
      <c r="AE729" s="1289"/>
      <c r="AF729" s="1372"/>
      <c r="AG729" s="1372"/>
      <c r="AH729" s="1372"/>
      <c r="AI729" s="1372"/>
      <c r="AJ729" s="1372"/>
      <c r="AK729" s="1289"/>
      <c r="AL729" s="1372"/>
      <c r="AM729" s="1372"/>
      <c r="AN729" s="1372"/>
      <c r="AO729" s="1372"/>
      <c r="AP729" s="1372"/>
      <c r="AQ729" s="1289"/>
      <c r="AR729" s="1372"/>
      <c r="AS729" s="1372"/>
      <c r="AT729" s="1372"/>
      <c r="AU729" s="1372"/>
      <c r="AV729" s="1372"/>
      <c r="AW729" s="1372"/>
      <c r="AX729" s="1372"/>
      <c r="AY729" s="1372"/>
      <c r="AZ729" s="1095"/>
      <c r="BA729" s="2"/>
    </row>
    <row r="730" spans="1:53" ht="15.75" customHeight="1">
      <c r="A730" s="1027"/>
      <c r="B730" s="1370"/>
      <c r="C730" s="13"/>
      <c r="D730" s="1371"/>
      <c r="E730" s="1357"/>
      <c r="F730" s="1358"/>
      <c r="G730" s="1358"/>
      <c r="H730" s="1358"/>
      <c r="I730" s="1358"/>
      <c r="J730" s="1076"/>
      <c r="K730" s="1076"/>
      <c r="L730" s="1076"/>
      <c r="M730" s="1289"/>
      <c r="N730" s="1076"/>
      <c r="O730" s="1076"/>
      <c r="P730" s="1358"/>
      <c r="Q730" s="1358"/>
      <c r="R730" s="1364"/>
      <c r="S730" s="1364"/>
      <c r="T730" s="13"/>
      <c r="U730" s="13"/>
      <c r="V730" s="1289"/>
      <c r="W730" s="1076"/>
      <c r="X730" s="1076"/>
      <c r="Y730" s="1358"/>
      <c r="Z730" s="1358"/>
      <c r="AA730" s="1364"/>
      <c r="AB730" s="1364"/>
      <c r="AC730" s="13"/>
      <c r="AD730" s="13"/>
      <c r="AE730" s="1289"/>
      <c r="AF730" s="1372"/>
      <c r="AG730" s="1372"/>
      <c r="AH730" s="1372"/>
      <c r="AI730" s="1372"/>
      <c r="AJ730" s="1372"/>
      <c r="AK730" s="1289"/>
      <c r="AL730" s="1372"/>
      <c r="AM730" s="1372"/>
      <c r="AN730" s="1372"/>
      <c r="AO730" s="1372"/>
      <c r="AP730" s="1372"/>
      <c r="AQ730" s="1289"/>
      <c r="AR730" s="1372"/>
      <c r="AS730" s="1372"/>
      <c r="AT730" s="1372"/>
      <c r="AU730" s="1372"/>
      <c r="AV730" s="1372"/>
      <c r="AW730" s="1372"/>
      <c r="AX730" s="1372"/>
      <c r="AY730" s="1372"/>
      <c r="AZ730" s="1095"/>
      <c r="BA730" s="2"/>
    </row>
    <row r="731" spans="1:53" ht="15.75" customHeight="1">
      <c r="A731" s="1027"/>
      <c r="B731" s="1370"/>
      <c r="C731" s="13"/>
      <c r="D731" s="1371"/>
      <c r="E731" s="1357"/>
      <c r="F731" s="1358"/>
      <c r="G731" s="1358"/>
      <c r="H731" s="1358"/>
      <c r="I731" s="1358"/>
      <c r="J731" s="1076"/>
      <c r="K731" s="1076"/>
      <c r="L731" s="1076"/>
      <c r="M731" s="1289"/>
      <c r="N731" s="1076"/>
      <c r="O731" s="1076"/>
      <c r="P731" s="1358"/>
      <c r="Q731" s="1358"/>
      <c r="R731" s="1364"/>
      <c r="S731" s="1364"/>
      <c r="T731" s="13"/>
      <c r="U731" s="13"/>
      <c r="V731" s="1289"/>
      <c r="W731" s="1076"/>
      <c r="X731" s="1076"/>
      <c r="Y731" s="1358"/>
      <c r="Z731" s="1358"/>
      <c r="AA731" s="1364"/>
      <c r="AB731" s="1364"/>
      <c r="AC731" s="13"/>
      <c r="AD731" s="13"/>
      <c r="AE731" s="1289"/>
      <c r="AF731" s="1372"/>
      <c r="AG731" s="1372"/>
      <c r="AH731" s="1372"/>
      <c r="AI731" s="1372"/>
      <c r="AJ731" s="1372"/>
      <c r="AK731" s="1289"/>
      <c r="AL731" s="1372"/>
      <c r="AM731" s="1372"/>
      <c r="AN731" s="1372"/>
      <c r="AO731" s="1372"/>
      <c r="AP731" s="1372"/>
      <c r="AQ731" s="1289"/>
      <c r="AR731" s="1372"/>
      <c r="AS731" s="1372"/>
      <c r="AT731" s="1372"/>
      <c r="AU731" s="1372"/>
      <c r="AV731" s="1372"/>
      <c r="AW731" s="1372"/>
      <c r="AX731" s="1372"/>
      <c r="AY731" s="1372"/>
      <c r="AZ731" s="1095"/>
      <c r="BA731" s="2"/>
    </row>
    <row r="732" spans="1:53" ht="15.75" customHeight="1">
      <c r="A732" s="1027"/>
      <c r="B732" s="1370"/>
      <c r="C732" s="13"/>
      <c r="D732" s="1371"/>
      <c r="E732" s="1357"/>
      <c r="F732" s="1358"/>
      <c r="G732" s="1358"/>
      <c r="H732" s="1358"/>
      <c r="I732" s="1358"/>
      <c r="J732" s="1076"/>
      <c r="K732" s="1076"/>
      <c r="L732" s="1076"/>
      <c r="M732" s="1289"/>
      <c r="N732" s="1076"/>
      <c r="O732" s="1076"/>
      <c r="P732" s="1358"/>
      <c r="Q732" s="1358"/>
      <c r="R732" s="1364"/>
      <c r="S732" s="1364"/>
      <c r="T732" s="13"/>
      <c r="U732" s="13"/>
      <c r="V732" s="1289"/>
      <c r="W732" s="1076"/>
      <c r="X732" s="1076"/>
      <c r="Y732" s="1358"/>
      <c r="Z732" s="1358"/>
      <c r="AA732" s="1364"/>
      <c r="AB732" s="1364"/>
      <c r="AC732" s="13"/>
      <c r="AD732" s="13"/>
      <c r="AE732" s="1289"/>
      <c r="AF732" s="1372"/>
      <c r="AG732" s="1372"/>
      <c r="AH732" s="1372"/>
      <c r="AI732" s="1372"/>
      <c r="AJ732" s="1372"/>
      <c r="AK732" s="1289"/>
      <c r="AL732" s="1372"/>
      <c r="AM732" s="1372"/>
      <c r="AN732" s="1372"/>
      <c r="AO732" s="1372"/>
      <c r="AP732" s="1372"/>
      <c r="AQ732" s="1289"/>
      <c r="AR732" s="1372"/>
      <c r="AS732" s="1372"/>
      <c r="AT732" s="1372"/>
      <c r="AU732" s="1372"/>
      <c r="AV732" s="1372"/>
      <c r="AW732" s="1372"/>
      <c r="AX732" s="1372"/>
      <c r="AY732" s="1372"/>
      <c r="AZ732" s="1095"/>
      <c r="BA732" s="2"/>
    </row>
    <row r="733" spans="1:53" ht="15.75" customHeight="1">
      <c r="A733" s="1027"/>
      <c r="B733" s="1370"/>
      <c r="C733" s="13"/>
      <c r="D733" s="1371"/>
      <c r="E733" s="1357"/>
      <c r="F733" s="1358"/>
      <c r="G733" s="1358"/>
      <c r="H733" s="1358"/>
      <c r="I733" s="1358"/>
      <c r="J733" s="1076"/>
      <c r="K733" s="1076"/>
      <c r="L733" s="1076"/>
      <c r="M733" s="1289"/>
      <c r="N733" s="1076"/>
      <c r="O733" s="1076"/>
      <c r="P733" s="1358"/>
      <c r="Q733" s="1358"/>
      <c r="R733" s="1364"/>
      <c r="S733" s="1364"/>
      <c r="T733" s="13"/>
      <c r="U733" s="13"/>
      <c r="V733" s="1289"/>
      <c r="W733" s="1076"/>
      <c r="X733" s="1076"/>
      <c r="Y733" s="1358"/>
      <c r="Z733" s="1358"/>
      <c r="AA733" s="1364"/>
      <c r="AB733" s="1364"/>
      <c r="AC733" s="13"/>
      <c r="AD733" s="13"/>
      <c r="AE733" s="1289"/>
      <c r="AF733" s="1372"/>
      <c r="AG733" s="1372"/>
      <c r="AH733" s="1372"/>
      <c r="AI733" s="1372"/>
      <c r="AJ733" s="1372"/>
      <c r="AK733" s="1289"/>
      <c r="AL733" s="1372"/>
      <c r="AM733" s="1372"/>
      <c r="AN733" s="1372"/>
      <c r="AO733" s="1372"/>
      <c r="AP733" s="1372"/>
      <c r="AQ733" s="1289"/>
      <c r="AR733" s="1372"/>
      <c r="AS733" s="1372"/>
      <c r="AT733" s="1372"/>
      <c r="AU733" s="1372"/>
      <c r="AV733" s="1372"/>
      <c r="AW733" s="1372"/>
      <c r="AX733" s="1372"/>
      <c r="AY733" s="1372"/>
      <c r="AZ733" s="1095"/>
      <c r="BA733" s="2"/>
    </row>
    <row r="734" spans="1:53" ht="15.75" customHeight="1">
      <c r="A734" s="1027"/>
      <c r="B734" s="1370"/>
      <c r="C734" s="13"/>
      <c r="D734" s="1371"/>
      <c r="E734" s="1357"/>
      <c r="F734" s="1358"/>
      <c r="G734" s="1358"/>
      <c r="H734" s="1358"/>
      <c r="I734" s="1358"/>
      <c r="J734" s="1076"/>
      <c r="K734" s="1076"/>
      <c r="L734" s="1076"/>
      <c r="M734" s="1289"/>
      <c r="N734" s="1076"/>
      <c r="O734" s="1076"/>
      <c r="P734" s="1358"/>
      <c r="Q734" s="1358"/>
      <c r="R734" s="1364"/>
      <c r="S734" s="1364"/>
      <c r="T734" s="13"/>
      <c r="U734" s="13"/>
      <c r="V734" s="1289"/>
      <c r="W734" s="1076"/>
      <c r="X734" s="1076"/>
      <c r="Y734" s="1358"/>
      <c r="Z734" s="1358"/>
      <c r="AA734" s="1364"/>
      <c r="AB734" s="1364"/>
      <c r="AC734" s="13"/>
      <c r="AD734" s="13"/>
      <c r="AE734" s="1289"/>
      <c r="AF734" s="1372"/>
      <c r="AG734" s="1372"/>
      <c r="AH734" s="1372"/>
      <c r="AI734" s="1372"/>
      <c r="AJ734" s="1372"/>
      <c r="AK734" s="1289"/>
      <c r="AL734" s="1372"/>
      <c r="AM734" s="1372"/>
      <c r="AN734" s="1372"/>
      <c r="AO734" s="1372"/>
      <c r="AP734" s="1372"/>
      <c r="AQ734" s="1289"/>
      <c r="AR734" s="1372"/>
      <c r="AS734" s="1372"/>
      <c r="AT734" s="1372"/>
      <c r="AU734" s="1372"/>
      <c r="AV734" s="1372"/>
      <c r="AW734" s="1372"/>
      <c r="AX734" s="1372"/>
      <c r="AY734" s="1372"/>
      <c r="AZ734" s="1095"/>
      <c r="BA734" s="2"/>
    </row>
    <row r="735" spans="1:53" ht="15.75" customHeight="1">
      <c r="A735" s="1027"/>
      <c r="B735" s="1370"/>
      <c r="C735" s="13"/>
      <c r="D735" s="1371"/>
      <c r="E735" s="1357"/>
      <c r="F735" s="1358"/>
      <c r="G735" s="1358"/>
      <c r="H735" s="1358"/>
      <c r="I735" s="1358"/>
      <c r="J735" s="1076"/>
      <c r="K735" s="1076"/>
      <c r="L735" s="1076"/>
      <c r="M735" s="1289"/>
      <c r="N735" s="1076"/>
      <c r="O735" s="1076"/>
      <c r="P735" s="1358"/>
      <c r="Q735" s="1358"/>
      <c r="R735" s="1364"/>
      <c r="S735" s="1364"/>
      <c r="T735" s="13"/>
      <c r="U735" s="13"/>
      <c r="V735" s="1289"/>
      <c r="W735" s="1076"/>
      <c r="X735" s="1076"/>
      <c r="Y735" s="1358"/>
      <c r="Z735" s="1358"/>
      <c r="AA735" s="1364"/>
      <c r="AB735" s="1364"/>
      <c r="AC735" s="13"/>
      <c r="AD735" s="13"/>
      <c r="AE735" s="1289"/>
      <c r="AF735" s="1372"/>
      <c r="AG735" s="1372"/>
      <c r="AH735" s="1372"/>
      <c r="AI735" s="1372"/>
      <c r="AJ735" s="1372"/>
      <c r="AK735" s="1289"/>
      <c r="AL735" s="1372"/>
      <c r="AM735" s="1372"/>
      <c r="AN735" s="1372"/>
      <c r="AO735" s="1372"/>
      <c r="AP735" s="1372"/>
      <c r="AQ735" s="1289"/>
      <c r="AR735" s="1372"/>
      <c r="AS735" s="1372"/>
      <c r="AT735" s="1372"/>
      <c r="AU735" s="1372"/>
      <c r="AV735" s="1372"/>
      <c r="AW735" s="1372"/>
      <c r="AX735" s="1372"/>
      <c r="AY735" s="1372"/>
      <c r="AZ735" s="1095"/>
      <c r="BA735" s="2"/>
    </row>
    <row r="736" spans="1:53" ht="15.75" customHeight="1">
      <c r="A736" s="1027"/>
      <c r="B736" s="1370"/>
      <c r="C736" s="13"/>
      <c r="D736" s="1371"/>
      <c r="E736" s="1357"/>
      <c r="F736" s="1358"/>
      <c r="G736" s="1358"/>
      <c r="H736" s="1358"/>
      <c r="I736" s="1358"/>
      <c r="J736" s="1076"/>
      <c r="K736" s="1076"/>
      <c r="L736" s="1076"/>
      <c r="M736" s="1289"/>
      <c r="N736" s="1076"/>
      <c r="O736" s="1076"/>
      <c r="P736" s="1358"/>
      <c r="Q736" s="1358"/>
      <c r="R736" s="1364"/>
      <c r="S736" s="1364"/>
      <c r="T736" s="13"/>
      <c r="U736" s="13"/>
      <c r="V736" s="1289"/>
      <c r="W736" s="1076"/>
      <c r="X736" s="1076"/>
      <c r="Y736" s="1358"/>
      <c r="Z736" s="1358"/>
      <c r="AA736" s="1364"/>
      <c r="AB736" s="1364"/>
      <c r="AC736" s="13"/>
      <c r="AD736" s="13"/>
      <c r="AE736" s="1289"/>
      <c r="AF736" s="1372"/>
      <c r="AG736" s="1372"/>
      <c r="AH736" s="1372"/>
      <c r="AI736" s="1372"/>
      <c r="AJ736" s="1372"/>
      <c r="AK736" s="1289"/>
      <c r="AL736" s="1372"/>
      <c r="AM736" s="1372"/>
      <c r="AN736" s="1372"/>
      <c r="AO736" s="1372"/>
      <c r="AP736" s="1372"/>
      <c r="AQ736" s="1289"/>
      <c r="AR736" s="1372"/>
      <c r="AS736" s="1372"/>
      <c r="AT736" s="1372"/>
      <c r="AU736" s="1372"/>
      <c r="AV736" s="1372"/>
      <c r="AW736" s="1372"/>
      <c r="AX736" s="1372"/>
      <c r="AY736" s="1372"/>
      <c r="AZ736" s="1095"/>
      <c r="BA736" s="2"/>
    </row>
    <row r="737" spans="1:53" ht="15.75" customHeight="1">
      <c r="A737" s="1027"/>
      <c r="B737" s="1370"/>
      <c r="C737" s="13"/>
      <c r="D737" s="1371"/>
      <c r="E737" s="1357"/>
      <c r="F737" s="1358"/>
      <c r="G737" s="1358"/>
      <c r="H737" s="1358"/>
      <c r="I737" s="1358"/>
      <c r="J737" s="1076"/>
      <c r="K737" s="1076"/>
      <c r="L737" s="1076"/>
      <c r="M737" s="1289"/>
      <c r="N737" s="1076"/>
      <c r="O737" s="1076"/>
      <c r="P737" s="1358"/>
      <c r="Q737" s="1358"/>
      <c r="R737" s="1364"/>
      <c r="S737" s="1364"/>
      <c r="T737" s="13"/>
      <c r="U737" s="13"/>
      <c r="V737" s="1289"/>
      <c r="W737" s="1076"/>
      <c r="X737" s="1076"/>
      <c r="Y737" s="1358"/>
      <c r="Z737" s="1358"/>
      <c r="AA737" s="1364"/>
      <c r="AB737" s="1364"/>
      <c r="AC737" s="13"/>
      <c r="AD737" s="13"/>
      <c r="AE737" s="1289"/>
      <c r="AF737" s="1372"/>
      <c r="AG737" s="1372"/>
      <c r="AH737" s="1372"/>
      <c r="AI737" s="1372"/>
      <c r="AJ737" s="1372"/>
      <c r="AK737" s="1289"/>
      <c r="AL737" s="1372"/>
      <c r="AM737" s="1372"/>
      <c r="AN737" s="1372"/>
      <c r="AO737" s="1372"/>
      <c r="AP737" s="1372"/>
      <c r="AQ737" s="1289"/>
      <c r="AR737" s="1372"/>
      <c r="AS737" s="1372"/>
      <c r="AT737" s="1372"/>
      <c r="AU737" s="1372"/>
      <c r="AV737" s="1372"/>
      <c r="AW737" s="1372"/>
      <c r="AX737" s="1372"/>
      <c r="AY737" s="1372"/>
      <c r="AZ737" s="1095"/>
      <c r="BA737" s="2"/>
    </row>
    <row r="738" spans="1:53" ht="15.75" customHeight="1">
      <c r="A738" s="1027"/>
      <c r="B738" s="1370"/>
      <c r="C738" s="13"/>
      <c r="D738" s="1371"/>
      <c r="E738" s="1357"/>
      <c r="F738" s="1358"/>
      <c r="G738" s="1358"/>
      <c r="H738" s="1358"/>
      <c r="I738" s="1358"/>
      <c r="J738" s="1076"/>
      <c r="K738" s="1076"/>
      <c r="L738" s="1076"/>
      <c r="M738" s="1289"/>
      <c r="N738" s="1076"/>
      <c r="O738" s="1076"/>
      <c r="P738" s="1358"/>
      <c r="Q738" s="1358"/>
      <c r="R738" s="1364"/>
      <c r="S738" s="1364"/>
      <c r="T738" s="13"/>
      <c r="U738" s="13"/>
      <c r="V738" s="1289"/>
      <c r="W738" s="1076"/>
      <c r="X738" s="1076"/>
      <c r="Y738" s="1358"/>
      <c r="Z738" s="1358"/>
      <c r="AA738" s="1364"/>
      <c r="AB738" s="1364"/>
      <c r="AC738" s="13"/>
      <c r="AD738" s="13"/>
      <c r="AE738" s="1289"/>
      <c r="AF738" s="1372"/>
      <c r="AG738" s="1372"/>
      <c r="AH738" s="1372"/>
      <c r="AI738" s="1372"/>
      <c r="AJ738" s="1372"/>
      <c r="AK738" s="1289"/>
      <c r="AL738" s="1372"/>
      <c r="AM738" s="1372"/>
      <c r="AN738" s="1372"/>
      <c r="AO738" s="1372"/>
      <c r="AP738" s="1372"/>
      <c r="AQ738" s="1289"/>
      <c r="AR738" s="1372"/>
      <c r="AS738" s="1372"/>
      <c r="AT738" s="1372"/>
      <c r="AU738" s="1372"/>
      <c r="AV738" s="1372"/>
      <c r="AW738" s="1372"/>
      <c r="AX738" s="1372"/>
      <c r="AY738" s="1372"/>
      <c r="AZ738" s="1095"/>
      <c r="BA738" s="2"/>
    </row>
    <row r="739" spans="1:53" ht="15.75" customHeight="1">
      <c r="A739" s="1027"/>
      <c r="B739" s="1370"/>
      <c r="C739" s="13"/>
      <c r="D739" s="1371"/>
      <c r="E739" s="1357"/>
      <c r="F739" s="1358"/>
      <c r="G739" s="1358"/>
      <c r="H739" s="1358"/>
      <c r="I739" s="1358"/>
      <c r="J739" s="1076"/>
      <c r="K739" s="1076"/>
      <c r="L739" s="1076"/>
      <c r="M739" s="1289"/>
      <c r="N739" s="1076"/>
      <c r="O739" s="1076"/>
      <c r="P739" s="1358"/>
      <c r="Q739" s="1358"/>
      <c r="R739" s="1364"/>
      <c r="S739" s="1364"/>
      <c r="T739" s="13"/>
      <c r="U739" s="13"/>
      <c r="V739" s="1289"/>
      <c r="W739" s="1076"/>
      <c r="X739" s="1076"/>
      <c r="Y739" s="1358"/>
      <c r="Z739" s="1358"/>
      <c r="AA739" s="1364"/>
      <c r="AB739" s="1364"/>
      <c r="AC739" s="13"/>
      <c r="AD739" s="13"/>
      <c r="AE739" s="1289"/>
      <c r="AF739" s="1372"/>
      <c r="AG739" s="1372"/>
      <c r="AH739" s="1372"/>
      <c r="AI739" s="1372"/>
      <c r="AJ739" s="1372"/>
      <c r="AK739" s="1289"/>
      <c r="AL739" s="1372"/>
      <c r="AM739" s="1372"/>
      <c r="AN739" s="1372"/>
      <c r="AO739" s="1372"/>
      <c r="AP739" s="1372"/>
      <c r="AQ739" s="1289"/>
      <c r="AR739" s="1372"/>
      <c r="AS739" s="1372"/>
      <c r="AT739" s="1372"/>
      <c r="AU739" s="1372"/>
      <c r="AV739" s="1372"/>
      <c r="AW739" s="1372"/>
      <c r="AX739" s="1372"/>
      <c r="AY739" s="1372"/>
      <c r="AZ739" s="1095"/>
      <c r="BA739" s="2"/>
    </row>
    <row r="740" spans="1:53" ht="15.75" customHeight="1">
      <c r="A740" s="1027"/>
      <c r="B740" s="1370"/>
      <c r="C740" s="13"/>
      <c r="D740" s="1371"/>
      <c r="E740" s="1357"/>
      <c r="F740" s="1358"/>
      <c r="G740" s="1358"/>
      <c r="H740" s="1358"/>
      <c r="I740" s="1358"/>
      <c r="J740" s="1076"/>
      <c r="K740" s="1076"/>
      <c r="L740" s="1076"/>
      <c r="M740" s="1289"/>
      <c r="N740" s="1076"/>
      <c r="O740" s="1076"/>
      <c r="P740" s="1358"/>
      <c r="Q740" s="1358"/>
      <c r="R740" s="1364"/>
      <c r="S740" s="1364"/>
      <c r="T740" s="13"/>
      <c r="U740" s="13"/>
      <c r="V740" s="1289"/>
      <c r="W740" s="1076"/>
      <c r="X740" s="1076"/>
      <c r="Y740" s="1358"/>
      <c r="Z740" s="1358"/>
      <c r="AA740" s="1364"/>
      <c r="AB740" s="1364"/>
      <c r="AC740" s="13"/>
      <c r="AD740" s="13"/>
      <c r="AE740" s="1289"/>
      <c r="AF740" s="1372"/>
      <c r="AG740" s="1372"/>
      <c r="AH740" s="1372"/>
      <c r="AI740" s="1372"/>
      <c r="AJ740" s="1372"/>
      <c r="AK740" s="1289"/>
      <c r="AL740" s="1372"/>
      <c r="AM740" s="1372"/>
      <c r="AN740" s="1372"/>
      <c r="AO740" s="1372"/>
      <c r="AP740" s="1372"/>
      <c r="AQ740" s="1289"/>
      <c r="AR740" s="1372"/>
      <c r="AS740" s="1372"/>
      <c r="AT740" s="1372"/>
      <c r="AU740" s="1372"/>
      <c r="AV740" s="1372"/>
      <c r="AW740" s="1372"/>
      <c r="AX740" s="1372"/>
      <c r="AY740" s="1372"/>
      <c r="AZ740" s="1095"/>
      <c r="BA740" s="2"/>
    </row>
    <row r="741" spans="1:53" ht="15.75" customHeight="1">
      <c r="A741" s="1027"/>
      <c r="B741" s="1370"/>
      <c r="C741" s="13"/>
      <c r="D741" s="1371"/>
      <c r="E741" s="1357"/>
      <c r="F741" s="1358"/>
      <c r="G741" s="1358"/>
      <c r="H741" s="1358"/>
      <c r="I741" s="1358"/>
      <c r="J741" s="1076"/>
      <c r="K741" s="1076"/>
      <c r="L741" s="1076"/>
      <c r="M741" s="1289"/>
      <c r="N741" s="1076"/>
      <c r="O741" s="1076"/>
      <c r="P741" s="1358"/>
      <c r="Q741" s="1358"/>
      <c r="R741" s="1364"/>
      <c r="S741" s="1364"/>
      <c r="T741" s="13"/>
      <c r="U741" s="13"/>
      <c r="V741" s="1289"/>
      <c r="W741" s="1076"/>
      <c r="X741" s="1076"/>
      <c r="Y741" s="1358"/>
      <c r="Z741" s="1358"/>
      <c r="AA741" s="1364"/>
      <c r="AB741" s="1364"/>
      <c r="AC741" s="13"/>
      <c r="AD741" s="13"/>
      <c r="AE741" s="1289"/>
      <c r="AF741" s="1372"/>
      <c r="AG741" s="1372"/>
      <c r="AH741" s="1372"/>
      <c r="AI741" s="1372"/>
      <c r="AJ741" s="1372"/>
      <c r="AK741" s="1289"/>
      <c r="AL741" s="1372"/>
      <c r="AM741" s="1372"/>
      <c r="AN741" s="1372"/>
      <c r="AO741" s="1372"/>
      <c r="AP741" s="1372"/>
      <c r="AQ741" s="1289"/>
      <c r="AR741" s="1372"/>
      <c r="AS741" s="1372"/>
      <c r="AT741" s="1372"/>
      <c r="AU741" s="1372"/>
      <c r="AV741" s="1372"/>
      <c r="AW741" s="1372"/>
      <c r="AX741" s="1372"/>
      <c r="AY741" s="1372"/>
      <c r="AZ741" s="1095"/>
      <c r="BA741" s="2"/>
    </row>
    <row r="742" spans="1:53" ht="15.75" customHeight="1">
      <c r="A742" s="1027"/>
      <c r="B742" s="1370"/>
      <c r="C742" s="13"/>
      <c r="D742" s="1371"/>
      <c r="E742" s="1357"/>
      <c r="F742" s="1358"/>
      <c r="G742" s="1358"/>
      <c r="H742" s="1358"/>
      <c r="I742" s="1358"/>
      <c r="J742" s="1076"/>
      <c r="K742" s="1076"/>
      <c r="L742" s="1076"/>
      <c r="M742" s="1289"/>
      <c r="N742" s="1076"/>
      <c r="O742" s="1076"/>
      <c r="P742" s="1358"/>
      <c r="Q742" s="1358"/>
      <c r="R742" s="1364"/>
      <c r="S742" s="1364"/>
      <c r="T742" s="13"/>
      <c r="U742" s="13"/>
      <c r="V742" s="1289"/>
      <c r="W742" s="1076"/>
      <c r="X742" s="1076"/>
      <c r="Y742" s="1358"/>
      <c r="Z742" s="1358"/>
      <c r="AA742" s="1364"/>
      <c r="AB742" s="1364"/>
      <c r="AC742" s="13"/>
      <c r="AD742" s="13"/>
      <c r="AE742" s="1289"/>
      <c r="AF742" s="1372"/>
      <c r="AG742" s="1372"/>
      <c r="AH742" s="1372"/>
      <c r="AI742" s="1372"/>
      <c r="AJ742" s="1372"/>
      <c r="AK742" s="1289"/>
      <c r="AL742" s="1372"/>
      <c r="AM742" s="1372"/>
      <c r="AN742" s="1372"/>
      <c r="AO742" s="1372"/>
      <c r="AP742" s="1372"/>
      <c r="AQ742" s="1289"/>
      <c r="AR742" s="1372"/>
      <c r="AS742" s="1372"/>
      <c r="AT742" s="1372"/>
      <c r="AU742" s="1372"/>
      <c r="AV742" s="1372"/>
      <c r="AW742" s="1372"/>
      <c r="AX742" s="1372"/>
      <c r="AY742" s="1372"/>
      <c r="AZ742" s="1095"/>
      <c r="BA742" s="2"/>
    </row>
    <row r="743" spans="1:53" ht="15.75" customHeight="1">
      <c r="A743" s="1027"/>
      <c r="B743" s="1370"/>
      <c r="C743" s="13"/>
      <c r="D743" s="1371"/>
      <c r="E743" s="1357"/>
      <c r="F743" s="1358"/>
      <c r="G743" s="1358"/>
      <c r="H743" s="1358"/>
      <c r="I743" s="1358"/>
      <c r="J743" s="1076"/>
      <c r="K743" s="1076"/>
      <c r="L743" s="1076"/>
      <c r="M743" s="1289"/>
      <c r="N743" s="1076"/>
      <c r="O743" s="1076"/>
      <c r="P743" s="1358"/>
      <c r="Q743" s="1358"/>
      <c r="R743" s="1364"/>
      <c r="S743" s="1364"/>
      <c r="T743" s="13"/>
      <c r="U743" s="13"/>
      <c r="V743" s="1289"/>
      <c r="W743" s="1076"/>
      <c r="X743" s="1076"/>
      <c r="Y743" s="1358"/>
      <c r="Z743" s="1358"/>
      <c r="AA743" s="1364"/>
      <c r="AB743" s="1364"/>
      <c r="AC743" s="13"/>
      <c r="AD743" s="13"/>
      <c r="AE743" s="1289"/>
      <c r="AF743" s="1372"/>
      <c r="AG743" s="1372"/>
      <c r="AH743" s="1372"/>
      <c r="AI743" s="1372"/>
      <c r="AJ743" s="1372"/>
      <c r="AK743" s="1289"/>
      <c r="AL743" s="1372"/>
      <c r="AM743" s="1372"/>
      <c r="AN743" s="1372"/>
      <c r="AO743" s="1372"/>
      <c r="AP743" s="1372"/>
      <c r="AQ743" s="1289"/>
      <c r="AR743" s="1372"/>
      <c r="AS743" s="1372"/>
      <c r="AT743" s="1372"/>
      <c r="AU743" s="1372"/>
      <c r="AV743" s="1372"/>
      <c r="AW743" s="1372"/>
      <c r="AX743" s="1372"/>
      <c r="AY743" s="1372"/>
      <c r="AZ743" s="1095"/>
      <c r="BA743" s="2"/>
    </row>
    <row r="744" spans="1:53" ht="15.75" customHeight="1">
      <c r="A744" s="1027"/>
      <c r="B744" s="1370"/>
      <c r="C744" s="13"/>
      <c r="D744" s="1371"/>
      <c r="E744" s="1357"/>
      <c r="F744" s="1358"/>
      <c r="G744" s="1358"/>
      <c r="H744" s="1358"/>
      <c r="I744" s="1358"/>
      <c r="J744" s="1076"/>
      <c r="K744" s="1076"/>
      <c r="L744" s="1076"/>
      <c r="M744" s="1289"/>
      <c r="N744" s="1076"/>
      <c r="O744" s="1076"/>
      <c r="P744" s="1358"/>
      <c r="Q744" s="1358"/>
      <c r="R744" s="1364"/>
      <c r="S744" s="1364"/>
      <c r="T744" s="13"/>
      <c r="U744" s="13"/>
      <c r="V744" s="1289"/>
      <c r="W744" s="1076"/>
      <c r="X744" s="1076"/>
      <c r="Y744" s="1358"/>
      <c r="Z744" s="1358"/>
      <c r="AA744" s="1364"/>
      <c r="AB744" s="1364"/>
      <c r="AC744" s="13"/>
      <c r="AD744" s="13"/>
      <c r="AE744" s="1289"/>
      <c r="AF744" s="1372"/>
      <c r="AG744" s="1372"/>
      <c r="AH744" s="1372"/>
      <c r="AI744" s="1372"/>
      <c r="AJ744" s="1372"/>
      <c r="AK744" s="1289"/>
      <c r="AL744" s="1372"/>
      <c r="AM744" s="1372"/>
      <c r="AN744" s="1372"/>
      <c r="AO744" s="1372"/>
      <c r="AP744" s="1372"/>
      <c r="AQ744" s="1289"/>
      <c r="AR744" s="1372"/>
      <c r="AS744" s="1372"/>
      <c r="AT744" s="1372"/>
      <c r="AU744" s="1372"/>
      <c r="AV744" s="1372"/>
      <c r="AW744" s="1372"/>
      <c r="AX744" s="1372"/>
      <c r="AY744" s="1372"/>
      <c r="AZ744" s="1095"/>
      <c r="BA744" s="2"/>
    </row>
    <row r="745" spans="1:53" ht="15.75" customHeight="1">
      <c r="A745" s="1027"/>
      <c r="B745" s="1370"/>
      <c r="C745" s="13"/>
      <c r="D745" s="1371"/>
      <c r="E745" s="1357"/>
      <c r="F745" s="1358"/>
      <c r="G745" s="1358"/>
      <c r="H745" s="1358"/>
      <c r="I745" s="1358"/>
      <c r="J745" s="1076"/>
      <c r="K745" s="1076"/>
      <c r="L745" s="1076"/>
      <c r="M745" s="1289"/>
      <c r="N745" s="1076"/>
      <c r="O745" s="1076"/>
      <c r="P745" s="1358"/>
      <c r="Q745" s="1358"/>
      <c r="R745" s="1364"/>
      <c r="S745" s="1364"/>
      <c r="T745" s="13"/>
      <c r="U745" s="13"/>
      <c r="V745" s="1289"/>
      <c r="W745" s="1076"/>
      <c r="X745" s="1076"/>
      <c r="Y745" s="1358"/>
      <c r="Z745" s="1358"/>
      <c r="AA745" s="1364"/>
      <c r="AB745" s="1364"/>
      <c r="AC745" s="13"/>
      <c r="AD745" s="13"/>
      <c r="AE745" s="1289"/>
      <c r="AF745" s="1372"/>
      <c r="AG745" s="1372"/>
      <c r="AH745" s="1372"/>
      <c r="AI745" s="1372"/>
      <c r="AJ745" s="1372"/>
      <c r="AK745" s="1289"/>
      <c r="AL745" s="1372"/>
      <c r="AM745" s="1372"/>
      <c r="AN745" s="1372"/>
      <c r="AO745" s="1372"/>
      <c r="AP745" s="1372"/>
      <c r="AQ745" s="1289"/>
      <c r="AR745" s="1372"/>
      <c r="AS745" s="1372"/>
      <c r="AT745" s="1372"/>
      <c r="AU745" s="1372"/>
      <c r="AV745" s="1372"/>
      <c r="AW745" s="1372"/>
      <c r="AX745" s="1372"/>
      <c r="AY745" s="1372"/>
      <c r="AZ745" s="1095"/>
      <c r="BA745" s="2"/>
    </row>
    <row r="746" spans="1:53" ht="15.75" customHeight="1">
      <c r="A746" s="1027"/>
      <c r="B746" s="1370"/>
      <c r="C746" s="13"/>
      <c r="D746" s="1371"/>
      <c r="E746" s="1357"/>
      <c r="F746" s="1358"/>
      <c r="G746" s="1358"/>
      <c r="H746" s="1358"/>
      <c r="I746" s="1358"/>
      <c r="J746" s="1076"/>
      <c r="K746" s="1076"/>
      <c r="L746" s="1076"/>
      <c r="M746" s="1289"/>
      <c r="N746" s="1076"/>
      <c r="O746" s="1076"/>
      <c r="P746" s="1358"/>
      <c r="Q746" s="1358"/>
      <c r="R746" s="1364"/>
      <c r="S746" s="1364"/>
      <c r="T746" s="13"/>
      <c r="U746" s="13"/>
      <c r="V746" s="1289"/>
      <c r="W746" s="1076"/>
      <c r="X746" s="1076"/>
      <c r="Y746" s="1358"/>
      <c r="Z746" s="1358"/>
      <c r="AA746" s="1364"/>
      <c r="AB746" s="1364"/>
      <c r="AC746" s="13"/>
      <c r="AD746" s="13"/>
      <c r="AE746" s="1289"/>
      <c r="AF746" s="1372"/>
      <c r="AG746" s="1372"/>
      <c r="AH746" s="1372"/>
      <c r="AI746" s="1372"/>
      <c r="AJ746" s="1372"/>
      <c r="AK746" s="1289"/>
      <c r="AL746" s="1372"/>
      <c r="AM746" s="1372"/>
      <c r="AN746" s="1372"/>
      <c r="AO746" s="1372"/>
      <c r="AP746" s="1372"/>
      <c r="AQ746" s="1289"/>
      <c r="AR746" s="1372"/>
      <c r="AS746" s="1372"/>
      <c r="AT746" s="1372"/>
      <c r="AU746" s="1372"/>
      <c r="AV746" s="1372"/>
      <c r="AW746" s="1372"/>
      <c r="AX746" s="1372"/>
      <c r="AY746" s="1372"/>
      <c r="AZ746" s="1095"/>
      <c r="BA746" s="2"/>
    </row>
    <row r="747" spans="1:53" ht="15.75" customHeight="1">
      <c r="A747" s="1027"/>
      <c r="B747" s="1370"/>
      <c r="C747" s="13"/>
      <c r="D747" s="1371"/>
      <c r="E747" s="1357"/>
      <c r="F747" s="1358"/>
      <c r="G747" s="1358"/>
      <c r="H747" s="1358"/>
      <c r="I747" s="1358"/>
      <c r="J747" s="1076"/>
      <c r="K747" s="1076"/>
      <c r="L747" s="1076"/>
      <c r="M747" s="1289"/>
      <c r="N747" s="1076"/>
      <c r="O747" s="1076"/>
      <c r="P747" s="1358"/>
      <c r="Q747" s="1358"/>
      <c r="R747" s="1364"/>
      <c r="S747" s="1364"/>
      <c r="T747" s="13"/>
      <c r="U747" s="13"/>
      <c r="V747" s="1289"/>
      <c r="W747" s="1076"/>
      <c r="X747" s="1076"/>
      <c r="Y747" s="1358"/>
      <c r="Z747" s="1358"/>
      <c r="AA747" s="1364"/>
      <c r="AB747" s="1364"/>
      <c r="AC747" s="13"/>
      <c r="AD747" s="13"/>
      <c r="AE747" s="1289"/>
      <c r="AF747" s="1372"/>
      <c r="AG747" s="1372"/>
      <c r="AH747" s="1372"/>
      <c r="AI747" s="1372"/>
      <c r="AJ747" s="1372"/>
      <c r="AK747" s="1289"/>
      <c r="AL747" s="1372"/>
      <c r="AM747" s="1372"/>
      <c r="AN747" s="1372"/>
      <c r="AO747" s="1372"/>
      <c r="AP747" s="1372"/>
      <c r="AQ747" s="1289"/>
      <c r="AR747" s="1372"/>
      <c r="AS747" s="1372"/>
      <c r="AT747" s="1372"/>
      <c r="AU747" s="1372"/>
      <c r="AV747" s="1372"/>
      <c r="AW747" s="1372"/>
      <c r="AX747" s="1372"/>
      <c r="AY747" s="1372"/>
      <c r="AZ747" s="1095"/>
      <c r="BA747" s="2"/>
    </row>
    <row r="748" spans="1:53" ht="15.75" customHeight="1">
      <c r="A748" s="1027"/>
      <c r="B748" s="1370"/>
      <c r="C748" s="13"/>
      <c r="D748" s="1371"/>
      <c r="E748" s="1357"/>
      <c r="F748" s="1358"/>
      <c r="G748" s="1358"/>
      <c r="H748" s="1358"/>
      <c r="I748" s="1358"/>
      <c r="J748" s="1076"/>
      <c r="K748" s="1076"/>
      <c r="L748" s="1076"/>
      <c r="M748" s="1289"/>
      <c r="N748" s="1076"/>
      <c r="O748" s="1076"/>
      <c r="P748" s="1358"/>
      <c r="Q748" s="1358"/>
      <c r="R748" s="1364"/>
      <c r="S748" s="1364"/>
      <c r="T748" s="13"/>
      <c r="U748" s="13"/>
      <c r="V748" s="1289"/>
      <c r="W748" s="1076"/>
      <c r="X748" s="1076"/>
      <c r="Y748" s="1358"/>
      <c r="Z748" s="1358"/>
      <c r="AA748" s="1364"/>
      <c r="AB748" s="1364"/>
      <c r="AC748" s="13"/>
      <c r="AD748" s="13"/>
      <c r="AE748" s="1289"/>
      <c r="AF748" s="1372"/>
      <c r="AG748" s="1372"/>
      <c r="AH748" s="1372"/>
      <c r="AI748" s="1372"/>
      <c r="AJ748" s="1372"/>
      <c r="AK748" s="1289"/>
      <c r="AL748" s="1372"/>
      <c r="AM748" s="1372"/>
      <c r="AN748" s="1372"/>
      <c r="AO748" s="1372"/>
      <c r="AP748" s="1372"/>
      <c r="AQ748" s="1289"/>
      <c r="AR748" s="1372"/>
      <c r="AS748" s="1372"/>
      <c r="AT748" s="1372"/>
      <c r="AU748" s="1372"/>
      <c r="AV748" s="1372"/>
      <c r="AW748" s="1372"/>
      <c r="AX748" s="1372"/>
      <c r="AY748" s="1372"/>
      <c r="AZ748" s="1095"/>
      <c r="BA748" s="2"/>
    </row>
    <row r="749" spans="1:53" ht="15.75" customHeight="1">
      <c r="A749" s="1027"/>
      <c r="B749" s="1370"/>
      <c r="C749" s="13"/>
      <c r="D749" s="1371"/>
      <c r="E749" s="1357"/>
      <c r="F749" s="1358"/>
      <c r="G749" s="1358"/>
      <c r="H749" s="1358"/>
      <c r="I749" s="1358"/>
      <c r="J749" s="1076"/>
      <c r="K749" s="1076"/>
      <c r="L749" s="1076"/>
      <c r="M749" s="1289"/>
      <c r="N749" s="1076"/>
      <c r="O749" s="1076"/>
      <c r="P749" s="1358"/>
      <c r="Q749" s="1358"/>
      <c r="R749" s="1364"/>
      <c r="S749" s="1364"/>
      <c r="T749" s="13"/>
      <c r="U749" s="13"/>
      <c r="V749" s="1289"/>
      <c r="W749" s="1076"/>
      <c r="X749" s="1076"/>
      <c r="Y749" s="1358"/>
      <c r="Z749" s="1358"/>
      <c r="AA749" s="1364"/>
      <c r="AB749" s="1364"/>
      <c r="AC749" s="13"/>
      <c r="AD749" s="13"/>
      <c r="AE749" s="1289"/>
      <c r="AF749" s="1372"/>
      <c r="AG749" s="1372"/>
      <c r="AH749" s="1372"/>
      <c r="AI749" s="1372"/>
      <c r="AJ749" s="1372"/>
      <c r="AK749" s="1289"/>
      <c r="AL749" s="1372"/>
      <c r="AM749" s="1372"/>
      <c r="AN749" s="1372"/>
      <c r="AO749" s="1372"/>
      <c r="AP749" s="1372"/>
      <c r="AQ749" s="1289"/>
      <c r="AR749" s="1372"/>
      <c r="AS749" s="1372"/>
      <c r="AT749" s="1372"/>
      <c r="AU749" s="1372"/>
      <c r="AV749" s="1372"/>
      <c r="AW749" s="1372"/>
      <c r="AX749" s="1372"/>
      <c r="AY749" s="1372"/>
      <c r="AZ749" s="1095"/>
      <c r="BA749" s="2"/>
    </row>
    <row r="750" spans="1:53" ht="15.75" customHeight="1">
      <c r="A750" s="1027"/>
      <c r="B750" s="1370"/>
      <c r="C750" s="13"/>
      <c r="D750" s="1371"/>
      <c r="E750" s="1357"/>
      <c r="F750" s="1358"/>
      <c r="G750" s="1358"/>
      <c r="H750" s="1358"/>
      <c r="I750" s="1358"/>
      <c r="J750" s="1076"/>
      <c r="K750" s="1076"/>
      <c r="L750" s="1076"/>
      <c r="M750" s="1289"/>
      <c r="N750" s="1076"/>
      <c r="O750" s="1076"/>
      <c r="P750" s="1358"/>
      <c r="Q750" s="1358"/>
      <c r="R750" s="1364"/>
      <c r="S750" s="1364"/>
      <c r="T750" s="13"/>
      <c r="U750" s="13"/>
      <c r="V750" s="1289"/>
      <c r="W750" s="1076"/>
      <c r="X750" s="1076"/>
      <c r="Y750" s="1358"/>
      <c r="Z750" s="1358"/>
      <c r="AA750" s="1364"/>
      <c r="AB750" s="1364"/>
      <c r="AC750" s="13"/>
      <c r="AD750" s="13"/>
      <c r="AE750" s="1289"/>
      <c r="AF750" s="1372"/>
      <c r="AG750" s="1372"/>
      <c r="AH750" s="1372"/>
      <c r="AI750" s="1372"/>
      <c r="AJ750" s="1372"/>
      <c r="AK750" s="1289"/>
      <c r="AL750" s="1372"/>
      <c r="AM750" s="1372"/>
      <c r="AN750" s="1372"/>
      <c r="AO750" s="1372"/>
      <c r="AP750" s="1372"/>
      <c r="AQ750" s="1289"/>
      <c r="AR750" s="1372"/>
      <c r="AS750" s="1372"/>
      <c r="AT750" s="1372"/>
      <c r="AU750" s="1372"/>
      <c r="AV750" s="1372"/>
      <c r="AW750" s="1372"/>
      <c r="AX750" s="1372"/>
      <c r="AY750" s="1372"/>
      <c r="AZ750" s="1095"/>
      <c r="BA750" s="2"/>
    </row>
    <row r="751" spans="1:53" ht="15.75" customHeight="1">
      <c r="A751" s="1027"/>
      <c r="B751" s="1370"/>
      <c r="C751" s="13"/>
      <c r="D751" s="1371"/>
      <c r="E751" s="1357"/>
      <c r="F751" s="1358"/>
      <c r="G751" s="1358"/>
      <c r="H751" s="1358"/>
      <c r="I751" s="1358"/>
      <c r="J751" s="1076"/>
      <c r="K751" s="1076"/>
      <c r="L751" s="1076"/>
      <c r="M751" s="1289"/>
      <c r="N751" s="1076"/>
      <c r="O751" s="1076"/>
      <c r="P751" s="1358"/>
      <c r="Q751" s="1358"/>
      <c r="R751" s="1364"/>
      <c r="S751" s="1364"/>
      <c r="T751" s="13"/>
      <c r="U751" s="13"/>
      <c r="V751" s="1289"/>
      <c r="W751" s="1076"/>
      <c r="X751" s="1076"/>
      <c r="Y751" s="1358"/>
      <c r="Z751" s="1358"/>
      <c r="AA751" s="1364"/>
      <c r="AB751" s="1364"/>
      <c r="AC751" s="13"/>
      <c r="AD751" s="13"/>
      <c r="AE751" s="1289"/>
      <c r="AF751" s="1372"/>
      <c r="AG751" s="1372"/>
      <c r="AH751" s="1372"/>
      <c r="AI751" s="1372"/>
      <c r="AJ751" s="1372"/>
      <c r="AK751" s="1289"/>
      <c r="AL751" s="1372"/>
      <c r="AM751" s="1372"/>
      <c r="AN751" s="1372"/>
      <c r="AO751" s="1372"/>
      <c r="AP751" s="1372"/>
      <c r="AQ751" s="1289"/>
      <c r="AR751" s="1372"/>
      <c r="AS751" s="1372"/>
      <c r="AT751" s="1372"/>
      <c r="AU751" s="1372"/>
      <c r="AV751" s="1372"/>
      <c r="AW751" s="1372"/>
      <c r="AX751" s="1372"/>
      <c r="AY751" s="1372"/>
      <c r="AZ751" s="1095"/>
      <c r="BA751" s="2"/>
    </row>
  </sheetData>
  <mergeCells count="73">
    <mergeCell ref="E299:L299"/>
    <mergeCell ref="AS299:AX299"/>
    <mergeCell ref="E348:L348"/>
    <mergeCell ref="E397:L397"/>
    <mergeCell ref="O397:T397"/>
    <mergeCell ref="X397:AC397"/>
    <mergeCell ref="AF397:AJ397"/>
    <mergeCell ref="AL397:AP397"/>
    <mergeCell ref="AS397:AX397"/>
    <mergeCell ref="AL201:AP201"/>
    <mergeCell ref="AS201:AX201"/>
    <mergeCell ref="E250:L250"/>
    <mergeCell ref="O250:T250"/>
    <mergeCell ref="X250:AC250"/>
    <mergeCell ref="AF250:AJ250"/>
    <mergeCell ref="AL250:AP250"/>
    <mergeCell ref="AS250:AX250"/>
    <mergeCell ref="E153:L153"/>
    <mergeCell ref="E201:L201"/>
    <mergeCell ref="O201:T201"/>
    <mergeCell ref="X201:AC201"/>
    <mergeCell ref="AF201:AJ201"/>
    <mergeCell ref="O153:T153"/>
    <mergeCell ref="X153:AC153"/>
    <mergeCell ref="AF153:AJ153"/>
    <mergeCell ref="AL153:AP153"/>
    <mergeCell ref="AS153:AX153"/>
    <mergeCell ref="AL55:AP55"/>
    <mergeCell ref="AS55:AX55"/>
    <mergeCell ref="E104:L104"/>
    <mergeCell ref="AS104:AX104"/>
    <mergeCell ref="O104:T104"/>
    <mergeCell ref="X104:AC104"/>
    <mergeCell ref="AS446:AX446"/>
    <mergeCell ref="E495:L495"/>
    <mergeCell ref="AS495:AX495"/>
    <mergeCell ref="B2:T2"/>
    <mergeCell ref="D6:L6"/>
    <mergeCell ref="N6:U6"/>
    <mergeCell ref="W6:AD6"/>
    <mergeCell ref="AF6:AJ6"/>
    <mergeCell ref="AL6:AP6"/>
    <mergeCell ref="AR6:AY6"/>
    <mergeCell ref="AF104:AJ104"/>
    <mergeCell ref="AL104:AP104"/>
    <mergeCell ref="E55:L55"/>
    <mergeCell ref="O55:T55"/>
    <mergeCell ref="X55:AC55"/>
    <mergeCell ref="AF55:AJ55"/>
    <mergeCell ref="AS348:AX348"/>
    <mergeCell ref="O495:T495"/>
    <mergeCell ref="X495:AC495"/>
    <mergeCell ref="E544:L544"/>
    <mergeCell ref="O544:T544"/>
    <mergeCell ref="X544:AC544"/>
    <mergeCell ref="AF544:AJ544"/>
    <mergeCell ref="AL544:AP544"/>
    <mergeCell ref="AS544:AX544"/>
    <mergeCell ref="AF495:AJ495"/>
    <mergeCell ref="AL495:AP495"/>
    <mergeCell ref="E446:L446"/>
    <mergeCell ref="O446:T446"/>
    <mergeCell ref="X446:AC446"/>
    <mergeCell ref="AF446:AJ446"/>
    <mergeCell ref="AL446:AP446"/>
    <mergeCell ref="AF299:AJ299"/>
    <mergeCell ref="AL299:AP299"/>
    <mergeCell ref="O299:T299"/>
    <mergeCell ref="X299:AC299"/>
    <mergeCell ref="O348:T348"/>
    <mergeCell ref="X348:AC348"/>
    <mergeCell ref="AF348:AJ348"/>
    <mergeCell ref="AL348:AP348"/>
  </mergeCells>
  <pageMargins left="0.7" right="0.7" top="0.75" bottom="0.75" header="0" footer="0"/>
  <pageSetup orientation="landscape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AS1019"/>
  <sheetViews>
    <sheetView showGridLines="0" workbookViewId="0">
      <pane ySplit="5" topLeftCell="A6" activePane="bottomLeft" state="frozen"/>
      <selection pane="bottomLeft" activeCell="B7" sqref="B7"/>
    </sheetView>
  </sheetViews>
  <sheetFormatPr baseColWidth="10" defaultColWidth="12.625" defaultRowHeight="15" customHeight="1"/>
  <cols>
    <col min="1" max="1" width="1.5" customWidth="1"/>
    <col min="2" max="2" width="17.125" customWidth="1"/>
    <col min="3" max="3" width="8.375" customWidth="1"/>
    <col min="4" max="4" width="13.125" customWidth="1"/>
    <col min="5" max="5" width="12.625" customWidth="1"/>
    <col min="6" max="7" width="7.125" customWidth="1"/>
    <col min="8" max="8" width="9.75" customWidth="1"/>
    <col min="9" max="9" width="2.5" customWidth="1"/>
    <col min="10" max="10" width="16.375" customWidth="1"/>
    <col min="11" max="11" width="8.25" customWidth="1"/>
    <col min="12" max="12" width="11.375" customWidth="1"/>
    <col min="13" max="14" width="11.5" customWidth="1"/>
    <col min="15" max="15" width="8.875" customWidth="1"/>
    <col min="16" max="16" width="10.75" customWidth="1"/>
    <col min="17" max="17" width="2.625" customWidth="1"/>
    <col min="18" max="18" width="17.125" customWidth="1"/>
    <col min="19" max="19" width="8" customWidth="1"/>
    <col min="20" max="20" width="11.5" customWidth="1"/>
    <col min="21" max="21" width="11" customWidth="1"/>
    <col min="22" max="22" width="7" customWidth="1"/>
    <col min="23" max="23" width="7.625" customWidth="1"/>
    <col min="24" max="24" width="10.25" customWidth="1"/>
    <col min="25" max="25" width="2.625" customWidth="1"/>
    <col min="26" max="26" width="17.125" customWidth="1"/>
    <col min="27" max="27" width="8.375" customWidth="1"/>
    <col min="28" max="28" width="7" customWidth="1"/>
    <col min="29" max="29" width="6" customWidth="1"/>
    <col min="30" max="30" width="5.75" customWidth="1"/>
    <col min="31" max="31" width="5.125" customWidth="1"/>
    <col min="32" max="32" width="17.125" customWidth="1"/>
    <col min="33" max="34" width="8.125" customWidth="1"/>
    <col min="35" max="35" width="6" customWidth="1"/>
    <col min="36" max="36" width="2.625" customWidth="1"/>
    <col min="37" max="37" width="17.125" customWidth="1"/>
    <col min="38" max="39" width="7.125" customWidth="1"/>
    <col min="40" max="41" width="6" customWidth="1"/>
    <col min="42" max="42" width="22.375" customWidth="1"/>
    <col min="43" max="45" width="22.125" customWidth="1"/>
  </cols>
  <sheetData>
    <row r="1" spans="1:45" ht="29.25">
      <c r="A1" s="2"/>
      <c r="B1" s="1146" t="s">
        <v>304</v>
      </c>
      <c r="C1" s="1146"/>
      <c r="D1" s="1146"/>
      <c r="E1" s="1146"/>
      <c r="F1" s="1028"/>
      <c r="G1" s="1028"/>
      <c r="H1" s="1028"/>
      <c r="I1" s="1028"/>
      <c r="J1" s="1028"/>
      <c r="K1" s="1028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1147" t="s">
        <v>305</v>
      </c>
      <c r="AS1" s="2"/>
    </row>
    <row r="2" spans="1:45">
      <c r="A2" s="2"/>
      <c r="B2" s="1033" t="s">
        <v>282</v>
      </c>
      <c r="C2" s="1028"/>
      <c r="D2" s="1028">
        <v>2019</v>
      </c>
      <c r="E2" s="2"/>
      <c r="F2" s="2"/>
      <c r="G2" s="2"/>
      <c r="H2" s="1028"/>
      <c r="I2" s="1028"/>
      <c r="J2" s="1028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</row>
    <row r="3" spans="1:45" ht="26.25" customHeight="1">
      <c r="A3" s="1033"/>
      <c r="B3" s="1561" t="s">
        <v>3</v>
      </c>
      <c r="C3" s="1420"/>
      <c r="D3" s="1420"/>
      <c r="E3" s="1420"/>
      <c r="F3" s="1420"/>
      <c r="G3" s="1420"/>
      <c r="H3" s="1421"/>
      <c r="I3" s="1149"/>
      <c r="J3" s="1562" t="s">
        <v>306</v>
      </c>
      <c r="K3" s="1420"/>
      <c r="L3" s="1420"/>
      <c r="M3" s="1420"/>
      <c r="N3" s="1420"/>
      <c r="O3" s="1420"/>
      <c r="P3" s="1421"/>
      <c r="Q3" s="1149"/>
      <c r="R3" s="1559" t="s">
        <v>307</v>
      </c>
      <c r="S3" s="1420"/>
      <c r="T3" s="1420"/>
      <c r="U3" s="1420"/>
      <c r="V3" s="1420"/>
      <c r="W3" s="1420"/>
      <c r="X3" s="1421"/>
      <c r="Y3" s="1149"/>
      <c r="Z3" s="1563" t="s">
        <v>199</v>
      </c>
      <c r="AA3" s="1564"/>
      <c r="AB3" s="1564"/>
      <c r="AC3" s="1564"/>
      <c r="AD3" s="1565"/>
      <c r="AE3" s="1149"/>
      <c r="AF3" s="1566" t="s">
        <v>200</v>
      </c>
      <c r="AG3" s="1420"/>
      <c r="AH3" s="1420"/>
      <c r="AI3" s="1421"/>
      <c r="AJ3" s="1149"/>
      <c r="AK3" s="1561" t="s">
        <v>290</v>
      </c>
      <c r="AL3" s="1420"/>
      <c r="AM3" s="1420"/>
      <c r="AN3" s="1421"/>
      <c r="AO3" s="2"/>
      <c r="AP3" s="1567" t="s">
        <v>308</v>
      </c>
      <c r="AQ3" s="1420"/>
      <c r="AR3" s="1420"/>
      <c r="AS3" s="1421"/>
    </row>
    <row r="4" spans="1:45" ht="90">
      <c r="A4" s="1027"/>
      <c r="B4" s="1150" t="s">
        <v>309</v>
      </c>
      <c r="C4" s="1151" t="s">
        <v>310</v>
      </c>
      <c r="D4" s="1152" t="s">
        <v>311</v>
      </c>
      <c r="E4" s="1152" t="s">
        <v>312</v>
      </c>
      <c r="F4" s="1153" t="s">
        <v>313</v>
      </c>
      <c r="G4" s="1154" t="s">
        <v>314</v>
      </c>
      <c r="H4" s="1154" t="s">
        <v>315</v>
      </c>
      <c r="I4" s="13"/>
      <c r="J4" s="1155" t="s">
        <v>309</v>
      </c>
      <c r="K4" s="1156" t="s">
        <v>310</v>
      </c>
      <c r="L4" s="1157" t="s">
        <v>316</v>
      </c>
      <c r="M4" s="1157" t="s">
        <v>317</v>
      </c>
      <c r="N4" s="1158" t="s">
        <v>313</v>
      </c>
      <c r="O4" s="1158" t="s">
        <v>314</v>
      </c>
      <c r="P4" s="1154" t="s">
        <v>318</v>
      </c>
      <c r="Q4" s="1040"/>
      <c r="R4" s="1155" t="s">
        <v>309</v>
      </c>
      <c r="S4" s="1156" t="s">
        <v>310</v>
      </c>
      <c r="T4" s="1157" t="s">
        <v>316</v>
      </c>
      <c r="U4" s="1157" t="s">
        <v>317</v>
      </c>
      <c r="V4" s="1158" t="s">
        <v>313</v>
      </c>
      <c r="W4" s="1158" t="s">
        <v>314</v>
      </c>
      <c r="X4" s="1154" t="s">
        <v>318</v>
      </c>
      <c r="Y4" s="13"/>
      <c r="Z4" s="1155" t="s">
        <v>309</v>
      </c>
      <c r="AA4" s="1156" t="s">
        <v>310</v>
      </c>
      <c r="AB4" s="1159" t="s">
        <v>319</v>
      </c>
      <c r="AC4" s="1160" t="s">
        <v>320</v>
      </c>
      <c r="AD4" s="1161" t="s">
        <v>321</v>
      </c>
      <c r="AE4" s="13"/>
      <c r="AF4" s="1162" t="s">
        <v>309</v>
      </c>
      <c r="AG4" s="1156" t="s">
        <v>310</v>
      </c>
      <c r="AH4" s="1159" t="s">
        <v>319</v>
      </c>
      <c r="AI4" s="1160" t="s">
        <v>320</v>
      </c>
      <c r="AJ4" s="13"/>
      <c r="AK4" s="1155" t="s">
        <v>309</v>
      </c>
      <c r="AL4" s="1151" t="s">
        <v>310</v>
      </c>
      <c r="AM4" s="1163" t="s">
        <v>319</v>
      </c>
      <c r="AN4" s="1159" t="s">
        <v>320</v>
      </c>
      <c r="AO4" s="2"/>
      <c r="AP4" s="1150" t="s">
        <v>309</v>
      </c>
      <c r="AQ4" s="1164" t="s">
        <v>322</v>
      </c>
      <c r="AR4" s="1165" t="s">
        <v>323</v>
      </c>
      <c r="AS4" s="1165" t="s">
        <v>324</v>
      </c>
    </row>
    <row r="5" spans="1:45" ht="21">
      <c r="A5" s="13"/>
      <c r="B5" s="1166" t="s">
        <v>43</v>
      </c>
      <c r="C5" s="1167">
        <v>1370</v>
      </c>
      <c r="D5" s="1168">
        <v>5</v>
      </c>
      <c r="E5" s="1167">
        <f t="shared" ref="E5:E40" si="0">IF(D5="",,D5*2)</f>
        <v>10</v>
      </c>
      <c r="F5" s="1169">
        <v>25</v>
      </c>
      <c r="G5" s="1167">
        <v>5</v>
      </c>
      <c r="H5" s="1170"/>
      <c r="I5" s="1149"/>
      <c r="J5" s="1172" t="str">
        <f t="shared" ref="J5:K5" si="1">B5</f>
        <v>Aluminium</v>
      </c>
      <c r="K5" s="1174">
        <f t="shared" si="1"/>
        <v>1370</v>
      </c>
      <c r="L5" s="1174">
        <v>50</v>
      </c>
      <c r="M5" s="1174">
        <f>L5*2</f>
        <v>100</v>
      </c>
      <c r="N5" s="1176"/>
      <c r="O5" s="1178"/>
      <c r="P5" s="1179"/>
      <c r="Q5" s="13"/>
      <c r="R5" s="1180" t="str">
        <f t="shared" ref="R5:S5" si="2">B5</f>
        <v>Aluminium</v>
      </c>
      <c r="S5" s="1181">
        <f t="shared" si="2"/>
        <v>1370</v>
      </c>
      <c r="T5" s="1181">
        <v>3</v>
      </c>
      <c r="U5" s="1181">
        <f t="shared" ref="U5:U52" si="3">T5*2</f>
        <v>6</v>
      </c>
      <c r="V5" s="1183"/>
      <c r="W5" s="1184"/>
      <c r="X5" s="1183"/>
      <c r="Y5" s="13"/>
      <c r="Z5" s="1185" t="str">
        <f t="shared" ref="Z5:AA5" si="4">B5</f>
        <v>Aluminium</v>
      </c>
      <c r="AA5" s="1185">
        <f t="shared" si="4"/>
        <v>1370</v>
      </c>
      <c r="AB5" s="1186"/>
      <c r="AC5" s="1185"/>
      <c r="AD5" s="1185"/>
      <c r="AE5" s="1149"/>
      <c r="AF5" s="1185" t="str">
        <f t="shared" ref="AF5:AG5" si="5">B5</f>
        <v>Aluminium</v>
      </c>
      <c r="AG5" s="1185">
        <f t="shared" si="5"/>
        <v>1370</v>
      </c>
      <c r="AH5" s="1185"/>
      <c r="AI5" s="1185"/>
      <c r="AJ5" s="13"/>
      <c r="AK5" s="1187" t="str">
        <f t="shared" ref="AK5:AL5" si="6">B5</f>
        <v>Aluminium</v>
      </c>
      <c r="AL5" s="1185">
        <f t="shared" si="6"/>
        <v>1370</v>
      </c>
      <c r="AM5" s="1188"/>
      <c r="AN5" s="1185"/>
      <c r="AO5" s="2"/>
      <c r="AP5" s="1189" t="s">
        <v>325</v>
      </c>
      <c r="AQ5" s="1190">
        <v>50000</v>
      </c>
      <c r="AR5" s="1191"/>
      <c r="AS5" s="1192"/>
    </row>
    <row r="6" spans="1:45">
      <c r="B6" s="1121" t="s">
        <v>16</v>
      </c>
      <c r="C6" s="1193">
        <v>1907</v>
      </c>
      <c r="D6" s="1194">
        <v>10000000</v>
      </c>
      <c r="E6" s="1195">
        <f t="shared" si="0"/>
        <v>20000000</v>
      </c>
      <c r="F6" s="1194">
        <v>10000000</v>
      </c>
      <c r="G6" s="1195"/>
      <c r="H6" s="1196"/>
      <c r="I6" s="13"/>
      <c r="J6" s="1197" t="s">
        <v>16</v>
      </c>
      <c r="K6" s="1198">
        <f t="shared" ref="K6:K11" si="7">C6</f>
        <v>1907</v>
      </c>
      <c r="L6" s="1198"/>
      <c r="M6" s="1198"/>
      <c r="N6" s="1198"/>
      <c r="O6" s="1199"/>
      <c r="P6" s="1200"/>
      <c r="Q6" s="13"/>
      <c r="R6" s="1201" t="s">
        <v>16</v>
      </c>
      <c r="S6" s="1202">
        <f t="shared" ref="S6:S11" si="8">C6</f>
        <v>1907</v>
      </c>
      <c r="T6" s="1203"/>
      <c r="U6" s="1203">
        <f t="shared" si="3"/>
        <v>0</v>
      </c>
      <c r="V6" s="1203"/>
      <c r="W6" s="1204"/>
      <c r="X6" s="1203"/>
      <c r="Y6" s="13"/>
      <c r="Z6" s="1206" t="s">
        <v>16</v>
      </c>
      <c r="AA6" s="1207">
        <f t="shared" ref="AA6:AA11" si="9">C6</f>
        <v>1907</v>
      </c>
      <c r="AB6" s="1209"/>
      <c r="AC6" s="1203"/>
      <c r="AD6" s="1203"/>
      <c r="AE6" s="13"/>
      <c r="AF6" s="1206" t="s">
        <v>16</v>
      </c>
      <c r="AG6" s="1207">
        <f t="shared" ref="AG6:AG11" si="10">C6</f>
        <v>1907</v>
      </c>
      <c r="AH6" s="1203"/>
      <c r="AI6" s="1203"/>
      <c r="AJ6" s="13"/>
      <c r="AK6" s="1201" t="s">
        <v>16</v>
      </c>
      <c r="AL6" s="1207">
        <f t="shared" ref="AL6:AL11" si="11">C6</f>
        <v>1907</v>
      </c>
      <c r="AM6" s="1210"/>
      <c r="AN6" s="1207"/>
      <c r="AO6" s="2"/>
      <c r="AP6" s="1212" t="s">
        <v>16</v>
      </c>
      <c r="AQ6" s="1213"/>
      <c r="AR6" s="1214"/>
      <c r="AS6" s="1215">
        <v>20</v>
      </c>
    </row>
    <row r="7" spans="1:45" ht="21">
      <c r="B7" s="1121" t="s">
        <v>17</v>
      </c>
      <c r="C7" s="1193">
        <v>1106</v>
      </c>
      <c r="D7" s="1194">
        <v>0.8</v>
      </c>
      <c r="E7" s="1195">
        <f t="shared" si="0"/>
        <v>1.6</v>
      </c>
      <c r="F7" s="1216">
        <v>2.5</v>
      </c>
      <c r="G7" s="1217">
        <v>2</v>
      </c>
      <c r="H7" s="1219"/>
      <c r="I7" s="1149"/>
      <c r="J7" s="1197" t="s">
        <v>17</v>
      </c>
      <c r="K7" s="1198">
        <f t="shared" si="7"/>
        <v>1106</v>
      </c>
      <c r="L7" s="1198"/>
      <c r="M7" s="1198"/>
      <c r="N7" s="1198"/>
      <c r="O7" s="1199"/>
      <c r="P7" s="1200"/>
      <c r="Q7" s="13"/>
      <c r="R7" s="1201" t="s">
        <v>17</v>
      </c>
      <c r="S7" s="1202">
        <f t="shared" si="8"/>
        <v>1106</v>
      </c>
      <c r="T7" s="1203"/>
      <c r="U7" s="1203">
        <f t="shared" si="3"/>
        <v>0</v>
      </c>
      <c r="V7" s="1203"/>
      <c r="W7" s="1204"/>
      <c r="X7" s="1203"/>
      <c r="Y7" s="13"/>
      <c r="Z7" s="1206" t="s">
        <v>17</v>
      </c>
      <c r="AA7" s="1207">
        <f t="shared" si="9"/>
        <v>1106</v>
      </c>
      <c r="AB7" s="1209"/>
      <c r="AC7" s="1203"/>
      <c r="AD7" s="1203"/>
      <c r="AE7" s="1149"/>
      <c r="AF7" s="1206" t="s">
        <v>17</v>
      </c>
      <c r="AG7" s="1207">
        <f t="shared" si="10"/>
        <v>1106</v>
      </c>
      <c r="AH7" s="1203"/>
      <c r="AI7" s="1203"/>
      <c r="AJ7" s="13"/>
      <c r="AK7" s="1201" t="s">
        <v>17</v>
      </c>
      <c r="AL7" s="1207">
        <f t="shared" si="11"/>
        <v>1106</v>
      </c>
      <c r="AM7" s="1210"/>
      <c r="AN7" s="1207"/>
      <c r="AO7" s="2"/>
      <c r="AP7" s="1212" t="s">
        <v>326</v>
      </c>
      <c r="AQ7" s="1213"/>
      <c r="AR7" s="1214"/>
      <c r="AS7" s="1215">
        <v>20</v>
      </c>
    </row>
    <row r="8" spans="1:45">
      <c r="A8" s="13"/>
      <c r="B8" s="1121" t="s">
        <v>18</v>
      </c>
      <c r="C8" s="1193">
        <v>1369</v>
      </c>
      <c r="D8" s="1194">
        <v>0.05</v>
      </c>
      <c r="E8" s="1195">
        <f t="shared" si="0"/>
        <v>0.1</v>
      </c>
      <c r="F8" s="1221">
        <v>0.2</v>
      </c>
      <c r="G8" s="1195">
        <v>0.01</v>
      </c>
      <c r="H8" s="1196"/>
      <c r="I8" s="13"/>
      <c r="J8" s="1197" t="s">
        <v>18</v>
      </c>
      <c r="K8" s="1198">
        <f t="shared" si="7"/>
        <v>1369</v>
      </c>
      <c r="L8" s="1198"/>
      <c r="M8" s="1198"/>
      <c r="N8" s="1198"/>
      <c r="O8" s="1199"/>
      <c r="P8" s="1200"/>
      <c r="Q8" s="13"/>
      <c r="R8" s="1201" t="s">
        <v>18</v>
      </c>
      <c r="S8" s="1202">
        <f t="shared" si="8"/>
        <v>1369</v>
      </c>
      <c r="T8" s="1203"/>
      <c r="U8" s="1203">
        <f t="shared" si="3"/>
        <v>0</v>
      </c>
      <c r="V8" s="1203"/>
      <c r="W8" s="1204"/>
      <c r="X8" s="1203"/>
      <c r="Y8" s="13"/>
      <c r="Z8" s="1206" t="s">
        <v>18</v>
      </c>
      <c r="AA8" s="1207">
        <f t="shared" si="9"/>
        <v>1369</v>
      </c>
      <c r="AB8" s="1209"/>
      <c r="AC8" s="1203"/>
      <c r="AD8" s="1203"/>
      <c r="AE8" s="13"/>
      <c r="AF8" s="1206" t="s">
        <v>18</v>
      </c>
      <c r="AG8" s="1207">
        <f t="shared" si="10"/>
        <v>1369</v>
      </c>
      <c r="AH8" s="1203"/>
      <c r="AI8" s="1203"/>
      <c r="AJ8" s="13"/>
      <c r="AK8" s="1201" t="s">
        <v>18</v>
      </c>
      <c r="AL8" s="1207">
        <f t="shared" si="11"/>
        <v>1369</v>
      </c>
      <c r="AM8" s="1210"/>
      <c r="AN8" s="1207"/>
      <c r="AO8" s="2"/>
      <c r="AP8" s="1212" t="s">
        <v>234</v>
      </c>
      <c r="AQ8" s="1213">
        <v>100000</v>
      </c>
      <c r="AR8" s="1214"/>
      <c r="AS8" s="1225"/>
    </row>
    <row r="9" spans="1:45" ht="21">
      <c r="A9" s="13"/>
      <c r="B9" s="1121" t="s">
        <v>11</v>
      </c>
      <c r="C9" s="1193">
        <v>1388</v>
      </c>
      <c r="D9" s="1194">
        <v>0.2</v>
      </c>
      <c r="E9" s="1195">
        <f t="shared" si="0"/>
        <v>0.4</v>
      </c>
      <c r="F9" s="1221">
        <v>0.6</v>
      </c>
      <c r="G9" s="1195">
        <v>0.4</v>
      </c>
      <c r="H9" s="1226" t="s">
        <v>327</v>
      </c>
      <c r="I9" s="1149"/>
      <c r="J9" s="1197" t="s">
        <v>11</v>
      </c>
      <c r="K9" s="1198">
        <f t="shared" si="7"/>
        <v>1388</v>
      </c>
      <c r="L9" s="1198"/>
      <c r="M9" s="1198"/>
      <c r="N9" s="1198"/>
      <c r="O9" s="1199"/>
      <c r="P9" s="1200"/>
      <c r="Q9" s="13"/>
      <c r="R9" s="1201" t="s">
        <v>11</v>
      </c>
      <c r="S9" s="1202">
        <f t="shared" si="8"/>
        <v>1388</v>
      </c>
      <c r="T9" s="1203"/>
      <c r="U9" s="1203">
        <f t="shared" si="3"/>
        <v>0</v>
      </c>
      <c r="V9" s="1203"/>
      <c r="W9" s="1204"/>
      <c r="X9" s="1203"/>
      <c r="Y9" s="13"/>
      <c r="Z9" s="1206" t="s">
        <v>11</v>
      </c>
      <c r="AA9" s="1207">
        <f t="shared" si="9"/>
        <v>1388</v>
      </c>
      <c r="AB9" s="1209"/>
      <c r="AC9" s="1203"/>
      <c r="AD9" s="1203"/>
      <c r="AE9" s="1149"/>
      <c r="AF9" s="1206" t="s">
        <v>11</v>
      </c>
      <c r="AG9" s="1207">
        <f t="shared" si="10"/>
        <v>1388</v>
      </c>
      <c r="AH9" s="1203"/>
      <c r="AI9" s="1203"/>
      <c r="AJ9" s="13"/>
      <c r="AK9" s="1201" t="s">
        <v>11</v>
      </c>
      <c r="AL9" s="1207">
        <f t="shared" si="11"/>
        <v>1388</v>
      </c>
      <c r="AM9" s="1210"/>
      <c r="AN9" s="1207"/>
      <c r="AO9" s="2"/>
      <c r="AP9" s="1212" t="s">
        <v>35</v>
      </c>
      <c r="AQ9" s="1213">
        <v>300000</v>
      </c>
      <c r="AR9" s="1214"/>
      <c r="AS9" s="1225"/>
    </row>
    <row r="10" spans="1:45">
      <c r="A10" s="13"/>
      <c r="B10" s="1121" t="s">
        <v>12</v>
      </c>
      <c r="C10" s="1193">
        <v>1955</v>
      </c>
      <c r="D10" s="1194">
        <v>10000000</v>
      </c>
      <c r="E10" s="1195">
        <f t="shared" si="0"/>
        <v>20000000</v>
      </c>
      <c r="F10" s="1194">
        <v>10000000</v>
      </c>
      <c r="G10" s="1195"/>
      <c r="H10" s="1196"/>
      <c r="I10" s="13"/>
      <c r="J10" s="1197" t="s">
        <v>12</v>
      </c>
      <c r="K10" s="1198">
        <f t="shared" si="7"/>
        <v>1955</v>
      </c>
      <c r="L10" s="1198"/>
      <c r="M10" s="1198"/>
      <c r="N10" s="1198"/>
      <c r="O10" s="1199"/>
      <c r="P10" s="1200"/>
      <c r="Q10" s="13"/>
      <c r="R10" s="1201" t="s">
        <v>12</v>
      </c>
      <c r="S10" s="1202">
        <f t="shared" si="8"/>
        <v>1955</v>
      </c>
      <c r="T10" s="1203"/>
      <c r="U10" s="1203">
        <f t="shared" si="3"/>
        <v>0</v>
      </c>
      <c r="V10" s="1203"/>
      <c r="W10" s="1204"/>
      <c r="X10" s="1203"/>
      <c r="Y10" s="13"/>
      <c r="Z10" s="1206" t="s">
        <v>12</v>
      </c>
      <c r="AA10" s="1207">
        <f t="shared" si="9"/>
        <v>1955</v>
      </c>
      <c r="AB10" s="1209"/>
      <c r="AC10" s="1203"/>
      <c r="AD10" s="1203"/>
      <c r="AE10" s="13"/>
      <c r="AF10" s="1206" t="s">
        <v>12</v>
      </c>
      <c r="AG10" s="1207">
        <f t="shared" si="10"/>
        <v>1955</v>
      </c>
      <c r="AH10" s="1203"/>
      <c r="AI10" s="1203"/>
      <c r="AJ10" s="13"/>
      <c r="AK10" s="1201" t="s">
        <v>12</v>
      </c>
      <c r="AL10" s="1207">
        <f t="shared" si="11"/>
        <v>1955</v>
      </c>
      <c r="AM10" s="1210"/>
      <c r="AN10" s="1207"/>
      <c r="AO10" s="2"/>
      <c r="AP10" s="1212" t="s">
        <v>14</v>
      </c>
      <c r="AQ10" s="1213"/>
      <c r="AR10" s="1214">
        <v>2</v>
      </c>
      <c r="AS10" s="1225"/>
    </row>
    <row r="11" spans="1:45" ht="21">
      <c r="A11" s="13"/>
      <c r="B11" s="1121" t="s">
        <v>19</v>
      </c>
      <c r="C11" s="1193">
        <v>1114</v>
      </c>
      <c r="D11" s="1194">
        <v>1.5</v>
      </c>
      <c r="E11" s="1195">
        <f t="shared" si="0"/>
        <v>3</v>
      </c>
      <c r="F11" s="1221">
        <v>4.7</v>
      </c>
      <c r="G11" s="1195"/>
      <c r="H11" s="1196"/>
      <c r="I11" s="1149"/>
      <c r="J11" s="1197" t="s">
        <v>19</v>
      </c>
      <c r="K11" s="1198">
        <f t="shared" si="7"/>
        <v>1114</v>
      </c>
      <c r="L11" s="1198"/>
      <c r="M11" s="1198"/>
      <c r="N11" s="1198"/>
      <c r="O11" s="1199"/>
      <c r="P11" s="1200"/>
      <c r="Q11" s="13"/>
      <c r="R11" s="1201" t="s">
        <v>19</v>
      </c>
      <c r="S11" s="1202">
        <f t="shared" si="8"/>
        <v>1114</v>
      </c>
      <c r="T11" s="1203"/>
      <c r="U11" s="1203">
        <f t="shared" si="3"/>
        <v>0</v>
      </c>
      <c r="V11" s="1203"/>
      <c r="W11" s="1204"/>
      <c r="X11" s="1203"/>
      <c r="Y11" s="13"/>
      <c r="Z11" s="1206" t="s">
        <v>19</v>
      </c>
      <c r="AA11" s="1207">
        <f t="shared" si="9"/>
        <v>1114</v>
      </c>
      <c r="AB11" s="1209"/>
      <c r="AC11" s="1203"/>
      <c r="AD11" s="1203"/>
      <c r="AE11" s="1149"/>
      <c r="AF11" s="1206" t="s">
        <v>19</v>
      </c>
      <c r="AG11" s="1207">
        <f t="shared" si="10"/>
        <v>1114</v>
      </c>
      <c r="AH11" s="1203"/>
      <c r="AI11" s="1203"/>
      <c r="AJ11" s="13"/>
      <c r="AK11" s="1201" t="s">
        <v>19</v>
      </c>
      <c r="AL11" s="1207">
        <f t="shared" si="11"/>
        <v>1114</v>
      </c>
      <c r="AM11" s="1210"/>
      <c r="AN11" s="1207"/>
      <c r="AO11" s="2"/>
      <c r="AP11" s="1212" t="s">
        <v>34</v>
      </c>
      <c r="AQ11" s="1213">
        <v>100000</v>
      </c>
      <c r="AR11" s="1214"/>
      <c r="AS11" s="1225"/>
    </row>
    <row r="12" spans="1:45" ht="14.25" customHeight="1">
      <c r="A12" s="13"/>
      <c r="B12" s="1139" t="s">
        <v>42</v>
      </c>
      <c r="C12" s="1193">
        <v>1371</v>
      </c>
      <c r="D12" s="1229">
        <v>0.1</v>
      </c>
      <c r="E12" s="1195">
        <f t="shared" si="0"/>
        <v>0.2</v>
      </c>
      <c r="F12" s="1221">
        <v>0.5</v>
      </c>
      <c r="G12" s="1195">
        <v>0.2</v>
      </c>
      <c r="H12" s="1196"/>
      <c r="I12" s="13"/>
      <c r="J12" s="1230" t="str">
        <f t="shared" ref="J12:K12" si="12">B12</f>
        <v>Chrome 6+</v>
      </c>
      <c r="K12" s="1193">
        <f t="shared" si="12"/>
        <v>1371</v>
      </c>
      <c r="L12" s="1193">
        <v>100000</v>
      </c>
      <c r="M12" s="1193">
        <f t="shared" ref="M12:M14" si="13">L12*2</f>
        <v>200000</v>
      </c>
      <c r="N12" s="1231"/>
      <c r="O12" s="1199"/>
      <c r="P12" s="1232"/>
      <c r="Q12" s="13"/>
      <c r="R12" s="1233" t="str">
        <f t="shared" ref="R12:S12" si="14">B12</f>
        <v>Chrome 6+</v>
      </c>
      <c r="S12" s="1234">
        <f t="shared" si="14"/>
        <v>1371</v>
      </c>
      <c r="T12" s="1235">
        <v>0.1</v>
      </c>
      <c r="U12" s="1235">
        <f t="shared" si="3"/>
        <v>0.2</v>
      </c>
      <c r="V12" s="1237"/>
      <c r="W12" s="1214"/>
      <c r="X12" s="1237"/>
      <c r="Y12" s="13"/>
      <c r="Z12" s="1203" t="str">
        <f t="shared" ref="Z12:AA12" si="15">B12</f>
        <v>Chrome 6+</v>
      </c>
      <c r="AA12" s="1207">
        <f t="shared" si="15"/>
        <v>1371</v>
      </c>
      <c r="AB12" s="1203"/>
      <c r="AC12" s="1203"/>
      <c r="AD12" s="1203"/>
      <c r="AE12" s="13"/>
      <c r="AF12" s="1203" t="str">
        <f t="shared" ref="AF12:AG12" si="16">B12</f>
        <v>Chrome 6+</v>
      </c>
      <c r="AG12" s="1207">
        <f t="shared" si="16"/>
        <v>1371</v>
      </c>
      <c r="AH12" s="1203"/>
      <c r="AI12" s="1203"/>
      <c r="AJ12" s="13"/>
      <c r="AK12" s="1238" t="str">
        <f t="shared" ref="AK12:AL12" si="17">B12</f>
        <v>Chrome 6+</v>
      </c>
      <c r="AL12" s="1207">
        <f t="shared" si="17"/>
        <v>1371</v>
      </c>
      <c r="AM12" s="1209"/>
      <c r="AN12" s="1203"/>
      <c r="AO12" s="2"/>
      <c r="AP12" s="1212" t="s">
        <v>328</v>
      </c>
      <c r="AQ12" s="1213"/>
      <c r="AR12" s="1214">
        <v>5</v>
      </c>
      <c r="AS12" s="1225"/>
    </row>
    <row r="13" spans="1:45" ht="14.25" customHeight="1">
      <c r="A13" s="1030"/>
      <c r="B13" s="1139" t="s">
        <v>286</v>
      </c>
      <c r="C13" s="1193">
        <v>1389</v>
      </c>
      <c r="D13" s="1194">
        <v>0.5</v>
      </c>
      <c r="E13" s="1195">
        <f t="shared" si="0"/>
        <v>1</v>
      </c>
      <c r="F13" s="1221">
        <v>1.6</v>
      </c>
      <c r="G13" s="1195">
        <v>1</v>
      </c>
      <c r="H13" s="1196"/>
      <c r="I13" s="1149"/>
      <c r="J13" s="1230" t="str">
        <f t="shared" ref="J13:K13" si="18">B13</f>
        <v>Chrome total</v>
      </c>
      <c r="K13" s="1193">
        <f t="shared" si="18"/>
        <v>1389</v>
      </c>
      <c r="L13" s="1193">
        <v>5</v>
      </c>
      <c r="M13" s="1193">
        <f t="shared" si="13"/>
        <v>10</v>
      </c>
      <c r="N13" s="1231"/>
      <c r="O13" s="1199"/>
      <c r="P13" s="1232"/>
      <c r="Q13" s="13"/>
      <c r="R13" s="1233" t="str">
        <f t="shared" ref="R13:S13" si="19">B13</f>
        <v>Chrome total</v>
      </c>
      <c r="S13" s="1234">
        <f t="shared" si="19"/>
        <v>1389</v>
      </c>
      <c r="T13" s="1237">
        <v>0.08</v>
      </c>
      <c r="U13" s="1237">
        <f t="shared" si="3"/>
        <v>0.16</v>
      </c>
      <c r="V13" s="1237"/>
      <c r="W13" s="1214"/>
      <c r="X13" s="1237"/>
      <c r="Y13" s="13"/>
      <c r="Z13" s="1203" t="str">
        <f t="shared" ref="Z13:AA13" si="20">B13</f>
        <v>Chrome total</v>
      </c>
      <c r="AA13" s="1207">
        <f t="shared" si="20"/>
        <v>1389</v>
      </c>
      <c r="AB13" s="1203"/>
      <c r="AC13" s="1203"/>
      <c r="AD13" s="1203"/>
      <c r="AE13" s="1149"/>
      <c r="AF13" s="1203" t="str">
        <f t="shared" ref="AF13:AG13" si="21">B13</f>
        <v>Chrome total</v>
      </c>
      <c r="AG13" s="1207">
        <f t="shared" si="21"/>
        <v>1389</v>
      </c>
      <c r="AH13" s="1203"/>
      <c r="AI13" s="1203"/>
      <c r="AJ13" s="13"/>
      <c r="AK13" s="1238" t="str">
        <f t="shared" ref="AK13:AL13" si="22">B13</f>
        <v>Chrome total</v>
      </c>
      <c r="AL13" s="1207">
        <f t="shared" si="22"/>
        <v>1389</v>
      </c>
      <c r="AM13" s="1204"/>
      <c r="AN13" s="1203"/>
      <c r="AO13" s="2"/>
      <c r="AP13" s="1212" t="s">
        <v>48</v>
      </c>
      <c r="AQ13" s="1213"/>
      <c r="AR13" s="1214"/>
      <c r="AS13" s="1215">
        <v>20</v>
      </c>
    </row>
    <row r="14" spans="1:45">
      <c r="A14" s="13"/>
      <c r="B14" s="1139" t="s">
        <v>45</v>
      </c>
      <c r="C14" s="1239">
        <v>1392</v>
      </c>
      <c r="D14" s="1240">
        <v>0.5</v>
      </c>
      <c r="E14" s="1195">
        <f t="shared" si="0"/>
        <v>1</v>
      </c>
      <c r="F14" s="1221">
        <v>1.6</v>
      </c>
      <c r="G14" s="1195">
        <v>1</v>
      </c>
      <c r="H14" s="1196"/>
      <c r="I14" s="13"/>
      <c r="J14" s="1230" t="str">
        <f t="shared" ref="J14:K14" si="23">B14</f>
        <v>Cuivre</v>
      </c>
      <c r="K14" s="1239">
        <f t="shared" si="23"/>
        <v>1392</v>
      </c>
      <c r="L14" s="1193">
        <v>3</v>
      </c>
      <c r="M14" s="1193">
        <f t="shared" si="13"/>
        <v>6</v>
      </c>
      <c r="N14" s="1231"/>
      <c r="O14" s="1199"/>
      <c r="P14" s="1232"/>
      <c r="Q14" s="13"/>
      <c r="R14" s="1233" t="str">
        <f t="shared" ref="R14:S14" si="24">B14</f>
        <v>Cuivre</v>
      </c>
      <c r="S14" s="1241">
        <f t="shared" si="24"/>
        <v>1392</v>
      </c>
      <c r="T14" s="1237">
        <v>0.12</v>
      </c>
      <c r="U14" s="1237">
        <f t="shared" si="3"/>
        <v>0.24</v>
      </c>
      <c r="V14" s="1237"/>
      <c r="W14" s="1214"/>
      <c r="X14" s="1237"/>
      <c r="Y14" s="13"/>
      <c r="Z14" s="1203" t="str">
        <f t="shared" ref="Z14:AA14" si="25">B14</f>
        <v>Cuivre</v>
      </c>
      <c r="AA14" s="1242">
        <f t="shared" si="25"/>
        <v>1392</v>
      </c>
      <c r="AB14" s="1203"/>
      <c r="AC14" s="1203"/>
      <c r="AD14" s="1203"/>
      <c r="AE14" s="13"/>
      <c r="AF14" s="1203" t="str">
        <f t="shared" ref="AF14:AG14" si="26">B14</f>
        <v>Cuivre</v>
      </c>
      <c r="AG14" s="1242">
        <f t="shared" si="26"/>
        <v>1392</v>
      </c>
      <c r="AH14" s="1203"/>
      <c r="AI14" s="1203"/>
      <c r="AJ14" s="13"/>
      <c r="AK14" s="1238" t="str">
        <f t="shared" ref="AK14:AL14" si="27">B14</f>
        <v>Cuivre</v>
      </c>
      <c r="AL14" s="1242">
        <f t="shared" si="27"/>
        <v>1392</v>
      </c>
      <c r="AM14" s="1209"/>
      <c r="AN14" s="1203"/>
      <c r="AO14" s="2"/>
      <c r="AP14" s="1212" t="s">
        <v>329</v>
      </c>
      <c r="AQ14" s="1213"/>
      <c r="AR14" s="1214"/>
      <c r="AS14" s="1215">
        <v>20</v>
      </c>
    </row>
    <row r="15" spans="1:45" ht="21">
      <c r="A15" s="13"/>
      <c r="B15" s="1121" t="s">
        <v>20</v>
      </c>
      <c r="C15" s="1193">
        <v>1390</v>
      </c>
      <c r="D15" s="1194">
        <v>0.1</v>
      </c>
      <c r="E15" s="1195">
        <f t="shared" si="0"/>
        <v>0.2</v>
      </c>
      <c r="F15" s="1221">
        <v>0.5</v>
      </c>
      <c r="G15" s="1195">
        <v>0.2</v>
      </c>
      <c r="H15" s="1196"/>
      <c r="I15" s="1149"/>
      <c r="J15" s="1244" t="s">
        <v>20</v>
      </c>
      <c r="K15" s="1245">
        <f t="shared" ref="K15:K16" si="28">C15</f>
        <v>1390</v>
      </c>
      <c r="L15" s="1245"/>
      <c r="M15" s="1245"/>
      <c r="N15" s="1245"/>
      <c r="O15" s="1199"/>
      <c r="P15" s="1200"/>
      <c r="Q15" s="13"/>
      <c r="R15" s="1246" t="s">
        <v>20</v>
      </c>
      <c r="S15" s="1202">
        <f t="shared" ref="S15:S16" si="29">C15</f>
        <v>1390</v>
      </c>
      <c r="T15" s="1203"/>
      <c r="U15" s="1203">
        <f t="shared" si="3"/>
        <v>0</v>
      </c>
      <c r="V15" s="1203"/>
      <c r="W15" s="1204"/>
      <c r="X15" s="1203"/>
      <c r="Y15" s="13"/>
      <c r="Z15" s="1246" t="s">
        <v>20</v>
      </c>
      <c r="AA15" s="1207">
        <f t="shared" ref="AA15:AA16" si="30">C15</f>
        <v>1390</v>
      </c>
      <c r="AB15" s="1203"/>
      <c r="AC15" s="1203"/>
      <c r="AD15" s="1203"/>
      <c r="AE15" s="1149"/>
      <c r="AF15" s="1247" t="s">
        <v>20</v>
      </c>
      <c r="AG15" s="1207">
        <f t="shared" ref="AG15:AG16" si="31">C15</f>
        <v>1390</v>
      </c>
      <c r="AH15" s="1203"/>
      <c r="AI15" s="1203"/>
      <c r="AJ15" s="13"/>
      <c r="AK15" s="1246" t="s">
        <v>20</v>
      </c>
      <c r="AL15" s="1207">
        <f t="shared" ref="AL15:AL16" si="32">C15</f>
        <v>1390</v>
      </c>
      <c r="AM15" s="1204"/>
      <c r="AN15" s="1203"/>
      <c r="AO15" s="2"/>
      <c r="AP15" s="1250" t="s">
        <v>47</v>
      </c>
      <c r="AQ15" s="1251"/>
      <c r="AR15" s="1252">
        <v>500</v>
      </c>
      <c r="AS15" s="1253"/>
    </row>
    <row r="16" spans="1:45">
      <c r="A16" s="1254"/>
      <c r="B16" s="1121" t="s">
        <v>14</v>
      </c>
      <c r="C16" s="1193">
        <v>6616</v>
      </c>
      <c r="D16" s="1194">
        <v>10000000</v>
      </c>
      <c r="E16" s="1195">
        <f t="shared" si="0"/>
        <v>20000000</v>
      </c>
      <c r="F16" s="1194">
        <v>10000000</v>
      </c>
      <c r="G16" s="1195"/>
      <c r="H16" s="1196"/>
      <c r="I16" s="13"/>
      <c r="J16" s="1244" t="s">
        <v>14</v>
      </c>
      <c r="K16" s="1245">
        <f t="shared" si="28"/>
        <v>6616</v>
      </c>
      <c r="L16" s="1245"/>
      <c r="M16" s="1245"/>
      <c r="N16" s="1245"/>
      <c r="O16" s="1199"/>
      <c r="P16" s="1200"/>
      <c r="Q16" s="13"/>
      <c r="R16" s="1246" t="s">
        <v>14</v>
      </c>
      <c r="S16" s="1202">
        <f t="shared" si="29"/>
        <v>6616</v>
      </c>
      <c r="T16" s="1203"/>
      <c r="U16" s="1203">
        <f t="shared" si="3"/>
        <v>0</v>
      </c>
      <c r="V16" s="1203"/>
      <c r="W16" s="1204"/>
      <c r="X16" s="1203"/>
      <c r="Y16" s="13"/>
      <c r="Z16" s="1246" t="s">
        <v>14</v>
      </c>
      <c r="AA16" s="1207">
        <f t="shared" si="30"/>
        <v>6616</v>
      </c>
      <c r="AB16" s="1203"/>
      <c r="AC16" s="1203"/>
      <c r="AD16" s="1203"/>
      <c r="AE16" s="13"/>
      <c r="AF16" s="1247" t="s">
        <v>14</v>
      </c>
      <c r="AG16" s="1207">
        <f t="shared" si="31"/>
        <v>6616</v>
      </c>
      <c r="AH16" s="1203"/>
      <c r="AI16" s="1203"/>
      <c r="AJ16" s="13"/>
      <c r="AK16" s="1246" t="s">
        <v>14</v>
      </c>
      <c r="AL16" s="1207">
        <f t="shared" si="32"/>
        <v>6616</v>
      </c>
      <c r="AM16" s="1204"/>
      <c r="AN16" s="1203"/>
      <c r="AO16" s="2"/>
      <c r="AP16" s="2"/>
      <c r="AQ16" s="2"/>
      <c r="AR16" s="2"/>
      <c r="AS16" s="2"/>
    </row>
    <row r="17" spans="1:45" ht="14.25" customHeight="1">
      <c r="A17" s="13"/>
      <c r="B17" s="1139" t="s">
        <v>284</v>
      </c>
      <c r="C17" s="1193">
        <v>1313</v>
      </c>
      <c r="D17" s="1229">
        <v>450</v>
      </c>
      <c r="E17" s="1195">
        <f t="shared" si="0"/>
        <v>900</v>
      </c>
      <c r="F17" s="1221">
        <v>1500</v>
      </c>
      <c r="G17" s="1195">
        <v>280</v>
      </c>
      <c r="H17" s="1196"/>
      <c r="I17" s="1149"/>
      <c r="J17" s="1230" t="str">
        <f t="shared" ref="J17:K17" si="33">B17</f>
        <v>DBO 5</v>
      </c>
      <c r="K17" s="1193">
        <f t="shared" si="33"/>
        <v>1313</v>
      </c>
      <c r="L17" s="1193">
        <v>1000000</v>
      </c>
      <c r="M17" s="1193">
        <f t="shared" ref="M17:M20" si="34">L17*2</f>
        <v>2000000</v>
      </c>
      <c r="N17" s="1231"/>
      <c r="O17" s="1199"/>
      <c r="P17" s="1232"/>
      <c r="Q17" s="13"/>
      <c r="R17" s="1233" t="str">
        <f t="shared" ref="R17:S17" si="35">B17</f>
        <v>DBO 5</v>
      </c>
      <c r="S17" s="1234">
        <f t="shared" si="35"/>
        <v>1313</v>
      </c>
      <c r="T17" s="1233">
        <v>100000000</v>
      </c>
      <c r="U17" s="1233">
        <f t="shared" si="3"/>
        <v>200000000</v>
      </c>
      <c r="V17" s="1233"/>
      <c r="W17" s="1255"/>
      <c r="X17" s="1233"/>
      <c r="Y17" s="13"/>
      <c r="Z17" s="1203" t="str">
        <f t="shared" ref="Z17:AA17" si="36">B17</f>
        <v>DBO 5</v>
      </c>
      <c r="AA17" s="1207">
        <f t="shared" si="36"/>
        <v>1313</v>
      </c>
      <c r="AB17" s="1203"/>
      <c r="AC17" s="1203"/>
      <c r="AD17" s="1203"/>
      <c r="AE17" s="1149"/>
      <c r="AF17" s="1203" t="str">
        <f t="shared" ref="AF17:AG17" si="37">B17</f>
        <v>DBO 5</v>
      </c>
      <c r="AG17" s="1207">
        <f t="shared" si="37"/>
        <v>1313</v>
      </c>
      <c r="AH17" s="1203"/>
      <c r="AI17" s="1203"/>
      <c r="AJ17" s="13"/>
      <c r="AK17" s="1238" t="str">
        <f t="shared" ref="AK17:AL17" si="38">B17</f>
        <v>DBO 5</v>
      </c>
      <c r="AL17" s="1207">
        <f t="shared" si="38"/>
        <v>1313</v>
      </c>
      <c r="AM17" s="1204"/>
      <c r="AN17" s="1203"/>
      <c r="AO17" s="2"/>
      <c r="AP17" s="2"/>
      <c r="AQ17" s="2"/>
      <c r="AR17" s="2"/>
      <c r="AS17" s="2"/>
    </row>
    <row r="18" spans="1:45" ht="14.25" customHeight="1">
      <c r="A18" s="13"/>
      <c r="B18" s="1182" t="s">
        <v>35</v>
      </c>
      <c r="C18" s="1193">
        <v>1314</v>
      </c>
      <c r="D18" s="1229">
        <v>1750</v>
      </c>
      <c r="E18" s="1195">
        <f t="shared" si="0"/>
        <v>3500</v>
      </c>
      <c r="F18" s="1221">
        <v>3500</v>
      </c>
      <c r="G18" s="1195">
        <v>950</v>
      </c>
      <c r="H18" s="1196"/>
      <c r="I18" s="13"/>
      <c r="J18" s="1230" t="str">
        <f t="shared" ref="J18:K18" si="39">B18</f>
        <v>DCO</v>
      </c>
      <c r="K18" s="1193">
        <f t="shared" si="39"/>
        <v>1314</v>
      </c>
      <c r="L18" s="1193">
        <v>5000</v>
      </c>
      <c r="M18" s="1193">
        <f t="shared" si="34"/>
        <v>10000</v>
      </c>
      <c r="N18" s="1231"/>
      <c r="O18" s="1199"/>
      <c r="P18" s="1232"/>
      <c r="Q18" s="13"/>
      <c r="R18" s="1233" t="str">
        <f t="shared" ref="R18:S18" si="40">B18</f>
        <v>DCO</v>
      </c>
      <c r="S18" s="1234">
        <f t="shared" si="40"/>
        <v>1314</v>
      </c>
      <c r="T18" s="1235">
        <v>2000</v>
      </c>
      <c r="U18" s="1235">
        <f t="shared" si="3"/>
        <v>4000</v>
      </c>
      <c r="V18" s="1237"/>
      <c r="W18" s="1214"/>
      <c r="X18" s="1237"/>
      <c r="Y18" s="13"/>
      <c r="Z18" s="1233" t="str">
        <f t="shared" ref="Z18:AA18" si="41">B18</f>
        <v>DCO</v>
      </c>
      <c r="AA18" s="1256">
        <f t="shared" si="41"/>
        <v>1314</v>
      </c>
      <c r="AB18" s="1257">
        <v>100000000</v>
      </c>
      <c r="AC18" s="1257">
        <v>100000000</v>
      </c>
      <c r="AD18" s="1258"/>
      <c r="AE18" s="13"/>
      <c r="AF18" s="1233" t="str">
        <f t="shared" ref="AF18:AG18" si="42">B18</f>
        <v>DCO</v>
      </c>
      <c r="AG18" s="1256">
        <f t="shared" si="42"/>
        <v>1314</v>
      </c>
      <c r="AH18" s="1257">
        <v>100000000</v>
      </c>
      <c r="AI18" s="1257">
        <v>100000000</v>
      </c>
      <c r="AJ18" s="13"/>
      <c r="AK18" s="1139" t="str">
        <f t="shared" ref="AK18:AL18" si="43">B18</f>
        <v>DCO</v>
      </c>
      <c r="AL18" s="1256">
        <f t="shared" si="43"/>
        <v>1314</v>
      </c>
      <c r="AM18" s="1259">
        <v>17000</v>
      </c>
      <c r="AN18" s="1237">
        <v>26000</v>
      </c>
      <c r="AO18" s="2"/>
      <c r="AP18" s="2"/>
      <c r="AQ18" s="2"/>
      <c r="AR18" s="2"/>
      <c r="AS18" s="2"/>
    </row>
    <row r="19" spans="1:45" ht="14.25" customHeight="1">
      <c r="A19" s="13"/>
      <c r="B19" s="1139" t="s">
        <v>36</v>
      </c>
      <c r="C19" s="1193">
        <v>1314</v>
      </c>
      <c r="D19" s="1194">
        <v>100000</v>
      </c>
      <c r="E19" s="1195">
        <f t="shared" si="0"/>
        <v>200000</v>
      </c>
      <c r="F19" s="1194">
        <v>1000000</v>
      </c>
      <c r="G19" s="1193">
        <v>10000000</v>
      </c>
      <c r="H19" s="1232"/>
      <c r="I19" s="1149"/>
      <c r="J19" s="1230" t="str">
        <f t="shared" ref="J19:K19" si="44">B19</f>
        <v>DCO à D2</v>
      </c>
      <c r="K19" s="1193">
        <f t="shared" si="44"/>
        <v>1314</v>
      </c>
      <c r="L19" s="1193">
        <v>100000</v>
      </c>
      <c r="M19" s="1193">
        <f t="shared" si="34"/>
        <v>200000</v>
      </c>
      <c r="N19" s="1231"/>
      <c r="O19" s="1199"/>
      <c r="P19" s="1232"/>
      <c r="Q19" s="13"/>
      <c r="R19" s="1233" t="str">
        <f t="shared" ref="R19:S19" si="45">B19</f>
        <v>DCO à D2</v>
      </c>
      <c r="S19" s="1234">
        <f t="shared" si="45"/>
        <v>1314</v>
      </c>
      <c r="T19" s="1233">
        <v>100000000</v>
      </c>
      <c r="U19" s="1233">
        <f t="shared" si="3"/>
        <v>200000000</v>
      </c>
      <c r="V19" s="1233"/>
      <c r="W19" s="1255"/>
      <c r="X19" s="1233"/>
      <c r="Y19" s="13"/>
      <c r="Z19" s="1203" t="str">
        <f t="shared" ref="Z19:AA19" si="46">B19</f>
        <v>DCO à D2</v>
      </c>
      <c r="AA19" s="1207">
        <f t="shared" si="46"/>
        <v>1314</v>
      </c>
      <c r="AB19" s="1203"/>
      <c r="AC19" s="1203"/>
      <c r="AD19" s="1203"/>
      <c r="AE19" s="1149"/>
      <c r="AF19" s="1203" t="str">
        <f t="shared" ref="AF19:AG19" si="47">B19</f>
        <v>DCO à D2</v>
      </c>
      <c r="AG19" s="1207">
        <f t="shared" si="47"/>
        <v>1314</v>
      </c>
      <c r="AH19" s="1203"/>
      <c r="AI19" s="1203"/>
      <c r="AJ19" s="13"/>
      <c r="AK19" s="1238" t="str">
        <f t="shared" ref="AK19:AL19" si="48">B19</f>
        <v>DCO à D2</v>
      </c>
      <c r="AL19" s="1207">
        <f t="shared" si="48"/>
        <v>1314</v>
      </c>
      <c r="AM19" s="1209"/>
      <c r="AN19" s="1203"/>
      <c r="AO19" s="2"/>
      <c r="AP19" s="2"/>
      <c r="AQ19" s="2"/>
      <c r="AR19" s="2"/>
      <c r="AS19" s="2"/>
    </row>
    <row r="20" spans="1:45" ht="14.25" customHeight="1">
      <c r="A20" s="13"/>
      <c r="B20" s="1139" t="s">
        <v>32</v>
      </c>
      <c r="C20" s="1260"/>
      <c r="D20" s="1229">
        <v>4800</v>
      </c>
      <c r="E20" s="1195">
        <f t="shared" si="0"/>
        <v>9600</v>
      </c>
      <c r="F20" s="1221">
        <v>100000</v>
      </c>
      <c r="G20" s="1195"/>
      <c r="H20" s="1196"/>
      <c r="I20" s="13"/>
      <c r="J20" s="1230" t="str">
        <f t="shared" ref="J20:K20" si="49">B20</f>
        <v>Débit</v>
      </c>
      <c r="K20" s="1230">
        <f t="shared" si="49"/>
        <v>0</v>
      </c>
      <c r="L20" s="1230">
        <v>1000</v>
      </c>
      <c r="M20" s="1193">
        <f t="shared" si="34"/>
        <v>2000</v>
      </c>
      <c r="N20" s="1231"/>
      <c r="O20" s="1199"/>
      <c r="P20" s="1232"/>
      <c r="Q20" s="13"/>
      <c r="R20" s="1233" t="str">
        <f t="shared" ref="R20:S20" si="50">B20</f>
        <v>Débit</v>
      </c>
      <c r="S20" s="1234">
        <f t="shared" si="50"/>
        <v>0</v>
      </c>
      <c r="T20" s="1237">
        <v>1000</v>
      </c>
      <c r="U20" s="1237">
        <f t="shared" si="3"/>
        <v>2000</v>
      </c>
      <c r="V20" s="1233"/>
      <c r="W20" s="1255"/>
      <c r="X20" s="1233"/>
      <c r="Y20" s="13"/>
      <c r="Z20" s="1233" t="str">
        <f t="shared" ref="Z20:AA20" si="51">B20</f>
        <v>Débit</v>
      </c>
      <c r="AA20" s="1256">
        <f t="shared" si="51"/>
        <v>0</v>
      </c>
      <c r="AB20" s="1257">
        <v>100000000</v>
      </c>
      <c r="AC20" s="1257">
        <v>100000000</v>
      </c>
      <c r="AD20" s="1258"/>
      <c r="AE20" s="13"/>
      <c r="AF20" s="1258" t="str">
        <f t="shared" ref="AF20:AG20" si="52">B20</f>
        <v>Débit</v>
      </c>
      <c r="AG20" s="1256">
        <f t="shared" si="52"/>
        <v>0</v>
      </c>
      <c r="AH20" s="1257">
        <v>100000000</v>
      </c>
      <c r="AI20" s="1257">
        <v>100000000</v>
      </c>
      <c r="AJ20" s="13"/>
      <c r="AK20" s="1139" t="str">
        <f t="shared" ref="AK20:AL20" si="53">B20</f>
        <v>Débit</v>
      </c>
      <c r="AL20" s="1256">
        <f t="shared" si="53"/>
        <v>0</v>
      </c>
      <c r="AM20" s="1262">
        <v>1000000</v>
      </c>
      <c r="AN20" s="1235">
        <v>100000</v>
      </c>
      <c r="AO20" s="2"/>
      <c r="AP20" s="2"/>
      <c r="AQ20" s="2"/>
      <c r="AR20" s="2"/>
      <c r="AS20" s="2"/>
    </row>
    <row r="21" spans="1:45" ht="14.25" customHeight="1">
      <c r="A21" s="13"/>
      <c r="B21" s="1121" t="s">
        <v>174</v>
      </c>
      <c r="C21" s="1193">
        <v>1356</v>
      </c>
      <c r="D21" s="1194"/>
      <c r="E21" s="1195">
        <f t="shared" si="0"/>
        <v>0</v>
      </c>
      <c r="F21" s="1221"/>
      <c r="G21" s="1195"/>
      <c r="H21" s="1196"/>
      <c r="I21" s="1149"/>
      <c r="J21" s="1244" t="s">
        <v>174</v>
      </c>
      <c r="K21" s="1245"/>
      <c r="L21" s="1245"/>
      <c r="M21" s="1245"/>
      <c r="N21" s="1245"/>
      <c r="O21" s="1245"/>
      <c r="P21" s="1200"/>
      <c r="Q21" s="13"/>
      <c r="R21" s="1244" t="s">
        <v>174</v>
      </c>
      <c r="S21" s="1202">
        <f t="shared" ref="S21:S29" si="54">C21</f>
        <v>1356</v>
      </c>
      <c r="T21" s="1203"/>
      <c r="U21" s="1203">
        <f t="shared" si="3"/>
        <v>0</v>
      </c>
      <c r="V21" s="1203"/>
      <c r="W21" s="1204"/>
      <c r="X21" s="1203"/>
      <c r="Y21" s="13"/>
      <c r="Z21" s="1244" t="s">
        <v>174</v>
      </c>
      <c r="AA21" s="1207">
        <f t="shared" ref="AA21:AA23" si="55">C21</f>
        <v>1356</v>
      </c>
      <c r="AB21" s="1203"/>
      <c r="AC21" s="1203"/>
      <c r="AD21" s="1203"/>
      <c r="AE21" s="1149"/>
      <c r="AF21" s="1246" t="s">
        <v>174</v>
      </c>
      <c r="AG21" s="1207">
        <f t="shared" ref="AG21:AG29" si="56">C21</f>
        <v>1356</v>
      </c>
      <c r="AH21" s="1203"/>
      <c r="AI21" s="1203"/>
      <c r="AJ21" s="13"/>
      <c r="AK21" s="1246"/>
      <c r="AL21" s="1207">
        <f t="shared" ref="AL21:AL29" si="57">C21</f>
        <v>1356</v>
      </c>
      <c r="AM21" s="1209"/>
      <c r="AN21" s="1203"/>
      <c r="AO21" s="2"/>
      <c r="AP21" s="2"/>
      <c r="AQ21" s="2"/>
      <c r="AR21" s="2"/>
      <c r="AS21" s="2"/>
    </row>
    <row r="22" spans="1:45" ht="14.25" customHeight="1">
      <c r="A22" s="13"/>
      <c r="B22" s="1121" t="s">
        <v>21</v>
      </c>
      <c r="C22" s="1193">
        <v>1380</v>
      </c>
      <c r="D22" s="1194">
        <v>2</v>
      </c>
      <c r="E22" s="1195">
        <f t="shared" si="0"/>
        <v>4</v>
      </c>
      <c r="F22" s="1221">
        <v>10</v>
      </c>
      <c r="G22" s="1195">
        <v>4</v>
      </c>
      <c r="H22" s="1196"/>
      <c r="I22" s="1149"/>
      <c r="J22" s="1244" t="s">
        <v>21</v>
      </c>
      <c r="K22" s="1245">
        <f t="shared" ref="K22:K23" si="58">C22</f>
        <v>1380</v>
      </c>
      <c r="L22" s="1245"/>
      <c r="M22" s="1245"/>
      <c r="N22" s="1245"/>
      <c r="O22" s="1245"/>
      <c r="P22" s="1200"/>
      <c r="Q22" s="13"/>
      <c r="R22" s="1246" t="s">
        <v>21</v>
      </c>
      <c r="S22" s="1202">
        <f t="shared" si="54"/>
        <v>1380</v>
      </c>
      <c r="T22" s="1203"/>
      <c r="U22" s="1203">
        <f t="shared" si="3"/>
        <v>0</v>
      </c>
      <c r="V22" s="1203"/>
      <c r="W22" s="1204"/>
      <c r="X22" s="1203"/>
      <c r="Y22" s="13"/>
      <c r="Z22" s="1246" t="s">
        <v>21</v>
      </c>
      <c r="AA22" s="1207">
        <f t="shared" si="55"/>
        <v>1380</v>
      </c>
      <c r="AB22" s="1203"/>
      <c r="AC22" s="1203"/>
      <c r="AD22" s="1203"/>
      <c r="AE22" s="1149"/>
      <c r="AF22" s="1246" t="s">
        <v>21</v>
      </c>
      <c r="AG22" s="1207">
        <f t="shared" si="56"/>
        <v>1380</v>
      </c>
      <c r="AH22" s="1203"/>
      <c r="AI22" s="1203"/>
      <c r="AJ22" s="13"/>
      <c r="AK22" s="1246" t="s">
        <v>21</v>
      </c>
      <c r="AL22" s="1207">
        <f t="shared" si="57"/>
        <v>1380</v>
      </c>
      <c r="AM22" s="1209"/>
      <c r="AN22" s="1203"/>
      <c r="AO22" s="2"/>
      <c r="AP22" s="2"/>
      <c r="AQ22" s="2"/>
      <c r="AR22" s="2"/>
      <c r="AS22" s="2"/>
    </row>
    <row r="23" spans="1:45" ht="14.25" customHeight="1">
      <c r="A23" s="13"/>
      <c r="B23" s="1121" t="s">
        <v>22</v>
      </c>
      <c r="C23" s="1193">
        <v>5850</v>
      </c>
      <c r="D23" s="1194">
        <v>1000000</v>
      </c>
      <c r="E23" s="1195">
        <f t="shared" si="0"/>
        <v>2000000</v>
      </c>
      <c r="F23" s="1221">
        <v>1000000</v>
      </c>
      <c r="G23" s="1221">
        <v>100000</v>
      </c>
      <c r="H23" s="1196"/>
      <c r="I23" s="13"/>
      <c r="J23" s="1244" t="s">
        <v>330</v>
      </c>
      <c r="K23" s="1245">
        <f t="shared" si="58"/>
        <v>5850</v>
      </c>
      <c r="L23" s="1245"/>
      <c r="M23" s="1245"/>
      <c r="N23" s="1245"/>
      <c r="O23" s="1245"/>
      <c r="P23" s="1200"/>
      <c r="Q23" s="13"/>
      <c r="R23" s="1246" t="s">
        <v>330</v>
      </c>
      <c r="S23" s="1202">
        <f t="shared" si="54"/>
        <v>5850</v>
      </c>
      <c r="T23" s="1203"/>
      <c r="U23" s="1203">
        <f t="shared" si="3"/>
        <v>0</v>
      </c>
      <c r="V23" s="1203"/>
      <c r="W23" s="1204"/>
      <c r="X23" s="1203"/>
      <c r="Y23" s="13"/>
      <c r="Z23" s="1246" t="s">
        <v>330</v>
      </c>
      <c r="AA23" s="1207">
        <f t="shared" si="55"/>
        <v>5850</v>
      </c>
      <c r="AB23" s="1203"/>
      <c r="AC23" s="1203"/>
      <c r="AD23" s="1203"/>
      <c r="AE23" s="13"/>
      <c r="AF23" s="1246" t="s">
        <v>330</v>
      </c>
      <c r="AG23" s="1207">
        <f t="shared" si="56"/>
        <v>5850</v>
      </c>
      <c r="AH23" s="1203"/>
      <c r="AI23" s="1203"/>
      <c r="AJ23" s="13"/>
      <c r="AK23" s="1246" t="s">
        <v>330</v>
      </c>
      <c r="AL23" s="1207">
        <f t="shared" si="57"/>
        <v>5850</v>
      </c>
      <c r="AM23" s="1209"/>
      <c r="AN23" s="1203"/>
      <c r="AO23" s="2"/>
      <c r="AP23" s="2"/>
      <c r="AQ23" s="2"/>
      <c r="AR23" s="2"/>
      <c r="AS23" s="2"/>
    </row>
    <row r="24" spans="1:45" ht="14.25" customHeight="1">
      <c r="A24" s="13"/>
      <c r="B24" s="1139" t="s">
        <v>44</v>
      </c>
      <c r="C24" s="1195">
        <v>1393</v>
      </c>
      <c r="D24" s="1221">
        <v>5</v>
      </c>
      <c r="E24" s="1195">
        <f t="shared" si="0"/>
        <v>10</v>
      </c>
      <c r="F24" s="1268">
        <v>25</v>
      </c>
      <c r="G24" s="1195">
        <v>5</v>
      </c>
      <c r="H24" s="1196">
        <v>2.5000000000000001E-2</v>
      </c>
      <c r="I24" s="1149"/>
      <c r="J24" s="1230" t="str">
        <f t="shared" ref="J24:K24" si="59">B24</f>
        <v>Fer</v>
      </c>
      <c r="K24" s="1193">
        <f t="shared" si="59"/>
        <v>1393</v>
      </c>
      <c r="L24" s="1193">
        <v>60</v>
      </c>
      <c r="M24" s="1193">
        <f>L24*2</f>
        <v>120</v>
      </c>
      <c r="N24" s="1231"/>
      <c r="O24" s="1199"/>
      <c r="P24" s="1232">
        <v>2.5000000000000001E-2</v>
      </c>
      <c r="Q24" s="13"/>
      <c r="R24" s="1237" t="s">
        <v>44</v>
      </c>
      <c r="S24" s="1234">
        <f t="shared" si="54"/>
        <v>1393</v>
      </c>
      <c r="T24" s="1237">
        <v>1.6</v>
      </c>
      <c r="U24" s="1237">
        <f t="shared" si="3"/>
        <v>3.2</v>
      </c>
      <c r="V24" s="1237"/>
      <c r="W24" s="1214"/>
      <c r="X24" s="1237">
        <v>2.5000000000000001E-2</v>
      </c>
      <c r="Y24" s="13"/>
      <c r="Z24" s="1203" t="str">
        <f t="shared" ref="Z24:AA24" si="60">B24</f>
        <v>Fer</v>
      </c>
      <c r="AA24" s="1207">
        <f t="shared" si="60"/>
        <v>1393</v>
      </c>
      <c r="AB24" s="1203"/>
      <c r="AC24" s="1203"/>
      <c r="AD24" s="1203"/>
      <c r="AE24" s="1149"/>
      <c r="AF24" s="1203" t="str">
        <f>J24</f>
        <v>Fer</v>
      </c>
      <c r="AG24" s="1207">
        <f t="shared" si="56"/>
        <v>1393</v>
      </c>
      <c r="AH24" s="1203"/>
      <c r="AI24" s="1203"/>
      <c r="AJ24" s="13"/>
      <c r="AK24" s="1238" t="str">
        <f>R24</f>
        <v>Fer</v>
      </c>
      <c r="AL24" s="1207">
        <f t="shared" si="57"/>
        <v>1393</v>
      </c>
      <c r="AM24" s="1209"/>
      <c r="AN24" s="1203"/>
      <c r="AO24" s="2"/>
      <c r="AP24" s="2"/>
      <c r="AQ24" s="2"/>
      <c r="AR24" s="2"/>
      <c r="AS24" s="2"/>
    </row>
    <row r="25" spans="1:45" ht="14.25" customHeight="1">
      <c r="A25" s="13"/>
      <c r="B25" s="1121" t="s">
        <v>169</v>
      </c>
      <c r="C25" s="1193"/>
      <c r="D25" s="1194">
        <v>4</v>
      </c>
      <c r="E25" s="1195">
        <f t="shared" si="0"/>
        <v>8</v>
      </c>
      <c r="F25" s="1221">
        <v>12</v>
      </c>
      <c r="G25" s="1195">
        <v>4</v>
      </c>
      <c r="H25" s="1196"/>
      <c r="I25" s="13"/>
      <c r="J25" s="1199" t="s">
        <v>169</v>
      </c>
      <c r="K25" s="1245">
        <f>C25</f>
        <v>0</v>
      </c>
      <c r="L25" s="1245"/>
      <c r="M25" s="1245"/>
      <c r="N25" s="1245"/>
      <c r="O25" s="1199"/>
      <c r="P25" s="1200"/>
      <c r="Q25" s="13"/>
      <c r="R25" s="1247" t="s">
        <v>169</v>
      </c>
      <c r="S25" s="1202">
        <f t="shared" si="54"/>
        <v>0</v>
      </c>
      <c r="T25" s="1203"/>
      <c r="U25" s="1203">
        <f t="shared" si="3"/>
        <v>0</v>
      </c>
      <c r="V25" s="1203"/>
      <c r="W25" s="1204"/>
      <c r="X25" s="1203"/>
      <c r="Y25" s="13"/>
      <c r="Z25" s="1247" t="s">
        <v>169</v>
      </c>
      <c r="AA25" s="1207">
        <f t="shared" ref="AA25:AA29" si="61">C25</f>
        <v>0</v>
      </c>
      <c r="AB25" s="1203"/>
      <c r="AC25" s="1203"/>
      <c r="AD25" s="1203"/>
      <c r="AE25" s="13"/>
      <c r="AF25" s="1247" t="s">
        <v>169</v>
      </c>
      <c r="AG25" s="1207">
        <f t="shared" si="56"/>
        <v>0</v>
      </c>
      <c r="AH25" s="1203"/>
      <c r="AI25" s="1203"/>
      <c r="AJ25" s="13"/>
      <c r="AK25" s="1246" t="s">
        <v>169</v>
      </c>
      <c r="AL25" s="1207">
        <f t="shared" si="57"/>
        <v>0</v>
      </c>
      <c r="AM25" s="1209"/>
      <c r="AN25" s="1203"/>
      <c r="AO25" s="2"/>
      <c r="AP25" s="2"/>
      <c r="AQ25" s="2"/>
      <c r="AR25" s="2"/>
      <c r="AS25" s="2"/>
    </row>
    <row r="26" spans="1:45" ht="14.25" customHeight="1">
      <c r="A26" s="13"/>
      <c r="B26" s="1139" t="s">
        <v>165</v>
      </c>
      <c r="C26" s="1193">
        <v>7073</v>
      </c>
      <c r="D26" s="1194">
        <v>10</v>
      </c>
      <c r="E26" s="1195">
        <f t="shared" si="0"/>
        <v>20</v>
      </c>
      <c r="F26" s="1194">
        <v>6</v>
      </c>
      <c r="G26" s="1193">
        <v>2</v>
      </c>
      <c r="H26" s="1232"/>
      <c r="I26" s="1149"/>
      <c r="J26" s="1245" t="str">
        <f t="shared" ref="J26:K26" si="62">B26</f>
        <v>Fluorure</v>
      </c>
      <c r="K26" s="1245">
        <f t="shared" si="62"/>
        <v>7073</v>
      </c>
      <c r="L26" s="1245"/>
      <c r="M26" s="1245"/>
      <c r="N26" s="1245"/>
      <c r="O26" s="1199"/>
      <c r="P26" s="1200"/>
      <c r="Q26" s="13"/>
      <c r="R26" s="1247" t="s">
        <v>331</v>
      </c>
      <c r="S26" s="1202">
        <f t="shared" si="54"/>
        <v>7073</v>
      </c>
      <c r="T26" s="1203"/>
      <c r="U26" s="1203">
        <f t="shared" si="3"/>
        <v>0</v>
      </c>
      <c r="V26" s="1203"/>
      <c r="W26" s="1204"/>
      <c r="X26" s="1203"/>
      <c r="Y26" s="13"/>
      <c r="Z26" s="1247" t="s">
        <v>331</v>
      </c>
      <c r="AA26" s="1207">
        <f t="shared" si="61"/>
        <v>7073</v>
      </c>
      <c r="AB26" s="1203"/>
      <c r="AC26" s="1203"/>
      <c r="AD26" s="1203"/>
      <c r="AE26" s="1149"/>
      <c r="AF26" s="1247" t="s">
        <v>331</v>
      </c>
      <c r="AG26" s="1207">
        <f t="shared" si="56"/>
        <v>7073</v>
      </c>
      <c r="AH26" s="1203"/>
      <c r="AI26" s="1203"/>
      <c r="AJ26" s="13"/>
      <c r="AK26" s="1246" t="s">
        <v>331</v>
      </c>
      <c r="AL26" s="1207">
        <f t="shared" si="57"/>
        <v>7073</v>
      </c>
      <c r="AM26" s="1209"/>
      <c r="AN26" s="1203"/>
      <c r="AO26" s="2"/>
      <c r="AP26" s="2"/>
      <c r="AQ26" s="2"/>
      <c r="AR26" s="2"/>
      <c r="AS26" s="2"/>
    </row>
    <row r="27" spans="1:45" ht="14.25" customHeight="1">
      <c r="A27" s="13"/>
      <c r="B27" s="1121" t="s">
        <v>23</v>
      </c>
      <c r="C27" s="1193">
        <v>7088</v>
      </c>
      <c r="D27" s="1194">
        <v>0.05</v>
      </c>
      <c r="E27" s="1195">
        <f t="shared" si="0"/>
        <v>0.1</v>
      </c>
      <c r="F27" s="1194">
        <v>100000</v>
      </c>
      <c r="G27" s="1193"/>
      <c r="H27" s="1232"/>
      <c r="I27" s="13"/>
      <c r="J27" s="1199" t="s">
        <v>23</v>
      </c>
      <c r="K27" s="1245">
        <f>C27</f>
        <v>7088</v>
      </c>
      <c r="L27" s="1245"/>
      <c r="M27" s="1245"/>
      <c r="N27" s="1245"/>
      <c r="O27" s="1199"/>
      <c r="P27" s="1200"/>
      <c r="Q27" s="13"/>
      <c r="R27" s="1247" t="s">
        <v>23</v>
      </c>
      <c r="S27" s="1202">
        <f t="shared" si="54"/>
        <v>7088</v>
      </c>
      <c r="T27" s="1203"/>
      <c r="U27" s="1203">
        <f t="shared" si="3"/>
        <v>0</v>
      </c>
      <c r="V27" s="1203"/>
      <c r="W27" s="1204"/>
      <c r="X27" s="1203"/>
      <c r="Y27" s="13"/>
      <c r="Z27" s="1247" t="s">
        <v>23</v>
      </c>
      <c r="AA27" s="1207">
        <f t="shared" si="61"/>
        <v>7088</v>
      </c>
      <c r="AB27" s="1203"/>
      <c r="AC27" s="1203"/>
      <c r="AD27" s="1203"/>
      <c r="AE27" s="13"/>
      <c r="AF27" s="1247" t="s">
        <v>23</v>
      </c>
      <c r="AG27" s="1207">
        <f t="shared" si="56"/>
        <v>7088</v>
      </c>
      <c r="AH27" s="1203"/>
      <c r="AI27" s="1203"/>
      <c r="AJ27" s="13"/>
      <c r="AK27" s="1246" t="s">
        <v>23</v>
      </c>
      <c r="AL27" s="1207">
        <f t="shared" si="57"/>
        <v>7088</v>
      </c>
      <c r="AM27" s="1209"/>
      <c r="AN27" s="1203"/>
      <c r="AO27" s="2"/>
      <c r="AP27" s="2"/>
      <c r="AQ27" s="2"/>
      <c r="AR27" s="2"/>
      <c r="AS27" s="2"/>
    </row>
    <row r="28" spans="1:45" ht="14.25" customHeight="1">
      <c r="A28" s="13"/>
      <c r="B28" s="1121" t="s">
        <v>332</v>
      </c>
      <c r="C28" s="1193">
        <v>7009</v>
      </c>
      <c r="D28" s="1194">
        <v>8</v>
      </c>
      <c r="E28" s="1195">
        <f t="shared" si="0"/>
        <v>16</v>
      </c>
      <c r="F28" s="1221">
        <v>5</v>
      </c>
      <c r="G28" s="1195">
        <v>18</v>
      </c>
      <c r="H28" s="1196">
        <v>30</v>
      </c>
      <c r="I28" s="1149"/>
      <c r="J28" s="1245" t="str">
        <f t="shared" ref="J28:K28" si="63">B28</f>
        <v>Hydrocarbure totaux</v>
      </c>
      <c r="K28" s="1245">
        <f t="shared" si="63"/>
        <v>7009</v>
      </c>
      <c r="L28" s="1245"/>
      <c r="M28" s="1245"/>
      <c r="N28" s="1245"/>
      <c r="O28" s="1199"/>
      <c r="P28" s="1200"/>
      <c r="Q28" s="15"/>
      <c r="R28" s="1237" t="s">
        <v>201</v>
      </c>
      <c r="S28" s="1234">
        <f t="shared" si="54"/>
        <v>7009</v>
      </c>
      <c r="T28" s="1233">
        <v>100000000</v>
      </c>
      <c r="U28" s="1233">
        <f t="shared" si="3"/>
        <v>200000000</v>
      </c>
      <c r="V28" s="1233"/>
      <c r="W28" s="1255"/>
      <c r="X28" s="1233"/>
      <c r="Y28" s="13"/>
      <c r="Z28" s="1247" t="s">
        <v>201</v>
      </c>
      <c r="AA28" s="1207">
        <f t="shared" si="61"/>
        <v>7009</v>
      </c>
      <c r="AB28" s="1203"/>
      <c r="AC28" s="1203"/>
      <c r="AD28" s="1203"/>
      <c r="AE28" s="1149"/>
      <c r="AF28" s="1237" t="s">
        <v>201</v>
      </c>
      <c r="AG28" s="1256">
        <f t="shared" si="56"/>
        <v>7009</v>
      </c>
      <c r="AH28" s="1257">
        <v>100000000</v>
      </c>
      <c r="AI28" s="1257">
        <v>100000000</v>
      </c>
      <c r="AJ28" s="13"/>
      <c r="AK28" s="1121" t="s">
        <v>201</v>
      </c>
      <c r="AL28" s="1256">
        <f t="shared" si="57"/>
        <v>7009</v>
      </c>
      <c r="AM28" s="1262">
        <v>500</v>
      </c>
      <c r="AN28" s="1237">
        <v>700</v>
      </c>
      <c r="AO28" s="2"/>
      <c r="AP28" s="2"/>
      <c r="AQ28" s="2"/>
      <c r="AR28" s="2"/>
      <c r="AS28" s="2"/>
    </row>
    <row r="29" spans="1:45" ht="14.25" customHeight="1">
      <c r="A29" s="13"/>
      <c r="B29" s="1121" t="s">
        <v>333</v>
      </c>
      <c r="C29" s="1193">
        <v>1440</v>
      </c>
      <c r="D29" s="1194">
        <v>0.3</v>
      </c>
      <c r="E29" s="1195">
        <f t="shared" si="0"/>
        <v>0.6</v>
      </c>
      <c r="F29" s="1221">
        <v>0.9</v>
      </c>
      <c r="G29" s="1195"/>
      <c r="H29" s="1196"/>
      <c r="I29" s="13"/>
      <c r="J29" s="1199" t="s">
        <v>333</v>
      </c>
      <c r="K29" s="1245">
        <f>C29</f>
        <v>1440</v>
      </c>
      <c r="L29" s="1245"/>
      <c r="M29" s="1245"/>
      <c r="N29" s="1245"/>
      <c r="O29" s="1199"/>
      <c r="P29" s="1200"/>
      <c r="Q29" s="15"/>
      <c r="R29" s="1247" t="s">
        <v>333</v>
      </c>
      <c r="S29" s="1202">
        <f t="shared" si="54"/>
        <v>1440</v>
      </c>
      <c r="T29" s="1203"/>
      <c r="U29" s="1203">
        <f t="shared" si="3"/>
        <v>0</v>
      </c>
      <c r="V29" s="1203"/>
      <c r="W29" s="1204"/>
      <c r="X29" s="1203"/>
      <c r="Y29" s="13"/>
      <c r="Z29" s="1247" t="s">
        <v>333</v>
      </c>
      <c r="AA29" s="1207">
        <f t="shared" si="61"/>
        <v>1440</v>
      </c>
      <c r="AB29" s="1203"/>
      <c r="AC29" s="1203"/>
      <c r="AD29" s="1203"/>
      <c r="AE29" s="13"/>
      <c r="AF29" s="1247" t="s">
        <v>333</v>
      </c>
      <c r="AG29" s="1207">
        <f t="shared" si="56"/>
        <v>1440</v>
      </c>
      <c r="AH29" s="1203"/>
      <c r="AI29" s="1203"/>
      <c r="AJ29" s="13"/>
      <c r="AK29" s="1246" t="s">
        <v>333</v>
      </c>
      <c r="AL29" s="1207">
        <f t="shared" si="57"/>
        <v>1440</v>
      </c>
      <c r="AM29" s="1209"/>
      <c r="AN29" s="1203"/>
      <c r="AO29" s="2"/>
      <c r="AP29" s="2"/>
      <c r="AQ29" s="2"/>
      <c r="AR29" s="2"/>
      <c r="AS29" s="2"/>
    </row>
    <row r="30" spans="1:45" ht="14.25" customHeight="1">
      <c r="A30" s="13"/>
      <c r="B30" s="1139" t="s">
        <v>46</v>
      </c>
      <c r="C30" s="1193">
        <v>1394</v>
      </c>
      <c r="D30" s="1194">
        <v>1</v>
      </c>
      <c r="E30" s="1195">
        <f t="shared" si="0"/>
        <v>2</v>
      </c>
      <c r="F30" s="1221">
        <v>3.1</v>
      </c>
      <c r="G30" s="1195">
        <v>2</v>
      </c>
      <c r="H30" s="1196" t="s">
        <v>334</v>
      </c>
      <c r="I30" s="1149"/>
      <c r="J30" s="1230" t="str">
        <f t="shared" ref="J30:K30" si="64">B30</f>
        <v>Manganèse</v>
      </c>
      <c r="K30" s="1193">
        <f t="shared" si="64"/>
        <v>1394</v>
      </c>
      <c r="L30" s="1193">
        <v>40</v>
      </c>
      <c r="M30" s="1193">
        <f>L30*2</f>
        <v>80</v>
      </c>
      <c r="N30" s="1231"/>
      <c r="O30" s="1199"/>
      <c r="P30" s="1232" t="s">
        <v>334</v>
      </c>
      <c r="Q30" s="13"/>
      <c r="R30" s="1233" t="str">
        <f t="shared" ref="R30:S30" si="65">B30</f>
        <v>Manganèse</v>
      </c>
      <c r="S30" s="1234">
        <f t="shared" si="65"/>
        <v>1394</v>
      </c>
      <c r="T30" s="1237">
        <v>0.8</v>
      </c>
      <c r="U30" s="1237">
        <f t="shared" si="3"/>
        <v>1.6</v>
      </c>
      <c r="V30" s="1233"/>
      <c r="W30" s="1255"/>
      <c r="X30" s="1237" t="s">
        <v>334</v>
      </c>
      <c r="Y30" s="13"/>
      <c r="Z30" s="1203" t="str">
        <f t="shared" ref="Z30:AA30" si="66">B30</f>
        <v>Manganèse</v>
      </c>
      <c r="AA30" s="1207">
        <f t="shared" si="66"/>
        <v>1394</v>
      </c>
      <c r="AB30" s="1203"/>
      <c r="AC30" s="1203"/>
      <c r="AD30" s="1203"/>
      <c r="AE30" s="1149"/>
      <c r="AF30" s="1203" t="str">
        <f t="shared" ref="AF30:AG30" si="67">B30</f>
        <v>Manganèse</v>
      </c>
      <c r="AG30" s="1207">
        <f t="shared" si="67"/>
        <v>1394</v>
      </c>
      <c r="AH30" s="1203"/>
      <c r="AI30" s="1203"/>
      <c r="AJ30" s="13"/>
      <c r="AK30" s="1238" t="str">
        <f t="shared" ref="AK30:AL30" si="68">B30</f>
        <v>Manganèse</v>
      </c>
      <c r="AL30" s="1207">
        <f t="shared" si="68"/>
        <v>1394</v>
      </c>
      <c r="AM30" s="1209"/>
      <c r="AN30" s="1203"/>
      <c r="AO30" s="2"/>
      <c r="AP30" s="2"/>
      <c r="AQ30" s="2"/>
      <c r="AR30" s="2"/>
      <c r="AS30" s="2"/>
    </row>
    <row r="31" spans="1:45" ht="15" customHeight="1">
      <c r="A31" s="13"/>
      <c r="B31" s="1121" t="s">
        <v>175</v>
      </c>
      <c r="C31" s="1193">
        <v>1387</v>
      </c>
      <c r="D31" s="1194">
        <v>0.05</v>
      </c>
      <c r="E31" s="1195">
        <f t="shared" si="0"/>
        <v>0.1</v>
      </c>
      <c r="F31" s="1221">
        <v>0.2</v>
      </c>
      <c r="G31" s="1195">
        <v>7.0000000000000007E-2</v>
      </c>
      <c r="H31" s="1196"/>
      <c r="I31" s="13"/>
      <c r="J31" s="1271" t="s">
        <v>175</v>
      </c>
      <c r="K31" s="1193">
        <f>C31</f>
        <v>1387</v>
      </c>
      <c r="L31" s="1193"/>
      <c r="M31" s="1193"/>
      <c r="N31" s="1231"/>
      <c r="O31" s="1199"/>
      <c r="P31" s="1232"/>
      <c r="Q31" s="13"/>
      <c r="R31" s="1121" t="s">
        <v>175</v>
      </c>
      <c r="S31" s="1234">
        <f>C31</f>
        <v>1387</v>
      </c>
      <c r="T31" s="1233"/>
      <c r="U31" s="1233">
        <f t="shared" si="3"/>
        <v>0</v>
      </c>
      <c r="V31" s="1237"/>
      <c r="W31" s="1214"/>
      <c r="X31" s="1237"/>
      <c r="Y31" s="13"/>
      <c r="Z31" s="1237" t="s">
        <v>175</v>
      </c>
      <c r="AA31" s="1256">
        <f>C31</f>
        <v>1387</v>
      </c>
      <c r="AB31" s="1258"/>
      <c r="AC31" s="1258"/>
      <c r="AD31" s="1258"/>
      <c r="AE31" s="13"/>
      <c r="AF31" s="1237" t="s">
        <v>175</v>
      </c>
      <c r="AG31" s="1256">
        <f>C31</f>
        <v>1387</v>
      </c>
      <c r="AH31" s="1258"/>
      <c r="AI31" s="1258"/>
      <c r="AJ31" s="13"/>
      <c r="AK31" s="1121" t="s">
        <v>175</v>
      </c>
      <c r="AL31" s="1256">
        <f>C31</f>
        <v>1387</v>
      </c>
      <c r="AM31" s="1272"/>
      <c r="AN31" s="1237"/>
      <c r="AO31" s="2"/>
      <c r="AP31" s="2"/>
      <c r="AQ31" s="2"/>
      <c r="AR31" s="2"/>
      <c r="AS31" s="2"/>
    </row>
    <row r="32" spans="1:45" ht="15" customHeight="1">
      <c r="A32" s="13"/>
      <c r="B32" s="1139" t="s">
        <v>34</v>
      </c>
      <c r="C32" s="1193">
        <v>1305</v>
      </c>
      <c r="D32" s="1229">
        <v>400</v>
      </c>
      <c r="E32" s="1195">
        <f t="shared" si="0"/>
        <v>800</v>
      </c>
      <c r="F32" s="1221">
        <v>1500</v>
      </c>
      <c r="G32" s="1195">
        <v>200</v>
      </c>
      <c r="H32" s="1196"/>
      <c r="I32" s="13"/>
      <c r="J32" s="1230" t="str">
        <f t="shared" ref="J32:K32" si="69">B32</f>
        <v>MES</v>
      </c>
      <c r="K32" s="1193">
        <f t="shared" si="69"/>
        <v>1305</v>
      </c>
      <c r="L32" s="1193">
        <v>4000</v>
      </c>
      <c r="M32" s="1193">
        <f t="shared" ref="M32:M37" si="70">L32*2</f>
        <v>8000</v>
      </c>
      <c r="N32" s="1231"/>
      <c r="O32" s="1199"/>
      <c r="P32" s="1232"/>
      <c r="Q32" s="13"/>
      <c r="R32" s="1233" t="str">
        <f t="shared" ref="R32:S32" si="71">B32</f>
        <v>MES</v>
      </c>
      <c r="S32" s="1234">
        <f t="shared" si="71"/>
        <v>1305</v>
      </c>
      <c r="T32" s="1235">
        <v>55</v>
      </c>
      <c r="U32" s="1235">
        <f t="shared" si="3"/>
        <v>110</v>
      </c>
      <c r="V32" s="1237"/>
      <c r="W32" s="1214"/>
      <c r="X32" s="1237"/>
      <c r="Y32" s="13"/>
      <c r="Z32" s="1233" t="str">
        <f t="shared" ref="Z32:AA32" si="72">B32</f>
        <v>MES</v>
      </c>
      <c r="AA32" s="1256">
        <f t="shared" si="72"/>
        <v>1305</v>
      </c>
      <c r="AB32" s="1257">
        <v>100000000</v>
      </c>
      <c r="AC32" s="1257">
        <v>100000000</v>
      </c>
      <c r="AD32" s="1258"/>
      <c r="AE32" s="13"/>
      <c r="AF32" s="1233" t="str">
        <f t="shared" ref="AF32:AG32" si="73">B32</f>
        <v>MES</v>
      </c>
      <c r="AG32" s="1256">
        <f t="shared" si="73"/>
        <v>1305</v>
      </c>
      <c r="AH32" s="1257">
        <v>100000000</v>
      </c>
      <c r="AI32" s="1257">
        <v>100000000</v>
      </c>
      <c r="AJ32" s="13"/>
      <c r="AK32" s="1139" t="str">
        <f t="shared" ref="AK32:AL32" si="74">B32</f>
        <v>MES</v>
      </c>
      <c r="AL32" s="1256">
        <f t="shared" si="74"/>
        <v>1305</v>
      </c>
      <c r="AM32" s="1262">
        <v>2600</v>
      </c>
      <c r="AN32" s="1237">
        <v>5000</v>
      </c>
      <c r="AO32" s="2"/>
      <c r="AP32" s="2"/>
      <c r="AQ32" s="2"/>
      <c r="AR32" s="2"/>
      <c r="AS32" s="2"/>
    </row>
    <row r="33" spans="1:45" ht="21">
      <c r="A33" s="13"/>
      <c r="B33" s="1139" t="s">
        <v>118</v>
      </c>
      <c r="C33" s="1193">
        <v>1551</v>
      </c>
      <c r="D33" s="1229">
        <v>75</v>
      </c>
      <c r="E33" s="1195">
        <f t="shared" si="0"/>
        <v>150</v>
      </c>
      <c r="F33" s="1268">
        <v>200</v>
      </c>
      <c r="G33" s="1195">
        <v>56</v>
      </c>
      <c r="H33" s="1275"/>
      <c r="I33" s="1149"/>
      <c r="J33" s="1230" t="str">
        <f t="shared" ref="J33:K33" si="75">B33</f>
        <v>N global</v>
      </c>
      <c r="K33" s="1193">
        <f t="shared" si="75"/>
        <v>1551</v>
      </c>
      <c r="L33" s="1193">
        <v>150</v>
      </c>
      <c r="M33" s="1193">
        <f t="shared" si="70"/>
        <v>300</v>
      </c>
      <c r="N33" s="1231"/>
      <c r="O33" s="1199"/>
      <c r="P33" s="1232"/>
      <c r="Q33" s="13"/>
      <c r="R33" s="1233" t="str">
        <f t="shared" ref="R33:S33" si="76">B33</f>
        <v>N global</v>
      </c>
      <c r="S33" s="1234">
        <f t="shared" si="76"/>
        <v>1551</v>
      </c>
      <c r="T33" s="1237">
        <v>150</v>
      </c>
      <c r="U33" s="1237">
        <f t="shared" si="3"/>
        <v>300</v>
      </c>
      <c r="V33" s="1233"/>
      <c r="W33" s="1255"/>
      <c r="X33" s="1233"/>
      <c r="Y33" s="13"/>
      <c r="Z33" s="1203" t="str">
        <f t="shared" ref="Z33:AA33" si="77">B33</f>
        <v>N global</v>
      </c>
      <c r="AA33" s="1207">
        <f t="shared" si="77"/>
        <v>1551</v>
      </c>
      <c r="AB33" s="1203"/>
      <c r="AC33" s="1203"/>
      <c r="AD33" s="1203"/>
      <c r="AE33" s="1149"/>
      <c r="AF33" s="1203" t="str">
        <f t="shared" ref="AF33:AG33" si="78">B33</f>
        <v>N global</v>
      </c>
      <c r="AG33" s="1207">
        <f t="shared" si="78"/>
        <v>1551</v>
      </c>
      <c r="AH33" s="1203"/>
      <c r="AI33" s="1203"/>
      <c r="AJ33" s="13"/>
      <c r="AK33" s="1238" t="str">
        <f t="shared" ref="AK33:AL33" si="79">B33</f>
        <v>N global</v>
      </c>
      <c r="AL33" s="1207">
        <f t="shared" si="79"/>
        <v>1551</v>
      </c>
      <c r="AM33" s="1209"/>
      <c r="AN33" s="1203"/>
      <c r="AO33" s="2"/>
      <c r="AP33" s="2"/>
      <c r="AQ33" s="2"/>
      <c r="AR33" s="2"/>
      <c r="AS33" s="2"/>
    </row>
    <row r="34" spans="1:45">
      <c r="A34" s="13"/>
      <c r="B34" s="1139" t="s">
        <v>285</v>
      </c>
      <c r="C34" s="1193">
        <v>1335</v>
      </c>
      <c r="D34" s="1194">
        <v>10000000</v>
      </c>
      <c r="E34" s="1195">
        <f t="shared" si="0"/>
        <v>20000000</v>
      </c>
      <c r="F34" s="1194">
        <v>1000000</v>
      </c>
      <c r="G34" s="1193"/>
      <c r="H34" s="1232"/>
      <c r="I34" s="13"/>
      <c r="J34" s="1245" t="str">
        <f t="shared" ref="J34:K34" si="80">B34</f>
        <v>NH4</v>
      </c>
      <c r="K34" s="1245">
        <f t="shared" si="80"/>
        <v>1335</v>
      </c>
      <c r="L34" s="1245"/>
      <c r="M34" s="1199">
        <f t="shared" si="70"/>
        <v>0</v>
      </c>
      <c r="N34" s="1231"/>
      <c r="O34" s="1199"/>
      <c r="P34" s="1200"/>
      <c r="Q34" s="13"/>
      <c r="R34" s="1233" t="str">
        <f t="shared" ref="R34:S34" si="81">B34</f>
        <v>NH4</v>
      </c>
      <c r="S34" s="1234">
        <f t="shared" si="81"/>
        <v>1335</v>
      </c>
      <c r="T34" s="1233">
        <v>100000000</v>
      </c>
      <c r="U34" s="1233">
        <f t="shared" si="3"/>
        <v>200000000</v>
      </c>
      <c r="V34" s="1233"/>
      <c r="W34" s="1255"/>
      <c r="X34" s="1233"/>
      <c r="Y34" s="13"/>
      <c r="Z34" s="1203" t="str">
        <f t="shared" ref="Z34:AA34" si="82">B34</f>
        <v>NH4</v>
      </c>
      <c r="AA34" s="1207">
        <f t="shared" si="82"/>
        <v>1335</v>
      </c>
      <c r="AB34" s="1203"/>
      <c r="AC34" s="1203"/>
      <c r="AD34" s="1203"/>
      <c r="AE34" s="13"/>
      <c r="AF34" s="1203" t="str">
        <f t="shared" ref="AF34:AG34" si="83">B34</f>
        <v>NH4</v>
      </c>
      <c r="AG34" s="1207">
        <f t="shared" si="83"/>
        <v>1335</v>
      </c>
      <c r="AH34" s="1203"/>
      <c r="AI34" s="1203"/>
      <c r="AJ34" s="13"/>
      <c r="AK34" s="1238" t="str">
        <f t="shared" ref="AK34:AL34" si="84">B34</f>
        <v>NH4</v>
      </c>
      <c r="AL34" s="1207">
        <f t="shared" si="84"/>
        <v>1335</v>
      </c>
      <c r="AM34" s="1209"/>
      <c r="AN34" s="1203"/>
      <c r="AO34" s="2"/>
      <c r="AP34" s="2"/>
      <c r="AQ34" s="2"/>
      <c r="AR34" s="2"/>
      <c r="AS34" s="2"/>
    </row>
    <row r="35" spans="1:45" ht="15.75" customHeight="1">
      <c r="A35" s="13"/>
      <c r="B35" s="1139" t="s">
        <v>48</v>
      </c>
      <c r="C35" s="1193">
        <v>1386</v>
      </c>
      <c r="D35" s="1194">
        <v>0.5</v>
      </c>
      <c r="E35" s="1195">
        <f t="shared" si="0"/>
        <v>1</v>
      </c>
      <c r="F35" s="1221">
        <v>1.6</v>
      </c>
      <c r="G35" s="1195">
        <v>1</v>
      </c>
      <c r="H35" s="1196"/>
      <c r="I35" s="1149"/>
      <c r="J35" s="1230" t="str">
        <f t="shared" ref="J35:K35" si="85">B35</f>
        <v>Nickel</v>
      </c>
      <c r="K35" s="1193">
        <f t="shared" si="85"/>
        <v>1386</v>
      </c>
      <c r="L35" s="1193">
        <v>30</v>
      </c>
      <c r="M35" s="1193">
        <f t="shared" si="70"/>
        <v>60</v>
      </c>
      <c r="N35" s="1231"/>
      <c r="O35" s="1199"/>
      <c r="P35" s="1232"/>
      <c r="Q35" s="13"/>
      <c r="R35" s="1233" t="str">
        <f t="shared" ref="R35:S35" si="86">B35</f>
        <v>Nickel</v>
      </c>
      <c r="S35" s="1234">
        <f t="shared" si="86"/>
        <v>1386</v>
      </c>
      <c r="T35" s="1237">
        <v>0.16</v>
      </c>
      <c r="U35" s="1237">
        <f t="shared" si="3"/>
        <v>0.32</v>
      </c>
      <c r="V35" s="1237"/>
      <c r="W35" s="1214"/>
      <c r="X35" s="1237"/>
      <c r="Y35" s="13"/>
      <c r="Z35" s="1203" t="str">
        <f t="shared" ref="Z35:AA35" si="87">B35</f>
        <v>Nickel</v>
      </c>
      <c r="AA35" s="1207">
        <f t="shared" si="87"/>
        <v>1386</v>
      </c>
      <c r="AB35" s="1203"/>
      <c r="AC35" s="1203"/>
      <c r="AD35" s="1203"/>
      <c r="AE35" s="1149"/>
      <c r="AF35" s="1203" t="str">
        <f t="shared" ref="AF35:AG35" si="88">B35</f>
        <v>Nickel</v>
      </c>
      <c r="AG35" s="1207">
        <f t="shared" si="88"/>
        <v>1386</v>
      </c>
      <c r="AH35" s="1203"/>
      <c r="AI35" s="1203"/>
      <c r="AJ35" s="13"/>
      <c r="AK35" s="1238" t="str">
        <f t="shared" ref="AK35:AL35" si="89">B35</f>
        <v>Nickel</v>
      </c>
      <c r="AL35" s="1207">
        <f t="shared" si="89"/>
        <v>1386</v>
      </c>
      <c r="AM35" s="1209"/>
      <c r="AN35" s="1203"/>
      <c r="AO35" s="2"/>
      <c r="AP35" s="2"/>
      <c r="AQ35" s="2"/>
      <c r="AR35" s="2"/>
      <c r="AS35" s="2"/>
    </row>
    <row r="36" spans="1:45" ht="15.75" customHeight="1">
      <c r="A36" s="13"/>
      <c r="B36" s="1139" t="s">
        <v>39</v>
      </c>
      <c r="C36" s="1193">
        <v>1339</v>
      </c>
      <c r="D36" s="1194">
        <v>10000000</v>
      </c>
      <c r="E36" s="1195">
        <f t="shared" si="0"/>
        <v>20000000</v>
      </c>
      <c r="F36" s="1194">
        <v>1000000</v>
      </c>
      <c r="G36" s="1193"/>
      <c r="H36" s="1232"/>
      <c r="I36" s="13"/>
      <c r="J36" s="1230" t="str">
        <f t="shared" ref="J36:K36" si="90">B36</f>
        <v>NO2</v>
      </c>
      <c r="K36" s="1193">
        <f t="shared" si="90"/>
        <v>1339</v>
      </c>
      <c r="L36" s="1193">
        <v>1000000</v>
      </c>
      <c r="M36" s="1193">
        <f t="shared" si="70"/>
        <v>2000000</v>
      </c>
      <c r="N36" s="1231"/>
      <c r="O36" s="1199"/>
      <c r="P36" s="1232"/>
      <c r="Q36" s="13"/>
      <c r="R36" s="1233" t="str">
        <f t="shared" ref="R36:S36" si="91">B36</f>
        <v>NO2</v>
      </c>
      <c r="S36" s="1234">
        <f t="shared" si="91"/>
        <v>1339</v>
      </c>
      <c r="T36" s="1233">
        <v>100000000</v>
      </c>
      <c r="U36" s="1233">
        <f t="shared" si="3"/>
        <v>200000000</v>
      </c>
      <c r="V36" s="1233"/>
      <c r="W36" s="1255"/>
      <c r="X36" s="1233"/>
      <c r="Y36" s="13"/>
      <c r="Z36" s="1203" t="str">
        <f t="shared" ref="Z36:AA36" si="92">B36</f>
        <v>NO2</v>
      </c>
      <c r="AA36" s="1207">
        <f t="shared" si="92"/>
        <v>1339</v>
      </c>
      <c r="AB36" s="1203"/>
      <c r="AC36" s="1203"/>
      <c r="AD36" s="1203"/>
      <c r="AE36" s="13"/>
      <c r="AF36" s="1203" t="str">
        <f t="shared" ref="AF36:AG36" si="93">B36</f>
        <v>NO2</v>
      </c>
      <c r="AG36" s="1207">
        <f t="shared" si="93"/>
        <v>1339</v>
      </c>
      <c r="AH36" s="1203"/>
      <c r="AI36" s="1203"/>
      <c r="AJ36" s="13"/>
      <c r="AK36" s="1238" t="str">
        <f t="shared" ref="AK36:AL36" si="94">B36</f>
        <v>NO2</v>
      </c>
      <c r="AL36" s="1207">
        <f t="shared" si="94"/>
        <v>1339</v>
      </c>
      <c r="AM36" s="1209"/>
      <c r="AN36" s="1203"/>
      <c r="AO36" s="2"/>
      <c r="AP36" s="2"/>
      <c r="AQ36" s="2"/>
      <c r="AR36" s="2"/>
      <c r="AS36" s="2"/>
    </row>
    <row r="37" spans="1:45" ht="15.75" customHeight="1">
      <c r="A37" s="13"/>
      <c r="B37" s="1139" t="s">
        <v>40</v>
      </c>
      <c r="C37" s="1193">
        <v>1340</v>
      </c>
      <c r="D37" s="1194">
        <v>10000000</v>
      </c>
      <c r="E37" s="1195">
        <f t="shared" si="0"/>
        <v>20000000</v>
      </c>
      <c r="F37" s="1194">
        <v>1000000</v>
      </c>
      <c r="G37" s="1193"/>
      <c r="H37" s="1232"/>
      <c r="I37" s="1149"/>
      <c r="J37" s="1230" t="str">
        <f t="shared" ref="J37:K37" si="95">B37</f>
        <v>NO3</v>
      </c>
      <c r="K37" s="1193">
        <f t="shared" si="95"/>
        <v>1340</v>
      </c>
      <c r="L37" s="1193">
        <v>100000</v>
      </c>
      <c r="M37" s="1193">
        <f t="shared" si="70"/>
        <v>200000</v>
      </c>
      <c r="N37" s="1231"/>
      <c r="O37" s="1199"/>
      <c r="P37" s="1232"/>
      <c r="Q37" s="13"/>
      <c r="R37" s="1233" t="str">
        <f t="shared" ref="R37:S37" si="96">B37</f>
        <v>NO3</v>
      </c>
      <c r="S37" s="1234">
        <f t="shared" si="96"/>
        <v>1340</v>
      </c>
      <c r="T37" s="1233">
        <v>100000000</v>
      </c>
      <c r="U37" s="1233">
        <f t="shared" si="3"/>
        <v>200000000</v>
      </c>
      <c r="V37" s="1233"/>
      <c r="W37" s="1255"/>
      <c r="X37" s="1233"/>
      <c r="Y37" s="13"/>
      <c r="Z37" s="1203" t="str">
        <f t="shared" ref="Z37:AA37" si="97">B37</f>
        <v>NO3</v>
      </c>
      <c r="AA37" s="1207">
        <f t="shared" si="97"/>
        <v>1340</v>
      </c>
      <c r="AB37" s="1203"/>
      <c r="AC37" s="1203"/>
      <c r="AD37" s="1203"/>
      <c r="AE37" s="1149"/>
      <c r="AF37" s="1203" t="str">
        <f t="shared" ref="AF37:AG37" si="98">B37</f>
        <v>NO3</v>
      </c>
      <c r="AG37" s="1207">
        <f t="shared" si="98"/>
        <v>1340</v>
      </c>
      <c r="AH37" s="1203"/>
      <c r="AI37" s="1203"/>
      <c r="AJ37" s="13"/>
      <c r="AK37" s="1238" t="str">
        <f t="shared" ref="AK37:AL37" si="99">B37</f>
        <v>NO3</v>
      </c>
      <c r="AL37" s="1207">
        <f t="shared" si="99"/>
        <v>1340</v>
      </c>
      <c r="AM37" s="1209"/>
      <c r="AN37" s="1203"/>
      <c r="AO37" s="2"/>
      <c r="AP37" s="2"/>
      <c r="AQ37" s="2"/>
      <c r="AR37" s="2"/>
      <c r="AS37" s="2"/>
    </row>
    <row r="38" spans="1:45" ht="15.75" customHeight="1">
      <c r="A38" s="13"/>
      <c r="B38" s="1121" t="s">
        <v>15</v>
      </c>
      <c r="C38" s="1193">
        <v>1958</v>
      </c>
      <c r="D38" s="1194">
        <v>1000000</v>
      </c>
      <c r="E38" s="1195">
        <f t="shared" si="0"/>
        <v>2000000</v>
      </c>
      <c r="F38" s="1194">
        <v>1000000</v>
      </c>
      <c r="G38" s="1193"/>
      <c r="H38" s="1232" t="s">
        <v>335</v>
      </c>
      <c r="I38" s="13"/>
      <c r="J38" s="1199" t="s">
        <v>15</v>
      </c>
      <c r="K38" s="1245">
        <f>C38</f>
        <v>1958</v>
      </c>
      <c r="L38" s="1245"/>
      <c r="M38" s="1245"/>
      <c r="N38" s="1245"/>
      <c r="O38" s="1199"/>
      <c r="P38" s="1200"/>
      <c r="Q38" s="13"/>
      <c r="R38" s="1247" t="s">
        <v>15</v>
      </c>
      <c r="S38" s="1202">
        <f>C38</f>
        <v>1958</v>
      </c>
      <c r="T38" s="1203"/>
      <c r="U38" s="1203">
        <f t="shared" si="3"/>
        <v>0</v>
      </c>
      <c r="V38" s="1203"/>
      <c r="W38" s="1204"/>
      <c r="X38" s="1203"/>
      <c r="Y38" s="13"/>
      <c r="Z38" s="1247" t="s">
        <v>15</v>
      </c>
      <c r="AA38" s="1207">
        <f>C38</f>
        <v>1958</v>
      </c>
      <c r="AB38" s="1203"/>
      <c r="AC38" s="1203"/>
      <c r="AD38" s="1203"/>
      <c r="AE38" s="13"/>
      <c r="AF38" s="1247" t="s">
        <v>15</v>
      </c>
      <c r="AG38" s="1207">
        <f>C38</f>
        <v>1958</v>
      </c>
      <c r="AH38" s="1203"/>
      <c r="AI38" s="1203"/>
      <c r="AJ38" s="13"/>
      <c r="AK38" s="1246" t="s">
        <v>15</v>
      </c>
      <c r="AL38" s="1207">
        <f>C38</f>
        <v>1958</v>
      </c>
      <c r="AM38" s="1209"/>
      <c r="AN38" s="1203"/>
      <c r="AO38" s="2"/>
      <c r="AP38" s="2"/>
      <c r="AQ38" s="2"/>
      <c r="AR38" s="2"/>
      <c r="AS38" s="2"/>
    </row>
    <row r="39" spans="1:45" ht="15.75" customHeight="1">
      <c r="A39" s="13"/>
      <c r="B39" s="1139" t="s">
        <v>38</v>
      </c>
      <c r="C39" s="1193">
        <v>1319</v>
      </c>
      <c r="D39" s="1194">
        <v>1000000</v>
      </c>
      <c r="E39" s="1195">
        <f t="shared" si="0"/>
        <v>2000000</v>
      </c>
      <c r="F39" s="1194">
        <v>1000000</v>
      </c>
      <c r="G39" s="1193"/>
      <c r="H39" s="1232"/>
      <c r="I39" s="1149"/>
      <c r="J39" s="1230" t="str">
        <f t="shared" ref="J39:K39" si="100">B39</f>
        <v>NTK</v>
      </c>
      <c r="K39" s="1193">
        <f t="shared" si="100"/>
        <v>1319</v>
      </c>
      <c r="L39" s="1193">
        <v>100000</v>
      </c>
      <c r="M39" s="1193">
        <f>L39*2</f>
        <v>200000</v>
      </c>
      <c r="N39" s="1231"/>
      <c r="O39" s="1199"/>
      <c r="P39" s="1232"/>
      <c r="Q39" s="13"/>
      <c r="R39" s="1203" t="str">
        <f t="shared" ref="R39:S39" si="101">B39</f>
        <v>NTK</v>
      </c>
      <c r="S39" s="1202">
        <f t="shared" si="101"/>
        <v>1319</v>
      </c>
      <c r="T39" s="1203">
        <v>100000000</v>
      </c>
      <c r="U39" s="1203">
        <f t="shared" si="3"/>
        <v>200000000</v>
      </c>
      <c r="V39" s="1203"/>
      <c r="W39" s="1204"/>
      <c r="X39" s="1203"/>
      <c r="Y39" s="13"/>
      <c r="Z39" s="1203" t="str">
        <f t="shared" ref="Z39:AA39" si="102">B39</f>
        <v>NTK</v>
      </c>
      <c r="AA39" s="1207">
        <f t="shared" si="102"/>
        <v>1319</v>
      </c>
      <c r="AB39" s="1203"/>
      <c r="AC39" s="1203"/>
      <c r="AD39" s="1203"/>
      <c r="AE39" s="1149"/>
      <c r="AF39" s="1233" t="str">
        <f t="shared" ref="AF39:AG39" si="103">B39</f>
        <v>NTK</v>
      </c>
      <c r="AG39" s="1256">
        <f t="shared" si="103"/>
        <v>1319</v>
      </c>
      <c r="AH39" s="1258"/>
      <c r="AI39" s="1258">
        <v>100000000</v>
      </c>
      <c r="AJ39" s="13"/>
      <c r="AK39" s="1238" t="str">
        <f t="shared" ref="AK39:AL39" si="104">B39</f>
        <v>NTK</v>
      </c>
      <c r="AL39" s="1207">
        <f t="shared" si="104"/>
        <v>1319</v>
      </c>
      <c r="AM39" s="1209"/>
      <c r="AN39" s="1203"/>
      <c r="AO39" s="2"/>
      <c r="AP39" s="2"/>
      <c r="AQ39" s="2"/>
      <c r="AR39" s="2"/>
      <c r="AS39" s="2"/>
    </row>
    <row r="40" spans="1:45" ht="15.75" customHeight="1">
      <c r="A40" s="13"/>
      <c r="B40" s="1121" t="s">
        <v>170</v>
      </c>
      <c r="C40" s="1193">
        <v>2904</v>
      </c>
      <c r="D40" s="1194">
        <v>10000000</v>
      </c>
      <c r="E40" s="1195">
        <f t="shared" si="0"/>
        <v>20000000</v>
      </c>
      <c r="F40" s="1194">
        <v>1000000</v>
      </c>
      <c r="G40" s="1193">
        <v>10000</v>
      </c>
      <c r="H40" s="1232" t="s">
        <v>335</v>
      </c>
      <c r="I40" s="1149"/>
      <c r="J40" s="1199" t="s">
        <v>170</v>
      </c>
      <c r="K40" s="1245">
        <f>C40</f>
        <v>2904</v>
      </c>
      <c r="L40" s="1245"/>
      <c r="M40" s="1245"/>
      <c r="N40" s="1245"/>
      <c r="O40" s="1199"/>
      <c r="P40" s="1200"/>
      <c r="Q40" s="13"/>
      <c r="R40" s="1247" t="s">
        <v>170</v>
      </c>
      <c r="S40" s="1202">
        <f>C40</f>
        <v>2904</v>
      </c>
      <c r="T40" s="1203"/>
      <c r="U40" s="1203">
        <f t="shared" si="3"/>
        <v>0</v>
      </c>
      <c r="V40" s="1203"/>
      <c r="W40" s="1204"/>
      <c r="X40" s="1203"/>
      <c r="Y40" s="13"/>
      <c r="Z40" s="1247" t="s">
        <v>170</v>
      </c>
      <c r="AA40" s="1207">
        <f>C40</f>
        <v>2904</v>
      </c>
      <c r="AB40" s="1203"/>
      <c r="AC40" s="1203"/>
      <c r="AD40" s="1203"/>
      <c r="AE40" s="1149"/>
      <c r="AF40" s="1247" t="s">
        <v>170</v>
      </c>
      <c r="AG40" s="1207">
        <f>C40</f>
        <v>2904</v>
      </c>
      <c r="AH40" s="1203"/>
      <c r="AI40" s="1203"/>
      <c r="AJ40" s="13"/>
      <c r="AK40" s="1238"/>
      <c r="AL40" s="1207">
        <f>C40</f>
        <v>2904</v>
      </c>
      <c r="AM40" s="1204"/>
      <c r="AN40" s="1203"/>
      <c r="AO40" s="2"/>
      <c r="AP40" s="2"/>
      <c r="AQ40" s="2"/>
      <c r="AR40" s="2"/>
      <c r="AS40" s="2"/>
    </row>
    <row r="41" spans="1:45" ht="15.75" customHeight="1">
      <c r="A41" s="13"/>
      <c r="B41" s="1139" t="s">
        <v>33</v>
      </c>
      <c r="C41" s="1193">
        <v>6484</v>
      </c>
      <c r="D41" s="1194" t="s">
        <v>336</v>
      </c>
      <c r="E41" s="1193" t="s">
        <v>336</v>
      </c>
      <c r="F41" s="1194">
        <v>8.5</v>
      </c>
      <c r="G41" s="1193"/>
      <c r="H41" s="1232"/>
      <c r="I41" s="13"/>
      <c r="J41" s="1230" t="str">
        <f t="shared" ref="J41:K41" si="105">B41</f>
        <v>pH</v>
      </c>
      <c r="K41" s="1230">
        <f t="shared" si="105"/>
        <v>6484</v>
      </c>
      <c r="L41" s="1230">
        <v>100000000</v>
      </c>
      <c r="M41" s="1193">
        <f t="shared" ref="M41:M43" si="106">L41*2</f>
        <v>200000000</v>
      </c>
      <c r="N41" s="1231"/>
      <c r="O41" s="1199"/>
      <c r="P41" s="1232"/>
      <c r="Q41" s="13"/>
      <c r="R41" s="1233" t="str">
        <f t="shared" ref="R41:S41" si="107">B41</f>
        <v>pH</v>
      </c>
      <c r="S41" s="1234">
        <f t="shared" si="107"/>
        <v>6484</v>
      </c>
      <c r="T41" s="1233">
        <v>100000000</v>
      </c>
      <c r="U41" s="1233">
        <f t="shared" si="3"/>
        <v>200000000</v>
      </c>
      <c r="V41" s="1233"/>
      <c r="W41" s="1255"/>
      <c r="X41" s="1233"/>
      <c r="Y41" s="13"/>
      <c r="Z41" s="1203" t="str">
        <f t="shared" ref="Z41:AA41" si="108">B41</f>
        <v>pH</v>
      </c>
      <c r="AA41" s="1207">
        <f t="shared" si="108"/>
        <v>6484</v>
      </c>
      <c r="AB41" s="1203"/>
      <c r="AC41" s="1203"/>
      <c r="AD41" s="1203"/>
      <c r="AE41" s="13"/>
      <c r="AF41" s="1203" t="str">
        <f t="shared" ref="AF41:AG41" si="109">B41</f>
        <v>pH</v>
      </c>
      <c r="AG41" s="1207">
        <f t="shared" si="109"/>
        <v>6484</v>
      </c>
      <c r="AH41" s="1203"/>
      <c r="AI41" s="1203"/>
      <c r="AJ41" s="13"/>
      <c r="AK41" s="1238" t="str">
        <f t="shared" ref="AK41:AL41" si="110">B41</f>
        <v>pH</v>
      </c>
      <c r="AL41" s="1207">
        <f t="shared" si="110"/>
        <v>6484</v>
      </c>
      <c r="AM41" s="1204"/>
      <c r="AN41" s="1203"/>
      <c r="AO41" s="2"/>
      <c r="AP41" s="2"/>
      <c r="AQ41" s="2"/>
      <c r="AR41" s="2"/>
      <c r="AS41" s="2"/>
    </row>
    <row r="42" spans="1:45" ht="15.75" customHeight="1">
      <c r="A42" s="13"/>
      <c r="B42" s="1139" t="s">
        <v>49</v>
      </c>
      <c r="C42" s="1193">
        <v>1382</v>
      </c>
      <c r="D42" s="1194">
        <v>0.5</v>
      </c>
      <c r="E42" s="1195">
        <f t="shared" ref="E42:E43" si="111">IF(D42="",,D42*2)</f>
        <v>1</v>
      </c>
      <c r="F42" s="1221">
        <v>1</v>
      </c>
      <c r="G42" s="1195">
        <v>0.2</v>
      </c>
      <c r="H42" s="1196" t="s">
        <v>337</v>
      </c>
      <c r="I42" s="1149"/>
      <c r="J42" s="1230" t="str">
        <f t="shared" ref="J42:K42" si="112">B42</f>
        <v>Plomb</v>
      </c>
      <c r="K42" s="1230">
        <f t="shared" si="112"/>
        <v>1382</v>
      </c>
      <c r="L42" s="1193">
        <v>0.3</v>
      </c>
      <c r="M42" s="1193">
        <f t="shared" si="106"/>
        <v>0.6</v>
      </c>
      <c r="N42" s="1231"/>
      <c r="O42" s="1199"/>
      <c r="P42" s="1232" t="s">
        <v>337</v>
      </c>
      <c r="Q42" s="13"/>
      <c r="R42" s="1233" t="str">
        <f t="shared" ref="R42:S42" si="113">B42</f>
        <v>Plomb</v>
      </c>
      <c r="S42" s="1234">
        <f t="shared" si="113"/>
        <v>1382</v>
      </c>
      <c r="T42" s="1237">
        <v>0.08</v>
      </c>
      <c r="U42" s="1235">
        <f t="shared" si="3"/>
        <v>0.16</v>
      </c>
      <c r="V42" s="1237"/>
      <c r="W42" s="1214"/>
      <c r="X42" s="1237" t="s">
        <v>337</v>
      </c>
      <c r="Y42" s="13"/>
      <c r="Z42" s="1203" t="str">
        <f t="shared" ref="Z42:AA42" si="114">B42</f>
        <v>Plomb</v>
      </c>
      <c r="AA42" s="1207">
        <f t="shared" si="114"/>
        <v>1382</v>
      </c>
      <c r="AB42" s="1203"/>
      <c r="AC42" s="1203"/>
      <c r="AD42" s="1203"/>
      <c r="AE42" s="1149"/>
      <c r="AF42" s="1203" t="str">
        <f t="shared" ref="AF42:AG42" si="115">B42</f>
        <v>Plomb</v>
      </c>
      <c r="AG42" s="1207">
        <f t="shared" si="115"/>
        <v>1382</v>
      </c>
      <c r="AH42" s="1203"/>
      <c r="AI42" s="1203"/>
      <c r="AJ42" s="13"/>
      <c r="AK42" s="1238" t="str">
        <f t="shared" ref="AK42:AL42" si="116">B42</f>
        <v>Plomb</v>
      </c>
      <c r="AL42" s="1207">
        <f t="shared" si="116"/>
        <v>1382</v>
      </c>
      <c r="AM42" s="1209"/>
      <c r="AN42" s="1203"/>
      <c r="AO42" s="2"/>
      <c r="AP42" s="2"/>
      <c r="AQ42" s="2"/>
      <c r="AR42" s="2"/>
      <c r="AS42" s="2"/>
    </row>
    <row r="43" spans="1:45" ht="15.75" customHeight="1">
      <c r="A43" s="13"/>
      <c r="B43" s="1139" t="s">
        <v>37</v>
      </c>
      <c r="C43" s="1193">
        <v>1350</v>
      </c>
      <c r="D43" s="1229">
        <v>15</v>
      </c>
      <c r="E43" s="1195">
        <f t="shared" si="111"/>
        <v>30</v>
      </c>
      <c r="F43" s="1221">
        <v>70</v>
      </c>
      <c r="G43" s="1195">
        <v>10</v>
      </c>
      <c r="H43" s="1196"/>
      <c r="I43" s="13"/>
      <c r="J43" s="1230" t="str">
        <f t="shared" ref="J43:K43" si="117">B43</f>
        <v>Ptotal</v>
      </c>
      <c r="K43" s="1230">
        <f t="shared" si="117"/>
        <v>1350</v>
      </c>
      <c r="L43" s="1193">
        <v>500</v>
      </c>
      <c r="M43" s="1193">
        <f t="shared" si="106"/>
        <v>1000</v>
      </c>
      <c r="N43" s="1231"/>
      <c r="O43" s="1199"/>
      <c r="P43" s="1232"/>
      <c r="Q43" s="13"/>
      <c r="R43" s="1233" t="str">
        <f t="shared" ref="R43:S43" si="118">B43</f>
        <v>Ptotal</v>
      </c>
      <c r="S43" s="1234">
        <f t="shared" si="118"/>
        <v>1350</v>
      </c>
      <c r="T43" s="1235">
        <v>20</v>
      </c>
      <c r="U43" s="1235">
        <f t="shared" si="3"/>
        <v>40</v>
      </c>
      <c r="V43" s="1237"/>
      <c r="W43" s="1214"/>
      <c r="X43" s="1237"/>
      <c r="Y43" s="13"/>
      <c r="Z43" s="1203" t="str">
        <f t="shared" ref="Z43:AA43" si="119">B43</f>
        <v>Ptotal</v>
      </c>
      <c r="AA43" s="1207">
        <f t="shared" si="119"/>
        <v>1350</v>
      </c>
      <c r="AB43" s="1203"/>
      <c r="AC43" s="1203"/>
      <c r="AD43" s="1203"/>
      <c r="AE43" s="13"/>
      <c r="AF43" s="1203" t="str">
        <f t="shared" ref="AF43:AG43" si="120">B43</f>
        <v>Ptotal</v>
      </c>
      <c r="AG43" s="1207">
        <f t="shared" si="120"/>
        <v>1350</v>
      </c>
      <c r="AH43" s="1203"/>
      <c r="AI43" s="1203"/>
      <c r="AJ43" s="13"/>
      <c r="AK43" s="1238" t="str">
        <f t="shared" ref="AK43:AL43" si="121">B43</f>
        <v>Ptotal</v>
      </c>
      <c r="AL43" s="1207">
        <f t="shared" si="121"/>
        <v>1350</v>
      </c>
      <c r="AM43" s="1209"/>
      <c r="AN43" s="1203"/>
      <c r="AO43" s="2"/>
      <c r="AP43" s="2"/>
      <c r="AQ43" s="2"/>
      <c r="AR43" s="2"/>
      <c r="AS43" s="2"/>
    </row>
    <row r="44" spans="1:45" ht="15.75" customHeight="1">
      <c r="A44" s="13"/>
      <c r="B44" s="1296" t="s">
        <v>301</v>
      </c>
      <c r="C44" s="1245"/>
      <c r="D44" s="1297"/>
      <c r="E44" s="1245"/>
      <c r="F44" s="1297"/>
      <c r="G44" s="1245"/>
      <c r="H44" s="1298"/>
      <c r="I44" s="1149"/>
      <c r="J44" s="1299" t="str">
        <f t="shared" ref="J44:K44" si="122">B44</f>
        <v>Rendement DCO</v>
      </c>
      <c r="K44" s="1299">
        <f t="shared" si="122"/>
        <v>0</v>
      </c>
      <c r="L44" s="1299"/>
      <c r="M44" s="1299"/>
      <c r="N44" s="1245"/>
      <c r="O44" s="1199"/>
      <c r="P44" s="1196"/>
      <c r="Q44" s="13"/>
      <c r="R44" s="1233" t="str">
        <f t="shared" ref="R44:S44" si="123">B44</f>
        <v>Rendement DCO</v>
      </c>
      <c r="S44" s="1234">
        <f t="shared" si="123"/>
        <v>0</v>
      </c>
      <c r="T44" s="1237">
        <v>100000</v>
      </c>
      <c r="U44" s="1237">
        <f t="shared" si="3"/>
        <v>200000</v>
      </c>
      <c r="V44" s="1233"/>
      <c r="W44" s="1255"/>
      <c r="X44" s="1233"/>
      <c r="Y44" s="13"/>
      <c r="Z44" s="1203" t="str">
        <f t="shared" ref="Z44:AA44" si="124">B44</f>
        <v>Rendement DCO</v>
      </c>
      <c r="AA44" s="1207">
        <f t="shared" si="124"/>
        <v>0</v>
      </c>
      <c r="AB44" s="1203"/>
      <c r="AC44" s="1203"/>
      <c r="AD44" s="1203"/>
      <c r="AE44" s="1149"/>
      <c r="AF44" s="1258" t="str">
        <f t="shared" ref="AF44:AG44" si="125">B44</f>
        <v>Rendement DCO</v>
      </c>
      <c r="AG44" s="1256">
        <f t="shared" si="125"/>
        <v>0</v>
      </c>
      <c r="AH44" s="1233">
        <v>95</v>
      </c>
      <c r="AI44" s="1233">
        <v>100000000</v>
      </c>
      <c r="AJ44" s="13"/>
      <c r="AK44" s="1238" t="str">
        <f t="shared" ref="AK44:AL44" si="126">B44</f>
        <v>Rendement DCO</v>
      </c>
      <c r="AL44" s="1207">
        <f t="shared" si="126"/>
        <v>0</v>
      </c>
      <c r="AM44" s="1209"/>
      <c r="AN44" s="1203"/>
      <c r="AO44" s="2"/>
      <c r="AP44" s="2"/>
      <c r="AQ44" s="2"/>
      <c r="AR44" s="2"/>
      <c r="AS44" s="2"/>
    </row>
    <row r="45" spans="1:45" ht="15.75" customHeight="1">
      <c r="A45" s="13"/>
      <c r="B45" s="1296" t="s">
        <v>302</v>
      </c>
      <c r="C45" s="1245"/>
      <c r="D45" s="1297"/>
      <c r="E45" s="1245"/>
      <c r="F45" s="1297"/>
      <c r="G45" s="1245"/>
      <c r="H45" s="1298"/>
      <c r="I45" s="13"/>
      <c r="J45" s="1299" t="str">
        <f t="shared" ref="J45:K45" si="127">B45</f>
        <v>Rendement MES</v>
      </c>
      <c r="K45" s="1299">
        <f t="shared" si="127"/>
        <v>0</v>
      </c>
      <c r="L45" s="1299"/>
      <c r="M45" s="1299"/>
      <c r="N45" s="1245"/>
      <c r="O45" s="1199"/>
      <c r="P45" s="1196"/>
      <c r="Q45" s="13"/>
      <c r="R45" s="1233" t="str">
        <f t="shared" ref="R45:S45" si="128">B45</f>
        <v>Rendement MES</v>
      </c>
      <c r="S45" s="1234">
        <f t="shared" si="128"/>
        <v>0</v>
      </c>
      <c r="T45" s="1237">
        <v>10000</v>
      </c>
      <c r="U45" s="1237">
        <f t="shared" si="3"/>
        <v>20000</v>
      </c>
      <c r="V45" s="1233"/>
      <c r="W45" s="1255"/>
      <c r="X45" s="1233"/>
      <c r="Y45" s="13"/>
      <c r="Z45" s="1203" t="str">
        <f t="shared" ref="Z45:AA45" si="129">B45</f>
        <v>Rendement MES</v>
      </c>
      <c r="AA45" s="1207">
        <f t="shared" si="129"/>
        <v>0</v>
      </c>
      <c r="AB45" s="1203"/>
      <c r="AC45" s="1203"/>
      <c r="AD45" s="1203"/>
      <c r="AE45" s="13"/>
      <c r="AF45" s="1258" t="str">
        <f t="shared" ref="AF45:AG45" si="130">B45</f>
        <v>Rendement MES</v>
      </c>
      <c r="AG45" s="1256">
        <f t="shared" si="130"/>
        <v>0</v>
      </c>
      <c r="AH45" s="1233">
        <v>98</v>
      </c>
      <c r="AI45" s="1233">
        <v>100000000</v>
      </c>
      <c r="AJ45" s="13"/>
      <c r="AK45" s="1238" t="str">
        <f t="shared" ref="AK45:AL45" si="131">B45</f>
        <v>Rendement MES</v>
      </c>
      <c r="AL45" s="1207">
        <f t="shared" si="131"/>
        <v>0</v>
      </c>
      <c r="AM45" s="1209"/>
      <c r="AN45" s="1203"/>
      <c r="AO45" s="2"/>
      <c r="AP45" s="2"/>
      <c r="AQ45" s="2"/>
      <c r="AR45" s="2"/>
      <c r="AS45" s="2"/>
    </row>
    <row r="46" spans="1:45" ht="15.75" customHeight="1">
      <c r="A46" s="13"/>
      <c r="B46" s="1296" t="s">
        <v>303</v>
      </c>
      <c r="C46" s="1245"/>
      <c r="D46" s="1297"/>
      <c r="E46" s="1245"/>
      <c r="F46" s="1297"/>
      <c r="G46" s="1245"/>
      <c r="H46" s="1298"/>
      <c r="I46" s="1149"/>
      <c r="J46" s="1230" t="str">
        <f t="shared" ref="J46:K46" si="132">B46</f>
        <v>Rendement Ptotal</v>
      </c>
      <c r="K46" s="1193">
        <f t="shared" si="132"/>
        <v>0</v>
      </c>
      <c r="L46" s="1193">
        <v>10000</v>
      </c>
      <c r="M46" s="1193">
        <f t="shared" ref="M46:M48" si="133">L46*2</f>
        <v>20000</v>
      </c>
      <c r="N46" s="1231"/>
      <c r="O46" s="1199"/>
      <c r="P46" s="1232"/>
      <c r="Q46" s="13"/>
      <c r="R46" s="1233" t="str">
        <f t="shared" ref="R46:S46" si="134">B46</f>
        <v>Rendement Ptotal</v>
      </c>
      <c r="S46" s="1234">
        <f t="shared" si="134"/>
        <v>0</v>
      </c>
      <c r="T46" s="1237">
        <v>10000</v>
      </c>
      <c r="U46" s="1237">
        <f t="shared" si="3"/>
        <v>20000</v>
      </c>
      <c r="V46" s="1233"/>
      <c r="W46" s="1255"/>
      <c r="X46" s="1233"/>
      <c r="Y46" s="13"/>
      <c r="Z46" s="1203" t="str">
        <f t="shared" ref="Z46:AA46" si="135">B46</f>
        <v>Rendement Ptotal</v>
      </c>
      <c r="AA46" s="1207">
        <f t="shared" si="135"/>
        <v>0</v>
      </c>
      <c r="AB46" s="1203"/>
      <c r="AC46" s="1203"/>
      <c r="AD46" s="1203"/>
      <c r="AE46" s="1149"/>
      <c r="AF46" s="1233" t="str">
        <f t="shared" ref="AF46:AG46" si="136">B46</f>
        <v>Rendement Ptotal</v>
      </c>
      <c r="AG46" s="1256">
        <f t="shared" si="136"/>
        <v>0</v>
      </c>
      <c r="AH46" s="1233">
        <v>99</v>
      </c>
      <c r="AI46" s="1233">
        <v>100000001</v>
      </c>
      <c r="AJ46" s="13"/>
      <c r="AK46" s="1238" t="str">
        <f t="shared" ref="AK46:AL46" si="137">B46</f>
        <v>Rendement Ptotal</v>
      </c>
      <c r="AL46" s="1207">
        <f t="shared" si="137"/>
        <v>0</v>
      </c>
      <c r="AM46" s="1209"/>
      <c r="AN46" s="1203"/>
      <c r="AO46" s="2"/>
      <c r="AP46" s="2"/>
      <c r="AQ46" s="2"/>
      <c r="AR46" s="2"/>
      <c r="AS46" s="2"/>
    </row>
    <row r="47" spans="1:45" ht="15.75" customHeight="1">
      <c r="A47" s="2"/>
      <c r="B47" s="1139" t="s">
        <v>338</v>
      </c>
      <c r="C47" s="1230"/>
      <c r="D47" s="1300"/>
      <c r="E47" s="1193">
        <f t="shared" ref="E47:E52" si="138">IF(D47="",,D47*2)</f>
        <v>0</v>
      </c>
      <c r="F47" s="1301"/>
      <c r="G47" s="1299"/>
      <c r="H47" s="1275"/>
      <c r="I47" s="13"/>
      <c r="J47" s="1230" t="str">
        <f t="shared" ref="J47:K47" si="139">B47</f>
        <v>Somme total métaux</v>
      </c>
      <c r="K47" s="1193">
        <f t="shared" si="139"/>
        <v>0</v>
      </c>
      <c r="L47" s="1193">
        <v>100000</v>
      </c>
      <c r="M47" s="1193">
        <f t="shared" si="133"/>
        <v>200000</v>
      </c>
      <c r="N47" s="1231"/>
      <c r="O47" s="1199"/>
      <c r="P47" s="1232"/>
      <c r="Q47" s="13"/>
      <c r="R47" s="1233" t="str">
        <f t="shared" ref="R47:S47" si="140">B47</f>
        <v>Somme total métaux</v>
      </c>
      <c r="S47" s="1234">
        <f t="shared" si="140"/>
        <v>0</v>
      </c>
      <c r="T47" s="1258">
        <v>15</v>
      </c>
      <c r="U47" s="1258">
        <f t="shared" si="3"/>
        <v>30</v>
      </c>
      <c r="V47" s="1237"/>
      <c r="W47" s="1214"/>
      <c r="X47" s="1237"/>
      <c r="Y47" s="13"/>
      <c r="Z47" s="1203" t="str">
        <f t="shared" ref="Z47:AA47" si="141">B47</f>
        <v>Somme total métaux</v>
      </c>
      <c r="AA47" s="1207">
        <f t="shared" si="141"/>
        <v>0</v>
      </c>
      <c r="AB47" s="1203"/>
      <c r="AC47" s="1203"/>
      <c r="AD47" s="1203"/>
      <c r="AE47" s="13"/>
      <c r="AF47" s="1203" t="str">
        <f t="shared" ref="AF47:AG47" si="142">B47</f>
        <v>Somme total métaux</v>
      </c>
      <c r="AG47" s="1207">
        <f t="shared" si="142"/>
        <v>0</v>
      </c>
      <c r="AH47" s="1203"/>
      <c r="AI47" s="1203"/>
      <c r="AJ47" s="13"/>
      <c r="AK47" s="1238" t="str">
        <f t="shared" ref="AK47:AL47" si="143">B47</f>
        <v>Somme total métaux</v>
      </c>
      <c r="AL47" s="1207">
        <f t="shared" si="143"/>
        <v>0</v>
      </c>
      <c r="AM47" s="1209"/>
      <c r="AN47" s="1203"/>
      <c r="AO47" s="2"/>
      <c r="AP47" s="2"/>
      <c r="AQ47" s="2"/>
      <c r="AR47" s="2"/>
      <c r="AS47" s="2"/>
    </row>
    <row r="48" spans="1:45" ht="15.75" customHeight="1">
      <c r="A48" s="2"/>
      <c r="B48" s="1139" t="s">
        <v>339</v>
      </c>
      <c r="C48" s="1193">
        <v>6484</v>
      </c>
      <c r="D48" s="1300">
        <v>30</v>
      </c>
      <c r="E48" s="1193">
        <f t="shared" si="138"/>
        <v>60</v>
      </c>
      <c r="F48" s="1301"/>
      <c r="G48" s="1299"/>
      <c r="H48" s="1275"/>
      <c r="I48" s="1149"/>
      <c r="J48" s="1230" t="str">
        <f t="shared" ref="J48:K48" si="144">B48</f>
        <v>température</v>
      </c>
      <c r="K48" s="1193">
        <f t="shared" si="144"/>
        <v>6484</v>
      </c>
      <c r="L48" s="1193">
        <v>10000</v>
      </c>
      <c r="M48" s="1193">
        <f t="shared" si="133"/>
        <v>20000</v>
      </c>
      <c r="N48" s="1231"/>
      <c r="O48" s="1199"/>
      <c r="P48" s="1232"/>
      <c r="Q48" s="13"/>
      <c r="R48" s="1233" t="str">
        <f t="shared" ref="R48:S48" si="145">B48</f>
        <v>température</v>
      </c>
      <c r="S48" s="1234">
        <f t="shared" si="145"/>
        <v>6484</v>
      </c>
      <c r="T48" s="1233">
        <v>100000000</v>
      </c>
      <c r="U48" s="1233">
        <f t="shared" si="3"/>
        <v>200000000</v>
      </c>
      <c r="V48" s="1233"/>
      <c r="W48" s="1255"/>
      <c r="X48" s="1233"/>
      <c r="Y48" s="13"/>
      <c r="Z48" s="1203" t="str">
        <f t="shared" ref="Z48:AA48" si="146">B48</f>
        <v>température</v>
      </c>
      <c r="AA48" s="1207">
        <f t="shared" si="146"/>
        <v>6484</v>
      </c>
      <c r="AB48" s="1203"/>
      <c r="AC48" s="1203"/>
      <c r="AD48" s="1203"/>
      <c r="AE48" s="1149"/>
      <c r="AF48" s="1203" t="str">
        <f t="shared" ref="AF48:AG48" si="147">B48</f>
        <v>température</v>
      </c>
      <c r="AG48" s="1207">
        <f t="shared" si="147"/>
        <v>6484</v>
      </c>
      <c r="AH48" s="1203"/>
      <c r="AI48" s="1203"/>
      <c r="AJ48" s="13"/>
      <c r="AK48" s="1238" t="str">
        <f t="shared" ref="AK48:AL48" si="148">B48</f>
        <v>température</v>
      </c>
      <c r="AL48" s="1207">
        <f t="shared" si="148"/>
        <v>6484</v>
      </c>
      <c r="AM48" s="1209"/>
      <c r="AN48" s="1203"/>
      <c r="AO48" s="2"/>
      <c r="AP48" s="2"/>
      <c r="AQ48" s="2"/>
      <c r="AR48" s="2"/>
      <c r="AS48" s="2"/>
    </row>
    <row r="49" spans="1:45" ht="15.75" customHeight="1">
      <c r="B49" s="1302" t="s">
        <v>287</v>
      </c>
      <c r="C49" s="1193">
        <v>2879</v>
      </c>
      <c r="D49" s="1194">
        <v>1000000</v>
      </c>
      <c r="E49" s="1193">
        <f t="shared" si="138"/>
        <v>2000000</v>
      </c>
      <c r="F49" s="1194">
        <v>1000000</v>
      </c>
      <c r="G49" s="1195"/>
      <c r="H49" s="1196"/>
      <c r="I49" s="13"/>
      <c r="J49" s="1244"/>
      <c r="K49" s="1245"/>
      <c r="L49" s="1297"/>
      <c r="M49" s="1245"/>
      <c r="N49" s="1297"/>
      <c r="O49" s="1199"/>
      <c r="P49" s="1200"/>
      <c r="Q49" s="13"/>
      <c r="R49" s="1246"/>
      <c r="S49" s="1202"/>
      <c r="T49" s="1203"/>
      <c r="U49" s="1203">
        <f t="shared" si="3"/>
        <v>0</v>
      </c>
      <c r="V49" s="1203"/>
      <c r="W49" s="1204"/>
      <c r="X49" s="1203"/>
      <c r="Y49" s="13"/>
      <c r="Z49" s="1246"/>
      <c r="AA49" s="1207"/>
      <c r="AB49" s="1203"/>
      <c r="AC49" s="1203"/>
      <c r="AD49" s="1203"/>
      <c r="AE49" s="13"/>
      <c r="AF49" s="1246"/>
      <c r="AG49" s="1207"/>
      <c r="AH49" s="1203"/>
      <c r="AI49" s="1203"/>
      <c r="AJ49" s="13"/>
      <c r="AK49" s="1246"/>
      <c r="AL49" s="1207"/>
      <c r="AM49" s="1209"/>
      <c r="AN49" s="1303"/>
      <c r="AO49" s="2"/>
      <c r="AP49" s="2"/>
      <c r="AQ49" s="2"/>
      <c r="AR49" s="2"/>
      <c r="AS49" s="2"/>
    </row>
    <row r="50" spans="1:45" ht="15.75" customHeight="1">
      <c r="B50" s="1302" t="s">
        <v>24</v>
      </c>
      <c r="C50" s="1193">
        <v>1278</v>
      </c>
      <c r="D50" s="1194">
        <v>4</v>
      </c>
      <c r="E50" s="1193">
        <f t="shared" si="138"/>
        <v>8</v>
      </c>
      <c r="F50" s="1221">
        <v>12</v>
      </c>
      <c r="G50" s="1195"/>
      <c r="H50" s="1196">
        <v>2</v>
      </c>
      <c r="I50" s="13"/>
      <c r="J50" s="1244" t="s">
        <v>24</v>
      </c>
      <c r="K50" s="1245">
        <f t="shared" ref="K50:K51" si="149">C50</f>
        <v>1278</v>
      </c>
      <c r="L50" s="1297"/>
      <c r="M50" s="1245"/>
      <c r="N50" s="1297"/>
      <c r="O50" s="1199"/>
      <c r="P50" s="1200"/>
      <c r="Q50" s="13"/>
      <c r="R50" s="1304" t="s">
        <v>24</v>
      </c>
      <c r="S50" s="1202">
        <f t="shared" ref="S50:S52" si="150">C50</f>
        <v>1278</v>
      </c>
      <c r="T50" s="1203"/>
      <c r="U50" s="1203">
        <f t="shared" si="3"/>
        <v>0</v>
      </c>
      <c r="V50" s="1203"/>
      <c r="W50" s="1204"/>
      <c r="X50" s="1203"/>
      <c r="Y50" s="13"/>
      <c r="Z50" s="1246" t="s">
        <v>24</v>
      </c>
      <c r="AA50" s="1207">
        <f t="shared" ref="AA50:AA52" si="151">C50</f>
        <v>1278</v>
      </c>
      <c r="AB50" s="1203"/>
      <c r="AC50" s="1203"/>
      <c r="AD50" s="1203"/>
      <c r="AE50" s="13"/>
      <c r="AF50" s="1304" t="s">
        <v>24</v>
      </c>
      <c r="AG50" s="1207">
        <f t="shared" ref="AG50:AG52" si="152">C50</f>
        <v>1278</v>
      </c>
      <c r="AH50" s="1203"/>
      <c r="AI50" s="1203"/>
      <c r="AJ50" s="13"/>
      <c r="AK50" s="1246" t="s">
        <v>24</v>
      </c>
      <c r="AL50" s="1207">
        <f t="shared" ref="AL50:AL52" si="153">C50</f>
        <v>1278</v>
      </c>
      <c r="AM50" s="1209"/>
      <c r="AN50" s="1303"/>
      <c r="AO50" s="2"/>
      <c r="AP50" s="2"/>
      <c r="AQ50" s="2"/>
      <c r="AR50" s="2"/>
      <c r="AS50" s="2"/>
    </row>
    <row r="51" spans="1:45" ht="15.75" customHeight="1">
      <c r="B51" s="1302" t="s">
        <v>25</v>
      </c>
      <c r="C51" s="1193">
        <v>1780</v>
      </c>
      <c r="D51" s="1194">
        <v>1.5</v>
      </c>
      <c r="E51" s="1193">
        <f t="shared" si="138"/>
        <v>3</v>
      </c>
      <c r="F51" s="1194">
        <v>4.7</v>
      </c>
      <c r="G51" s="1195"/>
      <c r="H51" s="1196">
        <v>2</v>
      </c>
      <c r="I51" s="13"/>
      <c r="J51" s="1244" t="s">
        <v>25</v>
      </c>
      <c r="K51" s="1245">
        <f t="shared" si="149"/>
        <v>1780</v>
      </c>
      <c r="L51" s="1297"/>
      <c r="M51" s="1245"/>
      <c r="N51" s="1297"/>
      <c r="O51" s="1199"/>
      <c r="P51" s="1200"/>
      <c r="Q51" s="13"/>
      <c r="R51" s="1304" t="s">
        <v>25</v>
      </c>
      <c r="S51" s="1202">
        <f t="shared" si="150"/>
        <v>1780</v>
      </c>
      <c r="T51" s="1203"/>
      <c r="U51" s="1203">
        <f t="shared" si="3"/>
        <v>0</v>
      </c>
      <c r="V51" s="1203"/>
      <c r="W51" s="1204"/>
      <c r="X51" s="1203"/>
      <c r="Y51" s="13"/>
      <c r="Z51" s="1246" t="s">
        <v>25</v>
      </c>
      <c r="AA51" s="1207">
        <f t="shared" si="151"/>
        <v>1780</v>
      </c>
      <c r="AB51" s="1203"/>
      <c r="AC51" s="1203"/>
      <c r="AD51" s="1203"/>
      <c r="AE51" s="13"/>
      <c r="AF51" s="1304" t="s">
        <v>25</v>
      </c>
      <c r="AG51" s="1207">
        <f t="shared" si="152"/>
        <v>1780</v>
      </c>
      <c r="AH51" s="1203"/>
      <c r="AI51" s="1203"/>
      <c r="AJ51" s="13"/>
      <c r="AK51" s="1246" t="s">
        <v>25</v>
      </c>
      <c r="AL51" s="1207">
        <f t="shared" si="153"/>
        <v>1780</v>
      </c>
      <c r="AM51" s="1209"/>
      <c r="AN51" s="1303"/>
      <c r="AO51" s="2"/>
      <c r="AP51" s="2"/>
      <c r="AQ51" s="2"/>
      <c r="AR51" s="2"/>
      <c r="AS51" s="2"/>
    </row>
    <row r="52" spans="1:45" ht="15.75" customHeight="1">
      <c r="A52" s="2"/>
      <c r="B52" s="1305" t="s">
        <v>47</v>
      </c>
      <c r="C52" s="1306">
        <v>1383</v>
      </c>
      <c r="D52" s="1307">
        <v>2</v>
      </c>
      <c r="E52" s="1306">
        <f t="shared" si="138"/>
        <v>4</v>
      </c>
      <c r="F52" s="1308">
        <v>6</v>
      </c>
      <c r="G52" s="1309">
        <v>4</v>
      </c>
      <c r="H52" s="1310" t="s">
        <v>334</v>
      </c>
      <c r="I52" s="1149"/>
      <c r="J52" s="1311" t="str">
        <f t="shared" ref="J52:K52" si="154">B52</f>
        <v>Zinc</v>
      </c>
      <c r="K52" s="1312">
        <f t="shared" si="154"/>
        <v>1383</v>
      </c>
      <c r="L52" s="1312">
        <v>90</v>
      </c>
      <c r="M52" s="1306">
        <f>L52*2</f>
        <v>180</v>
      </c>
      <c r="N52" s="1314"/>
      <c r="O52" s="1316"/>
      <c r="P52" s="1310" t="s">
        <v>334</v>
      </c>
      <c r="Q52" s="13"/>
      <c r="R52" s="1318" t="s">
        <v>47</v>
      </c>
      <c r="S52" s="1319">
        <f t="shared" si="150"/>
        <v>1383</v>
      </c>
      <c r="T52" s="1320">
        <v>0.64</v>
      </c>
      <c r="U52" s="1320">
        <f t="shared" si="3"/>
        <v>1.28</v>
      </c>
      <c r="V52" s="1320"/>
      <c r="W52" s="1322"/>
      <c r="X52" s="1320" t="s">
        <v>334</v>
      </c>
      <c r="Y52" s="13"/>
      <c r="Z52" s="1323" t="s">
        <v>47</v>
      </c>
      <c r="AA52" s="1324">
        <f t="shared" si="151"/>
        <v>1383</v>
      </c>
      <c r="AB52" s="1325"/>
      <c r="AC52" s="1325"/>
      <c r="AD52" s="1325"/>
      <c r="AE52" s="1149"/>
      <c r="AF52" s="1326" t="s">
        <v>47</v>
      </c>
      <c r="AG52" s="1324">
        <f t="shared" si="152"/>
        <v>1383</v>
      </c>
      <c r="AH52" s="1325"/>
      <c r="AI52" s="1325"/>
      <c r="AJ52" s="13"/>
      <c r="AK52" s="1323" t="s">
        <v>47</v>
      </c>
      <c r="AL52" s="1324">
        <f t="shared" si="153"/>
        <v>1383</v>
      </c>
      <c r="AM52" s="1327"/>
      <c r="AN52" s="1325"/>
      <c r="AO52" s="2"/>
      <c r="AP52" s="2"/>
      <c r="AQ52" s="2"/>
      <c r="AR52" s="2"/>
      <c r="AS52" s="2"/>
    </row>
    <row r="53" spans="1:45" ht="15.75" customHeight="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</row>
    <row r="54" spans="1:45" ht="15.75" customHeight="1">
      <c r="B54" s="1568" t="s">
        <v>340</v>
      </c>
      <c r="C54" s="1410"/>
      <c r="D54" s="1410"/>
      <c r="E54" s="1410"/>
      <c r="F54" s="1410"/>
      <c r="G54" s="1410"/>
      <c r="H54" s="1410"/>
      <c r="M54" s="2"/>
      <c r="N54" s="2"/>
      <c r="O54" s="2"/>
      <c r="P54" s="2"/>
      <c r="R54" s="1560" t="s">
        <v>341</v>
      </c>
      <c r="S54" s="1410"/>
      <c r="T54" s="1410"/>
      <c r="U54" s="1410"/>
      <c r="V54" s="1410"/>
      <c r="W54" s="1410"/>
      <c r="X54" s="1410"/>
      <c r="AC54" s="2"/>
      <c r="AI54" s="2"/>
      <c r="AN54" s="2"/>
      <c r="AO54" s="2"/>
      <c r="AP54" s="2"/>
      <c r="AQ54" s="2"/>
      <c r="AR54" s="2"/>
      <c r="AS54" s="2"/>
    </row>
    <row r="55" spans="1:45" ht="15.75" customHeight="1">
      <c r="B55" s="1410"/>
      <c r="C55" s="1410"/>
      <c r="D55" s="1410"/>
      <c r="E55" s="1410"/>
      <c r="F55" s="1410"/>
      <c r="G55" s="1410"/>
      <c r="H55" s="1410"/>
      <c r="M55" s="2"/>
      <c r="N55" s="2"/>
      <c r="O55" s="2"/>
      <c r="P55" s="2"/>
      <c r="R55" s="1410"/>
      <c r="S55" s="1410"/>
      <c r="T55" s="1410"/>
      <c r="U55" s="1410"/>
      <c r="V55" s="1410"/>
      <c r="W55" s="1410"/>
      <c r="X55" s="1410"/>
      <c r="AC55" s="2"/>
      <c r="AI55" s="2"/>
      <c r="AN55" s="2"/>
      <c r="AO55" s="2"/>
      <c r="AP55" s="2"/>
      <c r="AQ55" s="2"/>
      <c r="AR55" s="2"/>
      <c r="AS55" s="2"/>
    </row>
    <row r="56" spans="1:45" ht="15.75" customHeight="1">
      <c r="B56" s="1410"/>
      <c r="C56" s="1410"/>
      <c r="D56" s="1410"/>
      <c r="E56" s="1410"/>
      <c r="F56" s="1410"/>
      <c r="G56" s="1410"/>
      <c r="H56" s="1410"/>
      <c r="M56" s="2"/>
      <c r="N56" s="2"/>
      <c r="O56" s="2"/>
      <c r="P56" s="2"/>
      <c r="R56" s="1410"/>
      <c r="S56" s="1410"/>
      <c r="T56" s="1410"/>
      <c r="U56" s="1410"/>
      <c r="V56" s="1410"/>
      <c r="W56" s="1410"/>
      <c r="X56" s="1410"/>
      <c r="AC56" s="2"/>
      <c r="AI56" s="2"/>
      <c r="AN56" s="2"/>
      <c r="AO56" s="2"/>
      <c r="AP56" s="2"/>
      <c r="AQ56" s="2"/>
      <c r="AR56" s="2"/>
      <c r="AS56" s="2"/>
    </row>
    <row r="57" spans="1:45" ht="15.75" customHeight="1">
      <c r="A57" s="13"/>
      <c r="B57" s="1410"/>
      <c r="C57" s="1410"/>
      <c r="D57" s="1410"/>
      <c r="E57" s="1410"/>
      <c r="F57" s="1410"/>
      <c r="G57" s="1410"/>
      <c r="H57" s="1410"/>
      <c r="I57" s="13"/>
      <c r="J57" s="13"/>
      <c r="K57" s="13"/>
      <c r="L57" s="13"/>
      <c r="M57" s="13"/>
      <c r="N57" s="13"/>
      <c r="O57" s="13"/>
      <c r="P57" s="13"/>
      <c r="Q57" s="13"/>
      <c r="R57" s="1410"/>
      <c r="S57" s="1410"/>
      <c r="T57" s="1410"/>
      <c r="U57" s="1410"/>
      <c r="V57" s="1410"/>
      <c r="W57" s="1410"/>
      <c r="X57" s="1410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2"/>
      <c r="AP57" s="2"/>
      <c r="AQ57" s="2"/>
      <c r="AR57" s="2"/>
      <c r="AS57" s="2"/>
    </row>
    <row r="58" spans="1:45" ht="15.75" customHeight="1">
      <c r="B58" s="1410"/>
      <c r="C58" s="1410"/>
      <c r="D58" s="1410"/>
      <c r="E58" s="1410"/>
      <c r="F58" s="1410"/>
      <c r="G58" s="1410"/>
      <c r="H58" s="1410"/>
      <c r="M58" s="2"/>
      <c r="N58" s="2"/>
      <c r="O58" s="2"/>
      <c r="P58" s="2"/>
      <c r="R58" s="1410"/>
      <c r="S58" s="1410"/>
      <c r="T58" s="1410"/>
      <c r="U58" s="1410"/>
      <c r="V58" s="1410"/>
      <c r="W58" s="1410"/>
      <c r="X58" s="1410"/>
      <c r="AC58" s="2"/>
      <c r="AI58" s="2"/>
      <c r="AN58" s="2"/>
      <c r="AO58" s="2"/>
      <c r="AP58" s="2"/>
      <c r="AQ58" s="2"/>
      <c r="AR58" s="2"/>
      <c r="AS58" s="2"/>
    </row>
    <row r="59" spans="1:45" ht="15.75" customHeight="1">
      <c r="B59" s="1410"/>
      <c r="C59" s="1410"/>
      <c r="D59" s="1410"/>
      <c r="E59" s="1410"/>
      <c r="F59" s="1410"/>
      <c r="G59" s="1410"/>
      <c r="H59" s="1410"/>
      <c r="M59" s="2"/>
      <c r="N59" s="2"/>
      <c r="O59" s="2"/>
      <c r="P59" s="2"/>
      <c r="R59" s="1410"/>
      <c r="S59" s="1410"/>
      <c r="T59" s="1410"/>
      <c r="U59" s="1410"/>
      <c r="V59" s="1410"/>
      <c r="W59" s="1410"/>
      <c r="X59" s="1410"/>
      <c r="AC59" s="2"/>
      <c r="AI59" s="2"/>
      <c r="AN59" s="2"/>
      <c r="AO59" s="2"/>
      <c r="AP59" s="2"/>
      <c r="AQ59" s="2"/>
      <c r="AR59" s="2"/>
      <c r="AS59" s="2"/>
    </row>
    <row r="60" spans="1:45" ht="15.75" customHeight="1">
      <c r="B60" s="1410"/>
      <c r="C60" s="1410"/>
      <c r="D60" s="1410"/>
      <c r="E60" s="1410"/>
      <c r="F60" s="1410"/>
      <c r="G60" s="1410"/>
      <c r="H60" s="1410"/>
      <c r="M60" s="2"/>
      <c r="N60" s="2"/>
      <c r="O60" s="2"/>
      <c r="P60" s="2"/>
      <c r="R60" s="1410"/>
      <c r="S60" s="1410"/>
      <c r="T60" s="1410"/>
      <c r="U60" s="1410"/>
      <c r="V60" s="1410"/>
      <c r="W60" s="1410"/>
      <c r="X60" s="1410"/>
      <c r="AC60" s="2"/>
      <c r="AI60" s="2"/>
      <c r="AN60" s="2"/>
      <c r="AO60" s="2"/>
      <c r="AP60" s="2"/>
      <c r="AQ60" s="2"/>
      <c r="AR60" s="2"/>
      <c r="AS60" s="2"/>
    </row>
    <row r="61" spans="1:45" ht="15.75" customHeight="1">
      <c r="B61" s="1410"/>
      <c r="C61" s="1410"/>
      <c r="D61" s="1410"/>
      <c r="E61" s="1410"/>
      <c r="F61" s="1410"/>
      <c r="G61" s="1410"/>
      <c r="H61" s="1410"/>
      <c r="M61" s="2"/>
      <c r="N61" s="2"/>
      <c r="O61" s="2"/>
      <c r="P61" s="2"/>
      <c r="R61" s="1410"/>
      <c r="S61" s="1410"/>
      <c r="T61" s="1410"/>
      <c r="U61" s="1410"/>
      <c r="V61" s="1410"/>
      <c r="W61" s="1410"/>
      <c r="X61" s="1410"/>
      <c r="AC61" s="2"/>
      <c r="AI61" s="2"/>
      <c r="AN61" s="2"/>
      <c r="AO61" s="2"/>
      <c r="AP61" s="2"/>
      <c r="AQ61" s="2"/>
      <c r="AR61" s="2"/>
      <c r="AS61" s="2"/>
    </row>
    <row r="62" spans="1:45" ht="15.75" customHeight="1">
      <c r="B62" s="1410"/>
      <c r="C62" s="1410"/>
      <c r="D62" s="1410"/>
      <c r="E62" s="1410"/>
      <c r="F62" s="1410"/>
      <c r="G62" s="1410"/>
      <c r="H62" s="1410"/>
      <c r="M62" s="2"/>
      <c r="N62" s="2"/>
      <c r="O62" s="2"/>
      <c r="P62" s="2"/>
      <c r="R62" s="1410"/>
      <c r="S62" s="1410"/>
      <c r="T62" s="1410"/>
      <c r="U62" s="1410"/>
      <c r="V62" s="1410"/>
      <c r="W62" s="1410"/>
      <c r="X62" s="1410"/>
      <c r="AC62" s="2"/>
      <c r="AI62" s="2"/>
      <c r="AN62" s="2"/>
      <c r="AO62" s="2"/>
      <c r="AP62" s="2"/>
      <c r="AQ62" s="2"/>
      <c r="AR62" s="2"/>
      <c r="AS62" s="2"/>
    </row>
    <row r="63" spans="1:45" ht="15.75" customHeight="1">
      <c r="B63" s="1410"/>
      <c r="C63" s="1410"/>
      <c r="D63" s="1410"/>
      <c r="E63" s="1410"/>
      <c r="F63" s="1410"/>
      <c r="G63" s="1410"/>
      <c r="H63" s="1410"/>
      <c r="M63" s="2"/>
      <c r="N63" s="2"/>
      <c r="O63" s="2"/>
      <c r="P63" s="2"/>
      <c r="R63" s="1410"/>
      <c r="S63" s="1410"/>
      <c r="T63" s="1410"/>
      <c r="U63" s="1410"/>
      <c r="V63" s="1410"/>
      <c r="W63" s="1410"/>
      <c r="X63" s="1410"/>
      <c r="AC63" s="2"/>
      <c r="AI63" s="2"/>
      <c r="AN63" s="2"/>
      <c r="AO63" s="2"/>
      <c r="AP63" s="2"/>
      <c r="AQ63" s="2"/>
      <c r="AR63" s="2"/>
      <c r="AS63" s="2"/>
    </row>
    <row r="64" spans="1:45" ht="15.75" customHeight="1">
      <c r="B64" s="1410"/>
      <c r="C64" s="1410"/>
      <c r="D64" s="1410"/>
      <c r="E64" s="1410"/>
      <c r="F64" s="1410"/>
      <c r="G64" s="1410"/>
      <c r="H64" s="1410"/>
      <c r="M64" s="2"/>
      <c r="N64" s="2"/>
      <c r="O64" s="2"/>
      <c r="P64" s="2"/>
      <c r="R64" s="1410"/>
      <c r="S64" s="1410"/>
      <c r="T64" s="1410"/>
      <c r="U64" s="1410"/>
      <c r="V64" s="1410"/>
      <c r="W64" s="1410"/>
      <c r="X64" s="1410"/>
      <c r="AC64" s="2"/>
      <c r="AI64" s="2"/>
      <c r="AN64" s="2"/>
      <c r="AO64" s="2"/>
      <c r="AP64" s="2"/>
      <c r="AQ64" s="2"/>
      <c r="AR64" s="2"/>
      <c r="AS64" s="2"/>
    </row>
    <row r="65" spans="2:45" ht="15.75" customHeight="1">
      <c r="B65" s="1410"/>
      <c r="C65" s="1410"/>
      <c r="D65" s="1410"/>
      <c r="E65" s="1410"/>
      <c r="F65" s="1410"/>
      <c r="G65" s="1410"/>
      <c r="H65" s="1410"/>
      <c r="M65" s="2"/>
      <c r="N65" s="2"/>
      <c r="O65" s="2"/>
      <c r="P65" s="2"/>
      <c r="R65" s="1410"/>
      <c r="S65" s="1410"/>
      <c r="T65" s="1410"/>
      <c r="U65" s="1410"/>
      <c r="V65" s="1410"/>
      <c r="W65" s="1410"/>
      <c r="X65" s="1410"/>
      <c r="AC65" s="2"/>
      <c r="AI65" s="2"/>
      <c r="AN65" s="2"/>
      <c r="AO65" s="2"/>
      <c r="AP65" s="2"/>
      <c r="AQ65" s="2"/>
      <c r="AR65" s="2"/>
      <c r="AS65" s="2"/>
    </row>
    <row r="66" spans="2:45" ht="15.75" customHeight="1">
      <c r="B66" s="1410"/>
      <c r="C66" s="1410"/>
      <c r="D66" s="1410"/>
      <c r="E66" s="1410"/>
      <c r="F66" s="1410"/>
      <c r="G66" s="1410"/>
      <c r="H66" s="1410"/>
      <c r="M66" s="2"/>
      <c r="N66" s="2"/>
      <c r="O66" s="2"/>
      <c r="P66" s="2"/>
      <c r="R66" s="1410"/>
      <c r="S66" s="1410"/>
      <c r="T66" s="1410"/>
      <c r="U66" s="1410"/>
      <c r="V66" s="1410"/>
      <c r="W66" s="1410"/>
      <c r="X66" s="1410"/>
      <c r="AC66" s="2"/>
      <c r="AI66" s="2"/>
      <c r="AN66" s="2"/>
      <c r="AO66" s="2"/>
      <c r="AP66" s="2"/>
      <c r="AQ66" s="2"/>
      <c r="AR66" s="2"/>
      <c r="AS66" s="2"/>
    </row>
    <row r="67" spans="2:45" ht="15.75" customHeight="1">
      <c r="B67" s="1410"/>
      <c r="C67" s="1410"/>
      <c r="D67" s="1410"/>
      <c r="E67" s="1410"/>
      <c r="F67" s="1410"/>
      <c r="G67" s="1410"/>
      <c r="H67" s="1410"/>
      <c r="M67" s="2"/>
      <c r="N67" s="2"/>
      <c r="O67" s="2"/>
      <c r="P67" s="2"/>
      <c r="R67" s="1410"/>
      <c r="S67" s="1410"/>
      <c r="T67" s="1410"/>
      <c r="U67" s="1410"/>
      <c r="V67" s="1410"/>
      <c r="W67" s="1410"/>
      <c r="X67" s="1410"/>
      <c r="AC67" s="2"/>
      <c r="AI67" s="2"/>
      <c r="AN67" s="2"/>
      <c r="AO67" s="2"/>
      <c r="AP67" s="2"/>
      <c r="AQ67" s="2"/>
      <c r="AR67" s="2"/>
      <c r="AS67" s="2"/>
    </row>
    <row r="68" spans="2:45" ht="15.75" customHeight="1">
      <c r="B68" s="1410"/>
      <c r="C68" s="1410"/>
      <c r="D68" s="1410"/>
      <c r="E68" s="1410"/>
      <c r="F68" s="1410"/>
      <c r="G68" s="1410"/>
      <c r="H68" s="1410"/>
      <c r="M68" s="2"/>
      <c r="N68" s="2"/>
      <c r="O68" s="2"/>
      <c r="P68" s="2"/>
      <c r="R68" s="1410"/>
      <c r="S68" s="1410"/>
      <c r="T68" s="1410"/>
      <c r="U68" s="1410"/>
      <c r="V68" s="1410"/>
      <c r="W68" s="1410"/>
      <c r="X68" s="1410"/>
      <c r="AC68" s="2"/>
      <c r="AI68" s="2"/>
      <c r="AN68" s="2"/>
      <c r="AO68" s="2"/>
      <c r="AP68" s="2"/>
      <c r="AQ68" s="2"/>
      <c r="AR68" s="2"/>
      <c r="AS68" s="2"/>
    </row>
    <row r="69" spans="2:45" ht="15.75" customHeight="1">
      <c r="B69" s="1410"/>
      <c r="C69" s="1410"/>
      <c r="D69" s="1410"/>
      <c r="E69" s="1410"/>
      <c r="F69" s="1410"/>
      <c r="G69" s="1410"/>
      <c r="H69" s="1410"/>
      <c r="M69" s="2"/>
      <c r="N69" s="2"/>
      <c r="O69" s="2"/>
      <c r="P69" s="2"/>
      <c r="R69" s="1410"/>
      <c r="S69" s="1410"/>
      <c r="T69" s="1410"/>
      <c r="U69" s="1410"/>
      <c r="V69" s="1410"/>
      <c r="W69" s="1410"/>
      <c r="X69" s="1410"/>
      <c r="AC69" s="2"/>
      <c r="AI69" s="2"/>
      <c r="AN69" s="2"/>
      <c r="AO69" s="2"/>
      <c r="AP69" s="2"/>
      <c r="AQ69" s="2"/>
      <c r="AR69" s="2"/>
      <c r="AS69" s="2"/>
    </row>
    <row r="70" spans="2:45" ht="15.75" customHeight="1">
      <c r="B70" s="1410"/>
      <c r="C70" s="1410"/>
      <c r="D70" s="1410"/>
      <c r="E70" s="1410"/>
      <c r="F70" s="1410"/>
      <c r="G70" s="1410"/>
      <c r="H70" s="1410"/>
      <c r="M70" s="2"/>
      <c r="N70" s="2"/>
      <c r="O70" s="2"/>
      <c r="P70" s="2"/>
      <c r="R70" s="1410"/>
      <c r="S70" s="1410"/>
      <c r="T70" s="1410"/>
      <c r="U70" s="1410"/>
      <c r="V70" s="1410"/>
      <c r="W70" s="1410"/>
      <c r="X70" s="1410"/>
      <c r="AC70" s="2"/>
      <c r="AI70" s="2"/>
      <c r="AN70" s="2"/>
      <c r="AO70" s="2"/>
      <c r="AP70" s="2"/>
      <c r="AQ70" s="2"/>
      <c r="AR70" s="2"/>
      <c r="AS70" s="2"/>
    </row>
    <row r="71" spans="2:45" ht="15.75" customHeight="1">
      <c r="B71" s="1410"/>
      <c r="C71" s="1410"/>
      <c r="D71" s="1410"/>
      <c r="E71" s="1410"/>
      <c r="F71" s="1410"/>
      <c r="G71" s="1410"/>
      <c r="H71" s="1410"/>
      <c r="M71" s="2"/>
      <c r="N71" s="2"/>
      <c r="O71" s="2"/>
      <c r="P71" s="2"/>
      <c r="R71" s="1410"/>
      <c r="S71" s="1410"/>
      <c r="T71" s="1410"/>
      <c r="U71" s="1410"/>
      <c r="V71" s="1410"/>
      <c r="W71" s="1410"/>
      <c r="X71" s="1410"/>
      <c r="AC71" s="2"/>
      <c r="AI71" s="2"/>
      <c r="AN71" s="2"/>
      <c r="AO71" s="2"/>
      <c r="AP71" s="2"/>
      <c r="AQ71" s="2"/>
      <c r="AR71" s="2"/>
      <c r="AS71" s="2"/>
    </row>
    <row r="72" spans="2:45" ht="15.75" customHeight="1">
      <c r="B72" s="1410"/>
      <c r="C72" s="1410"/>
      <c r="D72" s="1410"/>
      <c r="E72" s="1410"/>
      <c r="F72" s="1410"/>
      <c r="G72" s="1410"/>
      <c r="H72" s="1410"/>
      <c r="M72" s="2"/>
      <c r="N72" s="2"/>
      <c r="O72" s="2"/>
      <c r="P72" s="2"/>
      <c r="R72" s="1410"/>
      <c r="S72" s="1410"/>
      <c r="T72" s="1410"/>
      <c r="U72" s="1410"/>
      <c r="V72" s="1410"/>
      <c r="W72" s="1410"/>
      <c r="X72" s="1410"/>
      <c r="AC72" s="2"/>
      <c r="AI72" s="2"/>
      <c r="AN72" s="2"/>
      <c r="AO72" s="2"/>
      <c r="AP72" s="2"/>
      <c r="AQ72" s="2"/>
      <c r="AR72" s="2"/>
      <c r="AS72" s="2"/>
    </row>
    <row r="73" spans="2:45" ht="15.75" customHeight="1">
      <c r="B73" s="1410"/>
      <c r="C73" s="1410"/>
      <c r="D73" s="1410"/>
      <c r="E73" s="1410"/>
      <c r="F73" s="1410"/>
      <c r="G73" s="1410"/>
      <c r="H73" s="1410"/>
      <c r="M73" s="2"/>
      <c r="N73" s="2"/>
      <c r="O73" s="2"/>
      <c r="P73" s="2"/>
      <c r="R73" s="1410"/>
      <c r="S73" s="1410"/>
      <c r="T73" s="1410"/>
      <c r="U73" s="1410"/>
      <c r="V73" s="1410"/>
      <c r="W73" s="1410"/>
      <c r="X73" s="1410"/>
      <c r="AC73" s="2"/>
      <c r="AI73" s="2"/>
      <c r="AN73" s="2"/>
      <c r="AO73" s="2"/>
      <c r="AP73" s="2"/>
      <c r="AQ73" s="2"/>
      <c r="AR73" s="2"/>
      <c r="AS73" s="2"/>
    </row>
    <row r="74" spans="2:45" ht="15.75" customHeight="1">
      <c r="B74" s="1410"/>
      <c r="C74" s="1410"/>
      <c r="D74" s="1410"/>
      <c r="E74" s="1410"/>
      <c r="F74" s="1410"/>
      <c r="G74" s="1410"/>
      <c r="H74" s="1410"/>
      <c r="M74" s="2"/>
      <c r="N74" s="2"/>
      <c r="O74" s="2"/>
      <c r="P74" s="2"/>
      <c r="R74" s="1410"/>
      <c r="S74" s="1410"/>
      <c r="T74" s="1410"/>
      <c r="U74" s="1410"/>
      <c r="V74" s="1410"/>
      <c r="W74" s="1410"/>
      <c r="X74" s="1410"/>
      <c r="AC74" s="2"/>
      <c r="AI74" s="2"/>
      <c r="AN74" s="2"/>
      <c r="AO74" s="2"/>
      <c r="AP74" s="2"/>
      <c r="AQ74" s="2"/>
      <c r="AR74" s="2"/>
      <c r="AS74" s="2"/>
    </row>
    <row r="75" spans="2:45" ht="15.75" customHeight="1">
      <c r="B75" s="1410"/>
      <c r="C75" s="1410"/>
      <c r="D75" s="1410"/>
      <c r="E75" s="1410"/>
      <c r="F75" s="1410"/>
      <c r="G75" s="1410"/>
      <c r="H75" s="1410"/>
      <c r="M75" s="2"/>
      <c r="N75" s="2"/>
      <c r="O75" s="2"/>
      <c r="P75" s="2"/>
      <c r="R75" s="1410"/>
      <c r="S75" s="1410"/>
      <c r="T75" s="1410"/>
      <c r="U75" s="1410"/>
      <c r="V75" s="1410"/>
      <c r="W75" s="1410"/>
      <c r="X75" s="1410"/>
      <c r="AC75" s="2"/>
      <c r="AI75" s="2"/>
      <c r="AN75" s="2"/>
      <c r="AO75" s="2"/>
      <c r="AP75" s="2"/>
      <c r="AQ75" s="2"/>
      <c r="AR75" s="2"/>
      <c r="AS75" s="2"/>
    </row>
    <row r="76" spans="2:45" ht="15.75" customHeight="1">
      <c r="B76" s="1410"/>
      <c r="C76" s="1410"/>
      <c r="D76" s="1410"/>
      <c r="E76" s="1410"/>
      <c r="F76" s="1410"/>
      <c r="G76" s="1410"/>
      <c r="H76" s="1410"/>
      <c r="M76" s="2"/>
      <c r="N76" s="2"/>
      <c r="O76" s="2"/>
      <c r="P76" s="2"/>
      <c r="R76" s="1410"/>
      <c r="S76" s="1410"/>
      <c r="T76" s="1410"/>
      <c r="U76" s="1410"/>
      <c r="V76" s="1410"/>
      <c r="W76" s="1410"/>
      <c r="X76" s="1410"/>
      <c r="AC76" s="2"/>
      <c r="AI76" s="2"/>
      <c r="AN76" s="2"/>
      <c r="AO76" s="2"/>
      <c r="AP76" s="2"/>
      <c r="AQ76" s="2"/>
      <c r="AR76" s="2"/>
      <c r="AS76" s="2"/>
    </row>
    <row r="77" spans="2:45" ht="15.75" customHeight="1">
      <c r="B77" s="1410"/>
      <c r="C77" s="1410"/>
      <c r="D77" s="1410"/>
      <c r="E77" s="1410"/>
      <c r="F77" s="1410"/>
      <c r="G77" s="1410"/>
      <c r="H77" s="1410"/>
      <c r="M77" s="2"/>
      <c r="N77" s="2"/>
      <c r="O77" s="2"/>
      <c r="P77" s="2"/>
      <c r="R77" s="1410"/>
      <c r="S77" s="1410"/>
      <c r="T77" s="1410"/>
      <c r="U77" s="1410"/>
      <c r="V77" s="1410"/>
      <c r="W77" s="1410"/>
      <c r="X77" s="1410"/>
      <c r="AC77" s="2"/>
      <c r="AI77" s="2"/>
      <c r="AN77" s="2"/>
      <c r="AO77" s="2"/>
      <c r="AP77" s="2"/>
      <c r="AQ77" s="2"/>
      <c r="AR77" s="2"/>
      <c r="AS77" s="2"/>
    </row>
    <row r="78" spans="2:45" ht="15.75" customHeight="1">
      <c r="B78" s="1410"/>
      <c r="C78" s="1410"/>
      <c r="D78" s="1410"/>
      <c r="E78" s="1410"/>
      <c r="F78" s="1410"/>
      <c r="G78" s="1410"/>
      <c r="H78" s="1410"/>
      <c r="M78" s="2"/>
      <c r="N78" s="2"/>
      <c r="O78" s="2"/>
      <c r="P78" s="2"/>
      <c r="R78" s="1410"/>
      <c r="S78" s="1410"/>
      <c r="T78" s="1410"/>
      <c r="U78" s="1410"/>
      <c r="V78" s="1410"/>
      <c r="W78" s="1410"/>
      <c r="X78" s="1410"/>
      <c r="AC78" s="2"/>
      <c r="AI78" s="2"/>
      <c r="AN78" s="2"/>
      <c r="AO78" s="2"/>
      <c r="AP78" s="2"/>
      <c r="AQ78" s="2"/>
      <c r="AR78" s="2"/>
      <c r="AS78" s="2"/>
    </row>
    <row r="79" spans="2:45" ht="15.75" customHeight="1">
      <c r="B79" s="1410"/>
      <c r="C79" s="1410"/>
      <c r="D79" s="1410"/>
      <c r="E79" s="1410"/>
      <c r="F79" s="1410"/>
      <c r="G79" s="1410"/>
      <c r="H79" s="1410"/>
      <c r="M79" s="2"/>
      <c r="N79" s="2"/>
      <c r="O79" s="2"/>
      <c r="P79" s="2"/>
      <c r="R79" s="1410"/>
      <c r="S79" s="1410"/>
      <c r="T79" s="1410"/>
      <c r="U79" s="1410"/>
      <c r="V79" s="1410"/>
      <c r="W79" s="1410"/>
      <c r="X79" s="1410"/>
      <c r="AC79" s="2"/>
      <c r="AI79" s="2"/>
      <c r="AN79" s="2"/>
      <c r="AO79" s="2"/>
      <c r="AP79" s="2"/>
      <c r="AQ79" s="2"/>
      <c r="AR79" s="2"/>
      <c r="AS79" s="2"/>
    </row>
    <row r="80" spans="2:45" ht="15.75" customHeight="1">
      <c r="B80" s="1410"/>
      <c r="C80" s="1410"/>
      <c r="D80" s="1410"/>
      <c r="E80" s="1410"/>
      <c r="F80" s="1410"/>
      <c r="G80" s="1410"/>
      <c r="H80" s="1410"/>
      <c r="M80" s="2"/>
      <c r="N80" s="2"/>
      <c r="O80" s="2"/>
      <c r="P80" s="2"/>
      <c r="R80" s="1410"/>
      <c r="S80" s="1410"/>
      <c r="T80" s="1410"/>
      <c r="U80" s="1410"/>
      <c r="V80" s="1410"/>
      <c r="W80" s="1410"/>
      <c r="X80" s="1410"/>
      <c r="AC80" s="2"/>
      <c r="AI80" s="2"/>
      <c r="AN80" s="2"/>
      <c r="AO80" s="2"/>
      <c r="AP80" s="2"/>
      <c r="AQ80" s="2"/>
      <c r="AR80" s="2"/>
      <c r="AS80" s="2"/>
    </row>
    <row r="81" spans="2:45" ht="15.75" customHeight="1">
      <c r="B81" s="1410"/>
      <c r="C81" s="1410"/>
      <c r="D81" s="1410"/>
      <c r="E81" s="1410"/>
      <c r="F81" s="1410"/>
      <c r="G81" s="1410"/>
      <c r="H81" s="1410"/>
      <c r="M81" s="2"/>
      <c r="N81" s="2"/>
      <c r="O81" s="2"/>
      <c r="P81" s="2"/>
      <c r="R81" s="1410"/>
      <c r="S81" s="1410"/>
      <c r="T81" s="1410"/>
      <c r="U81" s="1410"/>
      <c r="V81" s="1410"/>
      <c r="W81" s="1410"/>
      <c r="X81" s="1410"/>
      <c r="AC81" s="2"/>
      <c r="AI81" s="2"/>
      <c r="AN81" s="2"/>
      <c r="AO81" s="2"/>
      <c r="AP81" s="2"/>
      <c r="AQ81" s="2"/>
      <c r="AR81" s="2"/>
      <c r="AS81" s="2"/>
    </row>
    <row r="82" spans="2:45" ht="15.75" customHeight="1">
      <c r="B82" s="1410"/>
      <c r="C82" s="1410"/>
      <c r="D82" s="1410"/>
      <c r="E82" s="1410"/>
      <c r="F82" s="1410"/>
      <c r="G82" s="1410"/>
      <c r="H82" s="1410"/>
      <c r="M82" s="2"/>
      <c r="N82" s="2"/>
      <c r="O82" s="2"/>
      <c r="P82" s="2"/>
      <c r="R82" s="1410"/>
      <c r="S82" s="1410"/>
      <c r="T82" s="1410"/>
      <c r="U82" s="1410"/>
      <c r="V82" s="1410"/>
      <c r="W82" s="1410"/>
      <c r="X82" s="1410"/>
      <c r="AC82" s="2"/>
      <c r="AI82" s="2"/>
      <c r="AN82" s="2"/>
      <c r="AO82" s="2"/>
      <c r="AP82" s="2"/>
      <c r="AQ82" s="2"/>
      <c r="AR82" s="2"/>
      <c r="AS82" s="2"/>
    </row>
    <row r="83" spans="2:45" ht="15.75" customHeight="1">
      <c r="B83" s="1410"/>
      <c r="C83" s="1410"/>
      <c r="D83" s="1410"/>
      <c r="E83" s="1410"/>
      <c r="F83" s="1410"/>
      <c r="G83" s="1410"/>
      <c r="H83" s="1410"/>
      <c r="M83" s="2"/>
      <c r="N83" s="2"/>
      <c r="O83" s="2"/>
      <c r="P83" s="2"/>
      <c r="R83" s="1410"/>
      <c r="S83" s="1410"/>
      <c r="T83" s="1410"/>
      <c r="U83" s="1410"/>
      <c r="V83" s="1410"/>
      <c r="W83" s="1410"/>
      <c r="X83" s="1410"/>
      <c r="AC83" s="2"/>
      <c r="AI83" s="2"/>
      <c r="AN83" s="2"/>
      <c r="AO83" s="2"/>
      <c r="AP83" s="2"/>
      <c r="AQ83" s="2"/>
      <c r="AR83" s="2"/>
      <c r="AS83" s="2"/>
    </row>
    <row r="84" spans="2:45" ht="15.75" customHeight="1">
      <c r="B84" s="1410"/>
      <c r="C84" s="1410"/>
      <c r="D84" s="1410"/>
      <c r="E84" s="1410"/>
      <c r="F84" s="1410"/>
      <c r="G84" s="1410"/>
      <c r="H84" s="1410"/>
      <c r="M84" s="2"/>
      <c r="N84" s="2"/>
      <c r="O84" s="2"/>
      <c r="P84" s="2"/>
      <c r="R84" s="1410"/>
      <c r="S84" s="1410"/>
      <c r="T84" s="1410"/>
      <c r="U84" s="1410"/>
      <c r="V84" s="1410"/>
      <c r="W84" s="1410"/>
      <c r="X84" s="1410"/>
      <c r="AC84" s="2"/>
      <c r="AI84" s="2"/>
      <c r="AN84" s="2"/>
      <c r="AO84" s="2"/>
      <c r="AP84" s="2"/>
      <c r="AQ84" s="2"/>
      <c r="AR84" s="2"/>
      <c r="AS84" s="2"/>
    </row>
    <row r="85" spans="2:45" ht="15.75" customHeight="1">
      <c r="B85" s="1410"/>
      <c r="C85" s="1410"/>
      <c r="D85" s="1410"/>
      <c r="E85" s="1410"/>
      <c r="F85" s="1410"/>
      <c r="G85" s="1410"/>
      <c r="H85" s="1410"/>
      <c r="M85" s="2"/>
      <c r="N85" s="2"/>
      <c r="O85" s="2"/>
      <c r="P85" s="2"/>
      <c r="R85" s="1410"/>
      <c r="S85" s="1410"/>
      <c r="T85" s="1410"/>
      <c r="U85" s="1410"/>
      <c r="V85" s="1410"/>
      <c r="W85" s="1410"/>
      <c r="X85" s="1410"/>
      <c r="AC85" s="2"/>
      <c r="AI85" s="2"/>
      <c r="AN85" s="2"/>
      <c r="AO85" s="2"/>
      <c r="AP85" s="2"/>
      <c r="AQ85" s="2"/>
      <c r="AR85" s="2"/>
      <c r="AS85" s="2"/>
    </row>
    <row r="86" spans="2:45" ht="15.75" customHeight="1">
      <c r="B86" s="1410"/>
      <c r="C86" s="1410"/>
      <c r="D86" s="1410"/>
      <c r="E86" s="1410"/>
      <c r="F86" s="1410"/>
      <c r="G86" s="1410"/>
      <c r="H86" s="1410"/>
      <c r="M86" s="2"/>
      <c r="N86" s="2"/>
      <c r="O86" s="2"/>
      <c r="P86" s="2"/>
      <c r="R86" s="1410"/>
      <c r="S86" s="1410"/>
      <c r="T86" s="1410"/>
      <c r="U86" s="1410"/>
      <c r="V86" s="1410"/>
      <c r="W86" s="1410"/>
      <c r="X86" s="1410"/>
      <c r="AC86" s="2"/>
      <c r="AI86" s="2"/>
      <c r="AN86" s="2"/>
      <c r="AO86" s="2"/>
      <c r="AP86" s="2"/>
      <c r="AQ86" s="2"/>
      <c r="AR86" s="2"/>
      <c r="AS86" s="2"/>
    </row>
    <row r="87" spans="2:45" ht="15.75" customHeight="1">
      <c r="B87" s="1410"/>
      <c r="C87" s="1410"/>
      <c r="D87" s="1410"/>
      <c r="E87" s="1410"/>
      <c r="F87" s="1410"/>
      <c r="G87" s="1410"/>
      <c r="H87" s="1410"/>
      <c r="M87" s="2"/>
      <c r="N87" s="2"/>
      <c r="O87" s="2"/>
      <c r="P87" s="2"/>
      <c r="R87" s="1410"/>
      <c r="S87" s="1410"/>
      <c r="T87" s="1410"/>
      <c r="U87" s="1410"/>
      <c r="V87" s="1410"/>
      <c r="W87" s="1410"/>
      <c r="X87" s="1410"/>
      <c r="AC87" s="2"/>
      <c r="AI87" s="2"/>
      <c r="AN87" s="2"/>
      <c r="AO87" s="2"/>
      <c r="AP87" s="2"/>
      <c r="AQ87" s="2"/>
      <c r="AR87" s="2"/>
      <c r="AS87" s="2"/>
    </row>
    <row r="88" spans="2:45" ht="15.75" customHeight="1">
      <c r="B88" s="1410"/>
      <c r="C88" s="1410"/>
      <c r="D88" s="1410"/>
      <c r="E88" s="1410"/>
      <c r="F88" s="1410"/>
      <c r="G88" s="1410"/>
      <c r="H88" s="1410"/>
      <c r="M88" s="2"/>
      <c r="N88" s="2"/>
      <c r="O88" s="2"/>
      <c r="P88" s="2"/>
      <c r="AC88" s="2"/>
      <c r="AI88" s="2"/>
      <c r="AN88" s="2"/>
      <c r="AO88" s="2"/>
      <c r="AP88" s="2"/>
      <c r="AQ88" s="2"/>
      <c r="AR88" s="2"/>
      <c r="AS88" s="2"/>
    </row>
    <row r="89" spans="2:45" ht="15.75" customHeight="1">
      <c r="B89" s="1410"/>
      <c r="C89" s="1410"/>
      <c r="D89" s="1410"/>
      <c r="E89" s="1410"/>
      <c r="F89" s="1410"/>
      <c r="G89" s="1410"/>
      <c r="H89" s="1410"/>
      <c r="M89" s="2"/>
      <c r="N89" s="2"/>
      <c r="O89" s="2"/>
      <c r="P89" s="2"/>
      <c r="AC89" s="2"/>
      <c r="AI89" s="2"/>
      <c r="AN89" s="2"/>
      <c r="AO89" s="2"/>
      <c r="AP89" s="2"/>
      <c r="AQ89" s="2"/>
      <c r="AR89" s="2"/>
      <c r="AS89" s="2"/>
    </row>
    <row r="90" spans="2:45" ht="15.75" customHeight="1">
      <c r="B90" s="1410"/>
      <c r="C90" s="1410"/>
      <c r="D90" s="1410"/>
      <c r="E90" s="1410"/>
      <c r="F90" s="1410"/>
      <c r="G90" s="1410"/>
      <c r="H90" s="1410"/>
      <c r="M90" s="2"/>
      <c r="N90" s="2"/>
      <c r="O90" s="2"/>
      <c r="P90" s="2"/>
      <c r="AC90" s="2"/>
      <c r="AI90" s="2"/>
      <c r="AN90" s="2"/>
      <c r="AO90" s="2"/>
      <c r="AP90" s="2"/>
      <c r="AQ90" s="2"/>
      <c r="AR90" s="2"/>
      <c r="AS90" s="2"/>
    </row>
    <row r="91" spans="2:45" ht="15.75" customHeight="1">
      <c r="B91" s="1410"/>
      <c r="C91" s="1410"/>
      <c r="D91" s="1410"/>
      <c r="E91" s="1410"/>
      <c r="F91" s="1410"/>
      <c r="G91" s="1410"/>
      <c r="H91" s="1410"/>
      <c r="M91" s="2"/>
      <c r="N91" s="2"/>
      <c r="O91" s="2"/>
      <c r="P91" s="2"/>
      <c r="AC91" s="2"/>
      <c r="AI91" s="2"/>
      <c r="AN91" s="2"/>
      <c r="AO91" s="2"/>
      <c r="AP91" s="2"/>
      <c r="AQ91" s="2"/>
      <c r="AR91" s="2"/>
      <c r="AS91" s="2"/>
    </row>
    <row r="92" spans="2:45" ht="15.75" customHeight="1">
      <c r="B92" s="1410"/>
      <c r="C92" s="1410"/>
      <c r="D92" s="1410"/>
      <c r="E92" s="1410"/>
      <c r="F92" s="1410"/>
      <c r="G92" s="1410"/>
      <c r="H92" s="1410"/>
      <c r="M92" s="2"/>
      <c r="N92" s="2"/>
      <c r="O92" s="2"/>
      <c r="P92" s="2"/>
      <c r="AC92" s="2"/>
      <c r="AI92" s="2"/>
      <c r="AN92" s="2"/>
      <c r="AO92" s="2"/>
      <c r="AP92" s="2"/>
      <c r="AQ92" s="2"/>
      <c r="AR92" s="2"/>
      <c r="AS92" s="2"/>
    </row>
    <row r="93" spans="2:45" ht="15.75" customHeight="1">
      <c r="B93" s="1410"/>
      <c r="C93" s="1410"/>
      <c r="D93" s="1410"/>
      <c r="E93" s="1410"/>
      <c r="F93" s="1410"/>
      <c r="G93" s="1410"/>
      <c r="H93" s="1410"/>
      <c r="M93" s="2"/>
      <c r="N93" s="2"/>
      <c r="O93" s="2"/>
      <c r="P93" s="2"/>
      <c r="AC93" s="2"/>
      <c r="AI93" s="2"/>
      <c r="AN93" s="2"/>
      <c r="AO93" s="2"/>
      <c r="AP93" s="2"/>
      <c r="AQ93" s="2"/>
      <c r="AR93" s="2"/>
      <c r="AS93" s="2"/>
    </row>
    <row r="94" spans="2:45" ht="15.75" customHeight="1">
      <c r="E94" s="2"/>
      <c r="F94" s="2"/>
      <c r="G94" s="2"/>
      <c r="M94" s="2"/>
      <c r="N94" s="2"/>
      <c r="O94" s="2"/>
      <c r="P94" s="2"/>
      <c r="AC94" s="2"/>
      <c r="AI94" s="2"/>
      <c r="AN94" s="2"/>
      <c r="AO94" s="2"/>
      <c r="AP94" s="2"/>
      <c r="AQ94" s="2"/>
      <c r="AR94" s="2"/>
      <c r="AS94" s="2"/>
    </row>
    <row r="95" spans="2:45" ht="15.75" customHeight="1">
      <c r="E95" s="2"/>
      <c r="F95" s="2"/>
      <c r="G95" s="2"/>
      <c r="M95" s="2"/>
      <c r="N95" s="2"/>
      <c r="O95" s="2"/>
      <c r="P95" s="2"/>
      <c r="AC95" s="2"/>
      <c r="AI95" s="2"/>
      <c r="AN95" s="2"/>
      <c r="AO95" s="2"/>
      <c r="AP95" s="2"/>
      <c r="AQ95" s="2"/>
      <c r="AR95" s="2"/>
      <c r="AS95" s="2"/>
    </row>
    <row r="96" spans="2:45" ht="15.75" customHeight="1">
      <c r="E96" s="2"/>
      <c r="F96" s="2"/>
      <c r="G96" s="2"/>
      <c r="M96" s="2"/>
      <c r="N96" s="2"/>
      <c r="O96" s="2"/>
      <c r="P96" s="2"/>
      <c r="AC96" s="2"/>
      <c r="AI96" s="2"/>
      <c r="AN96" s="2"/>
      <c r="AO96" s="2"/>
      <c r="AP96" s="2"/>
      <c r="AQ96" s="2"/>
      <c r="AR96" s="2"/>
      <c r="AS96" s="2"/>
    </row>
    <row r="97" spans="5:45" ht="15.75" customHeight="1">
      <c r="E97" s="2"/>
      <c r="F97" s="2"/>
      <c r="G97" s="2"/>
      <c r="M97" s="2"/>
      <c r="N97" s="2"/>
      <c r="O97" s="2"/>
      <c r="P97" s="2"/>
      <c r="AC97" s="2"/>
      <c r="AI97" s="2"/>
      <c r="AN97" s="2"/>
      <c r="AO97" s="2"/>
      <c r="AP97" s="2"/>
      <c r="AQ97" s="2"/>
      <c r="AR97" s="2"/>
      <c r="AS97" s="2"/>
    </row>
    <row r="98" spans="5:45" ht="15.75" customHeight="1">
      <c r="E98" s="2"/>
      <c r="F98" s="2"/>
      <c r="G98" s="2"/>
      <c r="M98" s="2"/>
      <c r="N98" s="2"/>
      <c r="O98" s="2"/>
      <c r="P98" s="2"/>
      <c r="AC98" s="2"/>
      <c r="AI98" s="2"/>
      <c r="AN98" s="2"/>
      <c r="AO98" s="2"/>
      <c r="AP98" s="2"/>
      <c r="AQ98" s="2"/>
      <c r="AR98" s="2"/>
      <c r="AS98" s="2"/>
    </row>
    <row r="99" spans="5:45" ht="15.75" customHeight="1">
      <c r="E99" s="2"/>
      <c r="F99" s="2"/>
      <c r="G99" s="2"/>
      <c r="M99" s="2"/>
      <c r="N99" s="2"/>
      <c r="O99" s="2"/>
      <c r="P99" s="2"/>
      <c r="AC99" s="2"/>
      <c r="AI99" s="2"/>
      <c r="AN99" s="2"/>
      <c r="AO99" s="2"/>
      <c r="AP99" s="2"/>
      <c r="AQ99" s="2"/>
      <c r="AR99" s="2"/>
      <c r="AS99" s="2"/>
    </row>
    <row r="100" spans="5:45" ht="15.75" customHeight="1">
      <c r="E100" s="2"/>
      <c r="F100" s="2"/>
      <c r="G100" s="2"/>
      <c r="M100" s="2"/>
      <c r="N100" s="2"/>
      <c r="O100" s="2"/>
      <c r="P100" s="2"/>
      <c r="AC100" s="2"/>
      <c r="AI100" s="2"/>
      <c r="AN100" s="2"/>
      <c r="AO100" s="2"/>
      <c r="AP100" s="2"/>
      <c r="AQ100" s="2"/>
      <c r="AR100" s="2"/>
      <c r="AS100" s="2"/>
    </row>
    <row r="101" spans="5:45" ht="15.75" customHeight="1">
      <c r="E101" s="2"/>
      <c r="F101" s="2"/>
      <c r="G101" s="2"/>
      <c r="M101" s="2"/>
      <c r="N101" s="2"/>
      <c r="O101" s="2"/>
      <c r="P101" s="2"/>
      <c r="AC101" s="2"/>
      <c r="AI101" s="2"/>
      <c r="AN101" s="2"/>
      <c r="AO101" s="2"/>
      <c r="AP101" s="2"/>
      <c r="AQ101" s="2"/>
      <c r="AR101" s="2"/>
      <c r="AS101" s="2"/>
    </row>
    <row r="102" spans="5:45" ht="15.75" customHeight="1">
      <c r="E102" s="2"/>
      <c r="F102" s="2"/>
      <c r="G102" s="2"/>
      <c r="M102" s="2"/>
      <c r="N102" s="2"/>
      <c r="O102" s="2"/>
      <c r="P102" s="2"/>
      <c r="AC102" s="2"/>
      <c r="AI102" s="2"/>
      <c r="AN102" s="2"/>
      <c r="AO102" s="2"/>
      <c r="AP102" s="2"/>
      <c r="AQ102" s="2"/>
      <c r="AR102" s="2"/>
      <c r="AS102" s="2"/>
    </row>
    <row r="103" spans="5:45" ht="15.75" customHeight="1">
      <c r="E103" s="2"/>
      <c r="F103" s="2"/>
      <c r="G103" s="2"/>
      <c r="M103" s="2"/>
      <c r="N103" s="2"/>
      <c r="O103" s="2"/>
      <c r="P103" s="2"/>
      <c r="AC103" s="2"/>
      <c r="AI103" s="2"/>
      <c r="AN103" s="2"/>
      <c r="AO103" s="2"/>
      <c r="AP103" s="2"/>
      <c r="AQ103" s="2"/>
      <c r="AR103" s="2"/>
      <c r="AS103" s="2"/>
    </row>
    <row r="104" spans="5:45" ht="15.75" customHeight="1">
      <c r="E104" s="2"/>
      <c r="F104" s="2"/>
      <c r="G104" s="2"/>
      <c r="M104" s="2"/>
      <c r="N104" s="2"/>
      <c r="O104" s="2"/>
      <c r="P104" s="2"/>
      <c r="AC104" s="2"/>
      <c r="AI104" s="2"/>
      <c r="AN104" s="2"/>
      <c r="AO104" s="2"/>
      <c r="AP104" s="2"/>
      <c r="AQ104" s="2"/>
      <c r="AR104" s="2"/>
      <c r="AS104" s="2"/>
    </row>
    <row r="105" spans="5:45" ht="15.75" customHeight="1">
      <c r="E105" s="2"/>
      <c r="F105" s="2"/>
      <c r="G105" s="2"/>
      <c r="M105" s="2"/>
      <c r="N105" s="2"/>
      <c r="O105" s="2"/>
      <c r="P105" s="2"/>
      <c r="AC105" s="2"/>
      <c r="AI105" s="2"/>
      <c r="AN105" s="2"/>
      <c r="AO105" s="2"/>
      <c r="AP105" s="2"/>
      <c r="AQ105" s="2"/>
      <c r="AR105" s="2"/>
      <c r="AS105" s="2"/>
    </row>
    <row r="106" spans="5:45" ht="15.75" customHeight="1">
      <c r="E106" s="2"/>
      <c r="F106" s="2"/>
      <c r="G106" s="2"/>
      <c r="M106" s="2"/>
      <c r="N106" s="2"/>
      <c r="O106" s="2"/>
      <c r="P106" s="2"/>
      <c r="U106" s="2"/>
      <c r="V106" s="2"/>
      <c r="W106" s="2"/>
      <c r="X106" s="2"/>
      <c r="AC106" s="2"/>
      <c r="AI106" s="2"/>
      <c r="AN106" s="2"/>
      <c r="AO106" s="2"/>
      <c r="AP106" s="2"/>
      <c r="AQ106" s="2"/>
      <c r="AR106" s="2"/>
      <c r="AS106" s="2"/>
    </row>
    <row r="107" spans="5:45" ht="15.75" customHeight="1">
      <c r="E107" s="2"/>
      <c r="F107" s="2"/>
      <c r="G107" s="2"/>
      <c r="M107" s="2"/>
      <c r="N107" s="2"/>
      <c r="O107" s="2"/>
      <c r="P107" s="2"/>
      <c r="U107" s="2"/>
      <c r="V107" s="2"/>
      <c r="W107" s="2"/>
      <c r="X107" s="2"/>
      <c r="AC107" s="2"/>
      <c r="AI107" s="2"/>
      <c r="AN107" s="2"/>
      <c r="AO107" s="2"/>
      <c r="AP107" s="2"/>
      <c r="AQ107" s="2"/>
      <c r="AR107" s="2"/>
      <c r="AS107" s="2"/>
    </row>
    <row r="108" spans="5:45" ht="15.75" customHeight="1">
      <c r="E108" s="2"/>
      <c r="F108" s="2"/>
      <c r="G108" s="2"/>
      <c r="M108" s="2"/>
      <c r="N108" s="2"/>
      <c r="O108" s="2"/>
      <c r="P108" s="2"/>
      <c r="U108" s="2"/>
      <c r="V108" s="2"/>
      <c r="W108" s="2"/>
      <c r="X108" s="2"/>
      <c r="AC108" s="2"/>
      <c r="AI108" s="2"/>
      <c r="AN108" s="2"/>
      <c r="AO108" s="2"/>
      <c r="AP108" s="2"/>
      <c r="AQ108" s="2"/>
      <c r="AR108" s="2"/>
      <c r="AS108" s="2"/>
    </row>
    <row r="109" spans="5:45" ht="15.75" customHeight="1">
      <c r="E109" s="2"/>
      <c r="F109" s="2"/>
      <c r="G109" s="2"/>
      <c r="M109" s="2"/>
      <c r="N109" s="2"/>
      <c r="O109" s="2"/>
      <c r="P109" s="2"/>
      <c r="U109" s="2"/>
      <c r="V109" s="2"/>
      <c r="W109" s="2"/>
      <c r="X109" s="2"/>
      <c r="AC109" s="2"/>
      <c r="AI109" s="2"/>
      <c r="AN109" s="2"/>
      <c r="AO109" s="2"/>
      <c r="AP109" s="2"/>
      <c r="AQ109" s="2"/>
      <c r="AR109" s="2"/>
      <c r="AS109" s="2"/>
    </row>
    <row r="110" spans="5:45" ht="15.75" customHeight="1">
      <c r="E110" s="2"/>
      <c r="F110" s="2"/>
      <c r="G110" s="2"/>
      <c r="M110" s="2"/>
      <c r="N110" s="2"/>
      <c r="O110" s="2"/>
      <c r="P110" s="2"/>
      <c r="U110" s="2"/>
      <c r="V110" s="2"/>
      <c r="W110" s="2"/>
      <c r="X110" s="2"/>
      <c r="AC110" s="2"/>
      <c r="AI110" s="2"/>
      <c r="AN110" s="2"/>
      <c r="AO110" s="2"/>
      <c r="AP110" s="2"/>
      <c r="AQ110" s="2"/>
      <c r="AR110" s="2"/>
      <c r="AS110" s="2"/>
    </row>
    <row r="111" spans="5:45" ht="15.75" customHeight="1">
      <c r="E111" s="2"/>
      <c r="F111" s="2"/>
      <c r="G111" s="2"/>
      <c r="M111" s="2"/>
      <c r="N111" s="2"/>
      <c r="O111" s="2"/>
      <c r="P111" s="2"/>
      <c r="U111" s="2"/>
      <c r="V111" s="2"/>
      <c r="W111" s="2"/>
      <c r="X111" s="2"/>
      <c r="AC111" s="2"/>
      <c r="AI111" s="2"/>
      <c r="AN111" s="2"/>
      <c r="AO111" s="2"/>
      <c r="AP111" s="2"/>
      <c r="AQ111" s="2"/>
      <c r="AR111" s="2"/>
      <c r="AS111" s="2"/>
    </row>
    <row r="112" spans="5:45" ht="15.75" customHeight="1">
      <c r="E112" s="2"/>
      <c r="F112" s="2"/>
      <c r="G112" s="2"/>
      <c r="M112" s="2"/>
      <c r="N112" s="2"/>
      <c r="O112" s="2"/>
      <c r="P112" s="2"/>
      <c r="U112" s="2"/>
      <c r="V112" s="2"/>
      <c r="W112" s="2"/>
      <c r="X112" s="2"/>
      <c r="AC112" s="2"/>
      <c r="AI112" s="2"/>
      <c r="AN112" s="2"/>
      <c r="AO112" s="2"/>
      <c r="AP112" s="2"/>
      <c r="AQ112" s="2"/>
      <c r="AR112" s="2"/>
      <c r="AS112" s="2"/>
    </row>
    <row r="113" spans="5:45" ht="15.75" customHeight="1">
      <c r="E113" s="2"/>
      <c r="F113" s="2"/>
      <c r="G113" s="2"/>
      <c r="M113" s="2"/>
      <c r="N113" s="2"/>
      <c r="O113" s="2"/>
      <c r="P113" s="2"/>
      <c r="U113" s="2"/>
      <c r="V113" s="2"/>
      <c r="W113" s="2"/>
      <c r="X113" s="2"/>
      <c r="AC113" s="2"/>
      <c r="AI113" s="2"/>
      <c r="AN113" s="2"/>
      <c r="AO113" s="2"/>
      <c r="AP113" s="2"/>
      <c r="AQ113" s="2"/>
      <c r="AR113" s="2"/>
      <c r="AS113" s="2"/>
    </row>
    <row r="114" spans="5:45" ht="15.75" customHeight="1">
      <c r="E114" s="2"/>
      <c r="F114" s="2"/>
      <c r="G114" s="2"/>
      <c r="M114" s="2"/>
      <c r="N114" s="2"/>
      <c r="O114" s="2"/>
      <c r="P114" s="2"/>
      <c r="U114" s="2"/>
      <c r="V114" s="2"/>
      <c r="W114" s="2"/>
      <c r="X114" s="2"/>
      <c r="AC114" s="2"/>
      <c r="AI114" s="2"/>
      <c r="AN114" s="2"/>
      <c r="AO114" s="2"/>
      <c r="AP114" s="2"/>
      <c r="AQ114" s="2"/>
      <c r="AR114" s="2"/>
      <c r="AS114" s="2"/>
    </row>
    <row r="115" spans="5:45" ht="15.75" customHeight="1">
      <c r="E115" s="2"/>
      <c r="F115" s="2"/>
      <c r="G115" s="2"/>
      <c r="M115" s="2"/>
      <c r="N115" s="2"/>
      <c r="O115" s="2"/>
      <c r="P115" s="2"/>
      <c r="U115" s="2"/>
      <c r="V115" s="2"/>
      <c r="W115" s="2"/>
      <c r="X115" s="2"/>
      <c r="AC115" s="2"/>
      <c r="AI115" s="2"/>
      <c r="AN115" s="2"/>
      <c r="AO115" s="2"/>
      <c r="AP115" s="2"/>
      <c r="AQ115" s="2"/>
      <c r="AR115" s="2"/>
      <c r="AS115" s="2"/>
    </row>
    <row r="116" spans="5:45" ht="15.75" customHeight="1">
      <c r="E116" s="2"/>
      <c r="F116" s="2"/>
      <c r="G116" s="2"/>
      <c r="M116" s="2"/>
      <c r="N116" s="2"/>
      <c r="O116" s="2"/>
      <c r="P116" s="2"/>
      <c r="U116" s="2"/>
      <c r="V116" s="2"/>
      <c r="W116" s="2"/>
      <c r="X116" s="2"/>
      <c r="AC116" s="2"/>
      <c r="AI116" s="2"/>
      <c r="AN116" s="2"/>
      <c r="AO116" s="2"/>
      <c r="AP116" s="2"/>
      <c r="AQ116" s="2"/>
      <c r="AR116" s="2"/>
      <c r="AS116" s="2"/>
    </row>
    <row r="117" spans="5:45" ht="15.75" customHeight="1">
      <c r="E117" s="2"/>
      <c r="F117" s="2"/>
      <c r="G117" s="2"/>
      <c r="M117" s="2"/>
      <c r="N117" s="2"/>
      <c r="O117" s="2"/>
      <c r="P117" s="2"/>
      <c r="U117" s="2"/>
      <c r="V117" s="2"/>
      <c r="W117" s="2"/>
      <c r="X117" s="2"/>
      <c r="AC117" s="2"/>
      <c r="AI117" s="2"/>
      <c r="AN117" s="2"/>
      <c r="AO117" s="2"/>
      <c r="AP117" s="2"/>
      <c r="AQ117" s="2"/>
      <c r="AR117" s="2"/>
      <c r="AS117" s="2"/>
    </row>
    <row r="118" spans="5:45" ht="15.75" customHeight="1">
      <c r="E118" s="2"/>
      <c r="F118" s="2"/>
      <c r="G118" s="2"/>
      <c r="M118" s="2"/>
      <c r="N118" s="2"/>
      <c r="O118" s="2"/>
      <c r="P118" s="2"/>
      <c r="U118" s="2"/>
      <c r="V118" s="2"/>
      <c r="W118" s="2"/>
      <c r="X118" s="2"/>
      <c r="AC118" s="2"/>
      <c r="AI118" s="2"/>
      <c r="AN118" s="2"/>
      <c r="AO118" s="2"/>
      <c r="AP118" s="2"/>
      <c r="AQ118" s="2"/>
      <c r="AR118" s="2"/>
      <c r="AS118" s="2"/>
    </row>
    <row r="119" spans="5:45" ht="15.75" customHeight="1">
      <c r="E119" s="2"/>
      <c r="F119" s="2"/>
      <c r="G119" s="2"/>
      <c r="M119" s="2"/>
      <c r="N119" s="2"/>
      <c r="O119" s="2"/>
      <c r="P119" s="2"/>
      <c r="U119" s="2"/>
      <c r="V119" s="2"/>
      <c r="W119" s="2"/>
      <c r="X119" s="2"/>
      <c r="AC119" s="2"/>
      <c r="AI119" s="2"/>
      <c r="AN119" s="2"/>
      <c r="AO119" s="2"/>
      <c r="AP119" s="2"/>
      <c r="AQ119" s="2"/>
      <c r="AR119" s="2"/>
      <c r="AS119" s="2"/>
    </row>
    <row r="120" spans="5:45" ht="15.75" customHeight="1">
      <c r="E120" s="2"/>
      <c r="F120" s="2"/>
      <c r="G120" s="2"/>
      <c r="M120" s="2"/>
      <c r="N120" s="2"/>
      <c r="O120" s="2"/>
      <c r="P120" s="2"/>
      <c r="U120" s="2"/>
      <c r="V120" s="2"/>
      <c r="W120" s="2"/>
      <c r="X120" s="2"/>
      <c r="AC120" s="2"/>
      <c r="AI120" s="2"/>
      <c r="AN120" s="2"/>
      <c r="AO120" s="2"/>
      <c r="AP120" s="2"/>
      <c r="AQ120" s="2"/>
      <c r="AR120" s="2"/>
      <c r="AS120" s="2"/>
    </row>
    <row r="121" spans="5:45" ht="15.75" customHeight="1">
      <c r="E121" s="2"/>
      <c r="F121" s="2"/>
      <c r="G121" s="2"/>
      <c r="M121" s="2"/>
      <c r="N121" s="2"/>
      <c r="O121" s="2"/>
      <c r="P121" s="2"/>
      <c r="U121" s="2"/>
      <c r="V121" s="2"/>
      <c r="W121" s="2"/>
      <c r="X121" s="2"/>
      <c r="AC121" s="2"/>
      <c r="AI121" s="2"/>
      <c r="AN121" s="2"/>
      <c r="AO121" s="2"/>
      <c r="AP121" s="2"/>
      <c r="AQ121" s="2"/>
      <c r="AR121" s="2"/>
      <c r="AS121" s="2"/>
    </row>
    <row r="122" spans="5:45" ht="15.75" customHeight="1">
      <c r="E122" s="2"/>
      <c r="F122" s="2"/>
      <c r="G122" s="2"/>
      <c r="M122" s="2"/>
      <c r="N122" s="2"/>
      <c r="O122" s="2"/>
      <c r="P122" s="2"/>
      <c r="U122" s="2"/>
      <c r="V122" s="2"/>
      <c r="W122" s="2"/>
      <c r="X122" s="2"/>
      <c r="AC122" s="2"/>
      <c r="AI122" s="2"/>
      <c r="AN122" s="2"/>
      <c r="AO122" s="2"/>
      <c r="AP122" s="2"/>
      <c r="AQ122" s="2"/>
      <c r="AR122" s="2"/>
      <c r="AS122" s="2"/>
    </row>
    <row r="123" spans="5:45" ht="15.75" customHeight="1">
      <c r="E123" s="2"/>
      <c r="F123" s="2"/>
      <c r="G123" s="2"/>
      <c r="M123" s="2"/>
      <c r="N123" s="2"/>
      <c r="O123" s="2"/>
      <c r="P123" s="2"/>
      <c r="U123" s="2"/>
      <c r="V123" s="2"/>
      <c r="W123" s="2"/>
      <c r="X123" s="2"/>
      <c r="AC123" s="2"/>
      <c r="AI123" s="2"/>
      <c r="AN123" s="2"/>
      <c r="AO123" s="2"/>
      <c r="AP123" s="2"/>
      <c r="AQ123" s="2"/>
      <c r="AR123" s="2"/>
      <c r="AS123" s="2"/>
    </row>
    <row r="124" spans="5:45" ht="15.75" customHeight="1">
      <c r="E124" s="2"/>
      <c r="F124" s="2"/>
      <c r="G124" s="2"/>
      <c r="M124" s="2"/>
      <c r="N124" s="2"/>
      <c r="O124" s="2"/>
      <c r="P124" s="2"/>
      <c r="U124" s="2"/>
      <c r="V124" s="2"/>
      <c r="W124" s="2"/>
      <c r="X124" s="2"/>
      <c r="AC124" s="2"/>
      <c r="AI124" s="2"/>
      <c r="AN124" s="2"/>
      <c r="AO124" s="2"/>
      <c r="AP124" s="2"/>
      <c r="AQ124" s="2"/>
      <c r="AR124" s="2"/>
      <c r="AS124" s="2"/>
    </row>
    <row r="125" spans="5:45" ht="15.75" customHeight="1">
      <c r="E125" s="2"/>
      <c r="F125" s="2"/>
      <c r="G125" s="2"/>
      <c r="M125" s="2"/>
      <c r="N125" s="2"/>
      <c r="O125" s="2"/>
      <c r="P125" s="2"/>
      <c r="U125" s="2"/>
      <c r="V125" s="2"/>
      <c r="W125" s="2"/>
      <c r="X125" s="2"/>
      <c r="AC125" s="2"/>
      <c r="AI125" s="2"/>
      <c r="AN125" s="2"/>
      <c r="AO125" s="2"/>
      <c r="AP125" s="2"/>
      <c r="AQ125" s="2"/>
      <c r="AR125" s="2"/>
      <c r="AS125" s="2"/>
    </row>
    <row r="126" spans="5:45" ht="15.75" customHeight="1">
      <c r="E126" s="2"/>
      <c r="F126" s="2"/>
      <c r="G126" s="2"/>
      <c r="M126" s="2"/>
      <c r="N126" s="2"/>
      <c r="O126" s="2"/>
      <c r="P126" s="2"/>
      <c r="U126" s="2"/>
      <c r="V126" s="2"/>
      <c r="W126" s="2"/>
      <c r="X126" s="2"/>
      <c r="AC126" s="2"/>
      <c r="AI126" s="2"/>
      <c r="AN126" s="2"/>
      <c r="AO126" s="2"/>
      <c r="AP126" s="2"/>
      <c r="AQ126" s="2"/>
      <c r="AR126" s="2"/>
      <c r="AS126" s="2"/>
    </row>
    <row r="127" spans="5:45" ht="15.75" customHeight="1">
      <c r="E127" s="2"/>
      <c r="F127" s="2"/>
      <c r="G127" s="2"/>
      <c r="M127" s="2"/>
      <c r="N127" s="2"/>
      <c r="O127" s="2"/>
      <c r="P127" s="2"/>
      <c r="U127" s="2"/>
      <c r="V127" s="2"/>
      <c r="W127" s="2"/>
      <c r="X127" s="2"/>
      <c r="AC127" s="2"/>
      <c r="AI127" s="2"/>
      <c r="AN127" s="2"/>
      <c r="AO127" s="2"/>
      <c r="AP127" s="2"/>
      <c r="AQ127" s="2"/>
      <c r="AR127" s="2"/>
      <c r="AS127" s="2"/>
    </row>
    <row r="128" spans="5:45" ht="15.75" customHeight="1">
      <c r="E128" s="2"/>
      <c r="F128" s="2"/>
      <c r="G128" s="2"/>
      <c r="M128" s="2"/>
      <c r="N128" s="2"/>
      <c r="O128" s="2"/>
      <c r="P128" s="2"/>
      <c r="U128" s="2"/>
      <c r="V128" s="2"/>
      <c r="W128" s="2"/>
      <c r="X128" s="2"/>
      <c r="AC128" s="2"/>
      <c r="AI128" s="2"/>
      <c r="AN128" s="2"/>
      <c r="AO128" s="2"/>
      <c r="AP128" s="2"/>
      <c r="AQ128" s="2"/>
      <c r="AR128" s="2"/>
      <c r="AS128" s="2"/>
    </row>
    <row r="129" spans="5:45" ht="15.75" customHeight="1">
      <c r="E129" s="2"/>
      <c r="F129" s="2"/>
      <c r="G129" s="2"/>
      <c r="M129" s="2"/>
      <c r="N129" s="2"/>
      <c r="O129" s="2"/>
      <c r="P129" s="2"/>
      <c r="U129" s="2"/>
      <c r="V129" s="2"/>
      <c r="W129" s="2"/>
      <c r="X129" s="2"/>
      <c r="AC129" s="2"/>
      <c r="AI129" s="2"/>
      <c r="AN129" s="2"/>
      <c r="AO129" s="2"/>
      <c r="AP129" s="2"/>
      <c r="AQ129" s="2"/>
      <c r="AR129" s="2"/>
      <c r="AS129" s="2"/>
    </row>
    <row r="130" spans="5:45" ht="15.75" customHeight="1">
      <c r="E130" s="2"/>
      <c r="F130" s="2"/>
      <c r="G130" s="2"/>
      <c r="M130" s="2"/>
      <c r="N130" s="2"/>
      <c r="O130" s="2"/>
      <c r="P130" s="2"/>
      <c r="U130" s="2"/>
      <c r="V130" s="2"/>
      <c r="W130" s="2"/>
      <c r="X130" s="2"/>
      <c r="AC130" s="2"/>
      <c r="AI130" s="2"/>
      <c r="AN130" s="2"/>
      <c r="AO130" s="2"/>
      <c r="AP130" s="2"/>
      <c r="AQ130" s="2"/>
      <c r="AR130" s="2"/>
      <c r="AS130" s="2"/>
    </row>
    <row r="131" spans="5:45" ht="15.75" customHeight="1">
      <c r="E131" s="2"/>
      <c r="F131" s="2"/>
      <c r="G131" s="2"/>
      <c r="M131" s="2"/>
      <c r="N131" s="2"/>
      <c r="O131" s="2"/>
      <c r="P131" s="2"/>
      <c r="U131" s="2"/>
      <c r="V131" s="2"/>
      <c r="W131" s="2"/>
      <c r="X131" s="2"/>
      <c r="AC131" s="2"/>
      <c r="AI131" s="2"/>
      <c r="AN131" s="2"/>
      <c r="AO131" s="2"/>
      <c r="AP131" s="2"/>
      <c r="AQ131" s="2"/>
      <c r="AR131" s="2"/>
      <c r="AS131" s="2"/>
    </row>
    <row r="132" spans="5:45" ht="15.75" customHeight="1">
      <c r="E132" s="2"/>
      <c r="F132" s="2"/>
      <c r="G132" s="2"/>
      <c r="M132" s="2"/>
      <c r="N132" s="2"/>
      <c r="O132" s="2"/>
      <c r="P132" s="2"/>
      <c r="U132" s="2"/>
      <c r="V132" s="2"/>
      <c r="W132" s="2"/>
      <c r="X132" s="2"/>
      <c r="AC132" s="2"/>
      <c r="AI132" s="2"/>
      <c r="AN132" s="2"/>
      <c r="AO132" s="2"/>
      <c r="AP132" s="2"/>
      <c r="AQ132" s="2"/>
      <c r="AR132" s="2"/>
      <c r="AS132" s="2"/>
    </row>
    <row r="133" spans="5:45" ht="15.75" customHeight="1">
      <c r="E133" s="2"/>
      <c r="F133" s="2"/>
      <c r="G133" s="2"/>
      <c r="M133" s="2"/>
      <c r="N133" s="2"/>
      <c r="O133" s="2"/>
      <c r="P133" s="2"/>
      <c r="U133" s="2"/>
      <c r="V133" s="2"/>
      <c r="W133" s="2"/>
      <c r="X133" s="2"/>
      <c r="AC133" s="2"/>
      <c r="AI133" s="2"/>
      <c r="AN133" s="2"/>
      <c r="AO133" s="2"/>
      <c r="AP133" s="2"/>
      <c r="AQ133" s="2"/>
      <c r="AR133" s="2"/>
      <c r="AS133" s="2"/>
    </row>
    <row r="134" spans="5:45" ht="15.75" customHeight="1">
      <c r="E134" s="2"/>
      <c r="F134" s="2"/>
      <c r="G134" s="2"/>
      <c r="M134" s="2"/>
      <c r="N134" s="2"/>
      <c r="O134" s="2"/>
      <c r="P134" s="2"/>
      <c r="U134" s="2"/>
      <c r="V134" s="2"/>
      <c r="W134" s="2"/>
      <c r="X134" s="2"/>
      <c r="AC134" s="2"/>
      <c r="AI134" s="2"/>
      <c r="AN134" s="2"/>
      <c r="AO134" s="2"/>
      <c r="AP134" s="2"/>
      <c r="AQ134" s="2"/>
      <c r="AR134" s="2"/>
      <c r="AS134" s="2"/>
    </row>
    <row r="135" spans="5:45" ht="15.75" customHeight="1">
      <c r="E135" s="2"/>
      <c r="F135" s="2"/>
      <c r="G135" s="2"/>
      <c r="M135" s="2"/>
      <c r="N135" s="2"/>
      <c r="O135" s="2"/>
      <c r="P135" s="2"/>
      <c r="U135" s="2"/>
      <c r="V135" s="2"/>
      <c r="W135" s="2"/>
      <c r="X135" s="2"/>
      <c r="AC135" s="2"/>
      <c r="AI135" s="2"/>
      <c r="AN135" s="2"/>
      <c r="AO135" s="2"/>
      <c r="AP135" s="2"/>
      <c r="AQ135" s="2"/>
      <c r="AR135" s="2"/>
      <c r="AS135" s="2"/>
    </row>
    <row r="136" spans="5:45" ht="15.75" customHeight="1">
      <c r="E136" s="2"/>
      <c r="F136" s="2"/>
      <c r="G136" s="2"/>
      <c r="M136" s="2"/>
      <c r="N136" s="2"/>
      <c r="O136" s="2"/>
      <c r="P136" s="2"/>
      <c r="U136" s="2"/>
      <c r="V136" s="2"/>
      <c r="W136" s="2"/>
      <c r="X136" s="2"/>
      <c r="AC136" s="2"/>
      <c r="AI136" s="2"/>
      <c r="AN136" s="2"/>
      <c r="AO136" s="2"/>
      <c r="AP136" s="2"/>
      <c r="AQ136" s="2"/>
      <c r="AR136" s="2"/>
      <c r="AS136" s="2"/>
    </row>
    <row r="137" spans="5:45" ht="15.75" customHeight="1">
      <c r="E137" s="2"/>
      <c r="F137" s="2"/>
      <c r="G137" s="2"/>
      <c r="M137" s="2"/>
      <c r="N137" s="2"/>
      <c r="O137" s="2"/>
      <c r="P137" s="2"/>
      <c r="U137" s="2"/>
      <c r="V137" s="2"/>
      <c r="W137" s="2"/>
      <c r="X137" s="2"/>
      <c r="AC137" s="2"/>
      <c r="AI137" s="2"/>
      <c r="AN137" s="2"/>
      <c r="AO137" s="2"/>
      <c r="AP137" s="2"/>
      <c r="AQ137" s="2"/>
      <c r="AR137" s="2"/>
      <c r="AS137" s="2"/>
    </row>
    <row r="138" spans="5:45" ht="15.75" customHeight="1">
      <c r="E138" s="2"/>
      <c r="F138" s="2"/>
      <c r="G138" s="2"/>
      <c r="M138" s="2"/>
      <c r="N138" s="2"/>
      <c r="O138" s="2"/>
      <c r="P138" s="2"/>
      <c r="U138" s="2"/>
      <c r="V138" s="2"/>
      <c r="W138" s="2"/>
      <c r="X138" s="2"/>
      <c r="AC138" s="2"/>
      <c r="AI138" s="2"/>
      <c r="AN138" s="2"/>
      <c r="AO138" s="2"/>
      <c r="AP138" s="2"/>
      <c r="AQ138" s="2"/>
      <c r="AR138" s="2"/>
      <c r="AS138" s="2"/>
    </row>
    <row r="139" spans="5:45" ht="15.75" customHeight="1">
      <c r="E139" s="2"/>
      <c r="F139" s="2"/>
      <c r="G139" s="2"/>
      <c r="M139" s="2"/>
      <c r="N139" s="2"/>
      <c r="O139" s="2"/>
      <c r="P139" s="2"/>
      <c r="U139" s="2"/>
      <c r="V139" s="2"/>
      <c r="W139" s="2"/>
      <c r="X139" s="2"/>
      <c r="AC139" s="2"/>
      <c r="AI139" s="2"/>
      <c r="AN139" s="2"/>
      <c r="AO139" s="2"/>
      <c r="AP139" s="2"/>
      <c r="AQ139" s="2"/>
      <c r="AR139" s="2"/>
      <c r="AS139" s="2"/>
    </row>
    <row r="140" spans="5:45" ht="15.75" customHeight="1">
      <c r="E140" s="2"/>
      <c r="F140" s="2"/>
      <c r="G140" s="2"/>
      <c r="M140" s="2"/>
      <c r="N140" s="2"/>
      <c r="O140" s="2"/>
      <c r="P140" s="2"/>
      <c r="U140" s="2"/>
      <c r="V140" s="2"/>
      <c r="W140" s="2"/>
      <c r="X140" s="2"/>
      <c r="AC140" s="2"/>
      <c r="AI140" s="2"/>
      <c r="AN140" s="2"/>
      <c r="AO140" s="2"/>
      <c r="AP140" s="2"/>
      <c r="AQ140" s="2"/>
      <c r="AR140" s="2"/>
      <c r="AS140" s="2"/>
    </row>
    <row r="141" spans="5:45" ht="15.75" customHeight="1">
      <c r="E141" s="2"/>
      <c r="F141" s="2"/>
      <c r="G141" s="2"/>
      <c r="M141" s="2"/>
      <c r="N141" s="2"/>
      <c r="O141" s="2"/>
      <c r="P141" s="2"/>
      <c r="U141" s="2"/>
      <c r="V141" s="2"/>
      <c r="W141" s="2"/>
      <c r="X141" s="2"/>
      <c r="AC141" s="2"/>
      <c r="AI141" s="2"/>
      <c r="AN141" s="2"/>
      <c r="AO141" s="2"/>
      <c r="AP141" s="2"/>
      <c r="AQ141" s="2"/>
      <c r="AR141" s="2"/>
      <c r="AS141" s="2"/>
    </row>
    <row r="142" spans="5:45" ht="15.75" customHeight="1">
      <c r="E142" s="2"/>
      <c r="F142" s="2"/>
      <c r="G142" s="2"/>
      <c r="M142" s="2"/>
      <c r="N142" s="2"/>
      <c r="O142" s="2"/>
      <c r="P142" s="2"/>
      <c r="U142" s="2"/>
      <c r="V142" s="2"/>
      <c r="W142" s="2"/>
      <c r="X142" s="2"/>
      <c r="AC142" s="2"/>
      <c r="AI142" s="2"/>
      <c r="AN142" s="2"/>
      <c r="AO142" s="2"/>
      <c r="AP142" s="2"/>
      <c r="AQ142" s="2"/>
      <c r="AR142" s="2"/>
      <c r="AS142" s="2"/>
    </row>
    <row r="143" spans="5:45" ht="15.75" customHeight="1">
      <c r="E143" s="2"/>
      <c r="F143" s="2"/>
      <c r="G143" s="2"/>
      <c r="M143" s="2"/>
      <c r="N143" s="2"/>
      <c r="O143" s="2"/>
      <c r="P143" s="2"/>
      <c r="U143" s="2"/>
      <c r="V143" s="2"/>
      <c r="W143" s="2"/>
      <c r="X143" s="2"/>
      <c r="AC143" s="2"/>
      <c r="AI143" s="2"/>
      <c r="AN143" s="2"/>
      <c r="AO143" s="2"/>
      <c r="AP143" s="2"/>
      <c r="AQ143" s="2"/>
      <c r="AR143" s="2"/>
      <c r="AS143" s="2"/>
    </row>
    <row r="144" spans="5:45" ht="15.75" customHeight="1">
      <c r="E144" s="2"/>
      <c r="F144" s="2"/>
      <c r="G144" s="2"/>
      <c r="M144" s="2"/>
      <c r="N144" s="2"/>
      <c r="O144" s="2"/>
      <c r="P144" s="2"/>
      <c r="U144" s="2"/>
      <c r="V144" s="2"/>
      <c r="W144" s="2"/>
      <c r="X144" s="2"/>
      <c r="AC144" s="2"/>
      <c r="AI144" s="2"/>
      <c r="AN144" s="2"/>
      <c r="AO144" s="2"/>
      <c r="AP144" s="2"/>
      <c r="AQ144" s="2"/>
      <c r="AR144" s="2"/>
      <c r="AS144" s="2"/>
    </row>
    <row r="145" spans="5:45" ht="15.75" customHeight="1">
      <c r="E145" s="2"/>
      <c r="F145" s="2"/>
      <c r="G145" s="2"/>
      <c r="M145" s="2"/>
      <c r="N145" s="2"/>
      <c r="O145" s="2"/>
      <c r="P145" s="2"/>
      <c r="U145" s="2"/>
      <c r="V145" s="2"/>
      <c r="W145" s="2"/>
      <c r="X145" s="2"/>
      <c r="AC145" s="2"/>
      <c r="AI145" s="2"/>
      <c r="AN145" s="2"/>
      <c r="AO145" s="2"/>
      <c r="AP145" s="2"/>
      <c r="AQ145" s="2"/>
      <c r="AR145" s="2"/>
      <c r="AS145" s="2"/>
    </row>
    <row r="146" spans="5:45" ht="15.75" customHeight="1">
      <c r="E146" s="2"/>
      <c r="F146" s="2"/>
      <c r="G146" s="2"/>
      <c r="M146" s="2"/>
      <c r="N146" s="2"/>
      <c r="O146" s="2"/>
      <c r="P146" s="2"/>
      <c r="U146" s="2"/>
      <c r="V146" s="2"/>
      <c r="W146" s="2"/>
      <c r="X146" s="2"/>
      <c r="AC146" s="2"/>
      <c r="AI146" s="2"/>
      <c r="AN146" s="2"/>
      <c r="AO146" s="2"/>
      <c r="AP146" s="2"/>
      <c r="AQ146" s="2"/>
      <c r="AR146" s="2"/>
      <c r="AS146" s="2"/>
    </row>
    <row r="147" spans="5:45" ht="15.75" customHeight="1">
      <c r="E147" s="2"/>
      <c r="F147" s="2"/>
      <c r="G147" s="2"/>
      <c r="M147" s="2"/>
      <c r="N147" s="2"/>
      <c r="O147" s="2"/>
      <c r="P147" s="2"/>
      <c r="U147" s="2"/>
      <c r="V147" s="2"/>
      <c r="W147" s="2"/>
      <c r="X147" s="2"/>
      <c r="AC147" s="2"/>
      <c r="AI147" s="2"/>
      <c r="AN147" s="2"/>
      <c r="AO147" s="2"/>
      <c r="AP147" s="2"/>
      <c r="AQ147" s="2"/>
      <c r="AR147" s="2"/>
      <c r="AS147" s="2"/>
    </row>
    <row r="148" spans="5:45" ht="15.75" customHeight="1">
      <c r="E148" s="2"/>
      <c r="F148" s="2"/>
      <c r="G148" s="2"/>
      <c r="M148" s="2"/>
      <c r="N148" s="2"/>
      <c r="O148" s="2"/>
      <c r="P148" s="2"/>
      <c r="U148" s="2"/>
      <c r="V148" s="2"/>
      <c r="W148" s="2"/>
      <c r="X148" s="2"/>
      <c r="AC148" s="2"/>
      <c r="AI148" s="2"/>
      <c r="AN148" s="2"/>
      <c r="AO148" s="2"/>
      <c r="AP148" s="2"/>
      <c r="AQ148" s="2"/>
      <c r="AR148" s="2"/>
      <c r="AS148" s="2"/>
    </row>
    <row r="149" spans="5:45" ht="15.75" customHeight="1">
      <c r="E149" s="2"/>
      <c r="F149" s="2"/>
      <c r="G149" s="2"/>
      <c r="M149" s="2"/>
      <c r="N149" s="2"/>
      <c r="O149" s="2"/>
      <c r="P149" s="2"/>
      <c r="U149" s="2"/>
      <c r="V149" s="2"/>
      <c r="W149" s="2"/>
      <c r="X149" s="2"/>
      <c r="AC149" s="2"/>
      <c r="AI149" s="2"/>
      <c r="AN149" s="2"/>
      <c r="AO149" s="2"/>
      <c r="AP149" s="2"/>
      <c r="AQ149" s="2"/>
      <c r="AR149" s="2"/>
      <c r="AS149" s="2"/>
    </row>
    <row r="150" spans="5:45" ht="15.75" customHeight="1">
      <c r="E150" s="2"/>
      <c r="F150" s="2"/>
      <c r="G150" s="2"/>
      <c r="M150" s="2"/>
      <c r="N150" s="2"/>
      <c r="O150" s="2"/>
      <c r="P150" s="2"/>
      <c r="U150" s="2"/>
      <c r="V150" s="2"/>
      <c r="W150" s="2"/>
      <c r="X150" s="2"/>
      <c r="AC150" s="2"/>
      <c r="AI150" s="2"/>
      <c r="AN150" s="2"/>
      <c r="AO150" s="2"/>
      <c r="AP150" s="2"/>
      <c r="AQ150" s="2"/>
      <c r="AR150" s="2"/>
      <c r="AS150" s="2"/>
    </row>
    <row r="151" spans="5:45" ht="15.75" customHeight="1">
      <c r="E151" s="2"/>
      <c r="F151" s="2"/>
      <c r="G151" s="2"/>
      <c r="M151" s="2"/>
      <c r="N151" s="2"/>
      <c r="O151" s="2"/>
      <c r="P151" s="2"/>
      <c r="U151" s="2"/>
      <c r="V151" s="2"/>
      <c r="W151" s="2"/>
      <c r="X151" s="2"/>
      <c r="AC151" s="2"/>
      <c r="AI151" s="2"/>
      <c r="AN151" s="2"/>
      <c r="AO151" s="2"/>
      <c r="AP151" s="2"/>
      <c r="AQ151" s="2"/>
      <c r="AR151" s="2"/>
      <c r="AS151" s="2"/>
    </row>
    <row r="152" spans="5:45" ht="15.75" customHeight="1">
      <c r="E152" s="2"/>
      <c r="F152" s="2"/>
      <c r="G152" s="2"/>
      <c r="M152" s="2"/>
      <c r="N152" s="2"/>
      <c r="O152" s="2"/>
      <c r="P152" s="2"/>
      <c r="U152" s="2"/>
      <c r="V152" s="2"/>
      <c r="W152" s="2"/>
      <c r="X152" s="2"/>
      <c r="AC152" s="2"/>
      <c r="AI152" s="2"/>
      <c r="AN152" s="2"/>
      <c r="AO152" s="2"/>
      <c r="AP152" s="2"/>
      <c r="AQ152" s="2"/>
      <c r="AR152" s="2"/>
      <c r="AS152" s="2"/>
    </row>
    <row r="153" spans="5:45" ht="15.75" customHeight="1">
      <c r="E153" s="2"/>
      <c r="F153" s="2"/>
      <c r="G153" s="2"/>
      <c r="M153" s="2"/>
      <c r="N153" s="2"/>
      <c r="O153" s="2"/>
      <c r="P153" s="2"/>
      <c r="U153" s="2"/>
      <c r="V153" s="2"/>
      <c r="W153" s="2"/>
      <c r="X153" s="2"/>
      <c r="AC153" s="2"/>
      <c r="AI153" s="2"/>
      <c r="AN153" s="2"/>
      <c r="AO153" s="2"/>
      <c r="AP153" s="2"/>
      <c r="AQ153" s="2"/>
      <c r="AR153" s="2"/>
      <c r="AS153" s="2"/>
    </row>
    <row r="154" spans="5:45" ht="15.75" customHeight="1">
      <c r="E154" s="2"/>
      <c r="F154" s="2"/>
      <c r="G154" s="2"/>
      <c r="M154" s="2"/>
      <c r="N154" s="2"/>
      <c r="O154" s="2"/>
      <c r="P154" s="2"/>
      <c r="U154" s="2"/>
      <c r="V154" s="2"/>
      <c r="W154" s="2"/>
      <c r="X154" s="2"/>
      <c r="AC154" s="2"/>
      <c r="AI154" s="2"/>
      <c r="AN154" s="2"/>
      <c r="AO154" s="2"/>
      <c r="AP154" s="2"/>
      <c r="AQ154" s="2"/>
      <c r="AR154" s="2"/>
      <c r="AS154" s="2"/>
    </row>
    <row r="155" spans="5:45" ht="15.75" customHeight="1">
      <c r="E155" s="2"/>
      <c r="F155" s="2"/>
      <c r="G155" s="2"/>
      <c r="M155" s="2"/>
      <c r="N155" s="2"/>
      <c r="O155" s="2"/>
      <c r="P155" s="2"/>
      <c r="U155" s="2"/>
      <c r="V155" s="2"/>
      <c r="W155" s="2"/>
      <c r="X155" s="2"/>
      <c r="AC155" s="2"/>
      <c r="AI155" s="2"/>
      <c r="AN155" s="2"/>
      <c r="AO155" s="2"/>
      <c r="AP155" s="2"/>
      <c r="AQ155" s="2"/>
      <c r="AR155" s="2"/>
      <c r="AS155" s="2"/>
    </row>
    <row r="156" spans="5:45" ht="15.75" customHeight="1">
      <c r="E156" s="2"/>
      <c r="F156" s="2"/>
      <c r="G156" s="2"/>
      <c r="M156" s="2"/>
      <c r="N156" s="2"/>
      <c r="O156" s="2"/>
      <c r="P156" s="2"/>
      <c r="U156" s="2"/>
      <c r="V156" s="2"/>
      <c r="W156" s="2"/>
      <c r="X156" s="2"/>
      <c r="AC156" s="2"/>
      <c r="AI156" s="2"/>
      <c r="AN156" s="2"/>
      <c r="AO156" s="2"/>
      <c r="AP156" s="2"/>
      <c r="AQ156" s="2"/>
      <c r="AR156" s="2"/>
      <c r="AS156" s="2"/>
    </row>
    <row r="157" spans="5:45" ht="15.75" customHeight="1">
      <c r="E157" s="2"/>
      <c r="F157" s="2"/>
      <c r="G157" s="2"/>
      <c r="M157" s="2"/>
      <c r="N157" s="2"/>
      <c r="O157" s="2"/>
      <c r="P157" s="2"/>
      <c r="U157" s="2"/>
      <c r="V157" s="2"/>
      <c r="W157" s="2"/>
      <c r="X157" s="2"/>
      <c r="AC157" s="2"/>
      <c r="AI157" s="2"/>
      <c r="AN157" s="2"/>
      <c r="AO157" s="2"/>
      <c r="AP157" s="2"/>
      <c r="AQ157" s="2"/>
      <c r="AR157" s="2"/>
      <c r="AS157" s="2"/>
    </row>
    <row r="158" spans="5:45" ht="15.75" customHeight="1">
      <c r="E158" s="2"/>
      <c r="F158" s="2"/>
      <c r="G158" s="2"/>
      <c r="M158" s="2"/>
      <c r="N158" s="2"/>
      <c r="O158" s="2"/>
      <c r="P158" s="2"/>
      <c r="U158" s="2"/>
      <c r="V158" s="2"/>
      <c r="W158" s="2"/>
      <c r="X158" s="2"/>
      <c r="AC158" s="2"/>
      <c r="AI158" s="2"/>
      <c r="AN158" s="2"/>
      <c r="AO158" s="2"/>
      <c r="AP158" s="2"/>
      <c r="AQ158" s="2"/>
      <c r="AR158" s="2"/>
      <c r="AS158" s="2"/>
    </row>
    <row r="159" spans="5:45" ht="15.75" customHeight="1">
      <c r="E159" s="2"/>
      <c r="F159" s="2"/>
      <c r="G159" s="2"/>
      <c r="M159" s="2"/>
      <c r="N159" s="2"/>
      <c r="O159" s="2"/>
      <c r="P159" s="2"/>
      <c r="U159" s="2"/>
      <c r="V159" s="2"/>
      <c r="W159" s="2"/>
      <c r="X159" s="2"/>
      <c r="AC159" s="2"/>
      <c r="AI159" s="2"/>
      <c r="AN159" s="2"/>
      <c r="AO159" s="2"/>
      <c r="AP159" s="2"/>
      <c r="AQ159" s="2"/>
      <c r="AR159" s="2"/>
      <c r="AS159" s="2"/>
    </row>
    <row r="160" spans="5:45" ht="15.75" customHeight="1">
      <c r="E160" s="2"/>
      <c r="F160" s="2"/>
      <c r="G160" s="2"/>
      <c r="M160" s="2"/>
      <c r="N160" s="2"/>
      <c r="O160" s="2"/>
      <c r="P160" s="2"/>
      <c r="U160" s="2"/>
      <c r="V160" s="2"/>
      <c r="W160" s="2"/>
      <c r="X160" s="2"/>
      <c r="AC160" s="2"/>
      <c r="AI160" s="2"/>
      <c r="AN160" s="2"/>
      <c r="AO160" s="2"/>
      <c r="AP160" s="2"/>
      <c r="AQ160" s="2"/>
      <c r="AR160" s="2"/>
      <c r="AS160" s="2"/>
    </row>
    <row r="161" spans="5:45" ht="15.75" customHeight="1">
      <c r="E161" s="2"/>
      <c r="F161" s="2"/>
      <c r="G161" s="2"/>
      <c r="M161" s="2"/>
      <c r="N161" s="2"/>
      <c r="O161" s="2"/>
      <c r="P161" s="2"/>
      <c r="U161" s="2"/>
      <c r="V161" s="2"/>
      <c r="W161" s="2"/>
      <c r="X161" s="2"/>
      <c r="AC161" s="2"/>
      <c r="AI161" s="2"/>
      <c r="AN161" s="2"/>
      <c r="AO161" s="2"/>
      <c r="AP161" s="2"/>
      <c r="AQ161" s="2"/>
      <c r="AR161" s="2"/>
      <c r="AS161" s="2"/>
    </row>
    <row r="162" spans="5:45" ht="15.75" customHeight="1">
      <c r="E162" s="2"/>
      <c r="F162" s="2"/>
      <c r="G162" s="2"/>
      <c r="M162" s="2"/>
      <c r="N162" s="2"/>
      <c r="O162" s="2"/>
      <c r="P162" s="2"/>
      <c r="U162" s="2"/>
      <c r="V162" s="2"/>
      <c r="W162" s="2"/>
      <c r="X162" s="2"/>
      <c r="AC162" s="2"/>
      <c r="AI162" s="2"/>
      <c r="AN162" s="2"/>
      <c r="AO162" s="2"/>
      <c r="AP162" s="2"/>
      <c r="AQ162" s="2"/>
      <c r="AR162" s="2"/>
      <c r="AS162" s="2"/>
    </row>
    <row r="163" spans="5:45" ht="15.75" customHeight="1">
      <c r="E163" s="2"/>
      <c r="F163" s="2"/>
      <c r="G163" s="2"/>
      <c r="M163" s="2"/>
      <c r="N163" s="2"/>
      <c r="O163" s="2"/>
      <c r="P163" s="2"/>
      <c r="U163" s="2"/>
      <c r="V163" s="2"/>
      <c r="W163" s="2"/>
      <c r="X163" s="2"/>
      <c r="AC163" s="2"/>
      <c r="AI163" s="2"/>
      <c r="AN163" s="2"/>
      <c r="AO163" s="2"/>
      <c r="AP163" s="2"/>
      <c r="AQ163" s="2"/>
      <c r="AR163" s="2"/>
      <c r="AS163" s="2"/>
    </row>
    <row r="164" spans="5:45" ht="15.75" customHeight="1">
      <c r="E164" s="2"/>
      <c r="F164" s="2"/>
      <c r="G164" s="2"/>
      <c r="M164" s="2"/>
      <c r="N164" s="2"/>
      <c r="O164" s="2"/>
      <c r="P164" s="2"/>
      <c r="U164" s="2"/>
      <c r="V164" s="2"/>
      <c r="W164" s="2"/>
      <c r="X164" s="2"/>
      <c r="AC164" s="2"/>
      <c r="AI164" s="2"/>
      <c r="AN164" s="2"/>
      <c r="AO164" s="2"/>
      <c r="AP164" s="2"/>
      <c r="AQ164" s="2"/>
      <c r="AR164" s="2"/>
      <c r="AS164" s="2"/>
    </row>
    <row r="165" spans="5:45" ht="15.75" customHeight="1">
      <c r="E165" s="2"/>
      <c r="F165" s="2"/>
      <c r="G165" s="2"/>
      <c r="M165" s="2"/>
      <c r="N165" s="2"/>
      <c r="O165" s="2"/>
      <c r="P165" s="2"/>
      <c r="U165" s="2"/>
      <c r="V165" s="2"/>
      <c r="W165" s="2"/>
      <c r="X165" s="2"/>
      <c r="AC165" s="2"/>
      <c r="AI165" s="2"/>
      <c r="AN165" s="2"/>
      <c r="AO165" s="2"/>
      <c r="AP165" s="2"/>
      <c r="AQ165" s="2"/>
      <c r="AR165" s="2"/>
      <c r="AS165" s="2"/>
    </row>
    <row r="166" spans="5:45" ht="15.75" customHeight="1">
      <c r="E166" s="2"/>
      <c r="F166" s="2"/>
      <c r="G166" s="2"/>
      <c r="M166" s="2"/>
      <c r="N166" s="2"/>
      <c r="O166" s="2"/>
      <c r="P166" s="2"/>
      <c r="U166" s="2"/>
      <c r="V166" s="2"/>
      <c r="W166" s="2"/>
      <c r="X166" s="2"/>
      <c r="AC166" s="2"/>
      <c r="AI166" s="2"/>
      <c r="AN166" s="2"/>
      <c r="AO166" s="2"/>
      <c r="AP166" s="2"/>
      <c r="AQ166" s="2"/>
      <c r="AR166" s="2"/>
      <c r="AS166" s="2"/>
    </row>
    <row r="167" spans="5:45" ht="15.75" customHeight="1">
      <c r="E167" s="2"/>
      <c r="F167" s="2"/>
      <c r="G167" s="2"/>
      <c r="M167" s="2"/>
      <c r="N167" s="2"/>
      <c r="O167" s="2"/>
      <c r="P167" s="2"/>
      <c r="U167" s="2"/>
      <c r="V167" s="2"/>
      <c r="W167" s="2"/>
      <c r="X167" s="2"/>
      <c r="AC167" s="2"/>
      <c r="AI167" s="2"/>
      <c r="AN167" s="2"/>
      <c r="AO167" s="2"/>
      <c r="AP167" s="2"/>
      <c r="AQ167" s="2"/>
      <c r="AR167" s="2"/>
      <c r="AS167" s="2"/>
    </row>
    <row r="168" spans="5:45" ht="15.75" customHeight="1">
      <c r="E168" s="2"/>
      <c r="F168" s="2"/>
      <c r="G168" s="2"/>
      <c r="M168" s="2"/>
      <c r="N168" s="2"/>
      <c r="O168" s="2"/>
      <c r="P168" s="2"/>
      <c r="U168" s="2"/>
      <c r="V168" s="2"/>
      <c r="W168" s="2"/>
      <c r="X168" s="2"/>
      <c r="AC168" s="2"/>
      <c r="AI168" s="2"/>
      <c r="AN168" s="2"/>
      <c r="AO168" s="2"/>
      <c r="AP168" s="2"/>
      <c r="AQ168" s="2"/>
      <c r="AR168" s="2"/>
      <c r="AS168" s="2"/>
    </row>
    <row r="169" spans="5:45" ht="15.75" customHeight="1">
      <c r="E169" s="2"/>
      <c r="F169" s="2"/>
      <c r="G169" s="2"/>
      <c r="M169" s="2"/>
      <c r="N169" s="2"/>
      <c r="O169" s="2"/>
      <c r="P169" s="2"/>
      <c r="U169" s="2"/>
      <c r="V169" s="2"/>
      <c r="W169" s="2"/>
      <c r="X169" s="2"/>
      <c r="AC169" s="2"/>
      <c r="AI169" s="2"/>
      <c r="AN169" s="2"/>
      <c r="AO169" s="2"/>
      <c r="AP169" s="2"/>
      <c r="AQ169" s="2"/>
      <c r="AR169" s="2"/>
      <c r="AS169" s="2"/>
    </row>
    <row r="170" spans="5:45" ht="15.75" customHeight="1">
      <c r="E170" s="2"/>
      <c r="F170" s="2"/>
      <c r="G170" s="2"/>
      <c r="M170" s="2"/>
      <c r="N170" s="2"/>
      <c r="O170" s="2"/>
      <c r="P170" s="2"/>
      <c r="U170" s="2"/>
      <c r="V170" s="2"/>
      <c r="W170" s="2"/>
      <c r="X170" s="2"/>
      <c r="AC170" s="2"/>
      <c r="AI170" s="2"/>
      <c r="AN170" s="2"/>
      <c r="AO170" s="2"/>
      <c r="AP170" s="2"/>
      <c r="AQ170" s="2"/>
      <c r="AR170" s="2"/>
      <c r="AS170" s="2"/>
    </row>
    <row r="171" spans="5:45" ht="15.75" customHeight="1">
      <c r="E171" s="2"/>
      <c r="F171" s="2"/>
      <c r="G171" s="2"/>
      <c r="M171" s="2"/>
      <c r="N171" s="2"/>
      <c r="O171" s="2"/>
      <c r="P171" s="2"/>
      <c r="U171" s="2"/>
      <c r="V171" s="2"/>
      <c r="W171" s="2"/>
      <c r="X171" s="2"/>
      <c r="AC171" s="2"/>
      <c r="AI171" s="2"/>
      <c r="AN171" s="2"/>
      <c r="AO171" s="2"/>
      <c r="AP171" s="2"/>
      <c r="AQ171" s="2"/>
      <c r="AR171" s="2"/>
      <c r="AS171" s="2"/>
    </row>
    <row r="172" spans="5:45" ht="15.75" customHeight="1">
      <c r="E172" s="2"/>
      <c r="F172" s="2"/>
      <c r="G172" s="2"/>
      <c r="M172" s="2"/>
      <c r="N172" s="2"/>
      <c r="O172" s="2"/>
      <c r="P172" s="2"/>
      <c r="U172" s="2"/>
      <c r="V172" s="2"/>
      <c r="W172" s="2"/>
      <c r="X172" s="2"/>
      <c r="AC172" s="2"/>
      <c r="AI172" s="2"/>
      <c r="AN172" s="2"/>
      <c r="AO172" s="2"/>
      <c r="AP172" s="2"/>
      <c r="AQ172" s="2"/>
      <c r="AR172" s="2"/>
      <c r="AS172" s="2"/>
    </row>
    <row r="173" spans="5:45" ht="15.75" customHeight="1">
      <c r="E173" s="2"/>
      <c r="F173" s="2"/>
      <c r="G173" s="2"/>
      <c r="M173" s="2"/>
      <c r="N173" s="2"/>
      <c r="O173" s="2"/>
      <c r="P173" s="2"/>
      <c r="U173" s="2"/>
      <c r="V173" s="2"/>
      <c r="W173" s="2"/>
      <c r="X173" s="2"/>
      <c r="AC173" s="2"/>
      <c r="AI173" s="2"/>
      <c r="AN173" s="2"/>
      <c r="AO173" s="2"/>
      <c r="AP173" s="2"/>
      <c r="AQ173" s="2"/>
      <c r="AR173" s="2"/>
      <c r="AS173" s="2"/>
    </row>
    <row r="174" spans="5:45" ht="15.75" customHeight="1">
      <c r="E174" s="2"/>
      <c r="F174" s="2"/>
      <c r="G174" s="2"/>
      <c r="M174" s="2"/>
      <c r="N174" s="2"/>
      <c r="O174" s="2"/>
      <c r="P174" s="2"/>
      <c r="U174" s="2"/>
      <c r="V174" s="2"/>
      <c r="W174" s="2"/>
      <c r="X174" s="2"/>
      <c r="AC174" s="2"/>
      <c r="AI174" s="2"/>
      <c r="AN174" s="2"/>
      <c r="AO174" s="2"/>
      <c r="AP174" s="2"/>
      <c r="AQ174" s="2"/>
      <c r="AR174" s="2"/>
      <c r="AS174" s="2"/>
    </row>
    <row r="175" spans="5:45" ht="15.75" customHeight="1">
      <c r="E175" s="2"/>
      <c r="F175" s="2"/>
      <c r="G175" s="2"/>
      <c r="M175" s="2"/>
      <c r="N175" s="2"/>
      <c r="O175" s="2"/>
      <c r="P175" s="2"/>
      <c r="U175" s="2"/>
      <c r="V175" s="2"/>
      <c r="W175" s="2"/>
      <c r="X175" s="2"/>
      <c r="AC175" s="2"/>
      <c r="AI175" s="2"/>
      <c r="AN175" s="2"/>
      <c r="AO175" s="2"/>
      <c r="AP175" s="2"/>
      <c r="AQ175" s="2"/>
      <c r="AR175" s="2"/>
      <c r="AS175" s="2"/>
    </row>
    <row r="176" spans="5:45" ht="15.75" customHeight="1">
      <c r="E176" s="2"/>
      <c r="F176" s="2"/>
      <c r="G176" s="2"/>
      <c r="M176" s="2"/>
      <c r="N176" s="2"/>
      <c r="O176" s="2"/>
      <c r="P176" s="2"/>
      <c r="U176" s="2"/>
      <c r="V176" s="2"/>
      <c r="W176" s="2"/>
      <c r="X176" s="2"/>
      <c r="AC176" s="2"/>
      <c r="AI176" s="2"/>
      <c r="AN176" s="2"/>
      <c r="AO176" s="2"/>
      <c r="AP176" s="2"/>
      <c r="AQ176" s="2"/>
      <c r="AR176" s="2"/>
      <c r="AS176" s="2"/>
    </row>
    <row r="177" spans="5:45" ht="15.75" customHeight="1">
      <c r="E177" s="2"/>
      <c r="F177" s="2"/>
      <c r="G177" s="2"/>
      <c r="M177" s="2"/>
      <c r="N177" s="2"/>
      <c r="O177" s="2"/>
      <c r="P177" s="2"/>
      <c r="U177" s="2"/>
      <c r="V177" s="2"/>
      <c r="W177" s="2"/>
      <c r="X177" s="2"/>
      <c r="AC177" s="2"/>
      <c r="AI177" s="2"/>
      <c r="AN177" s="2"/>
      <c r="AO177" s="2"/>
      <c r="AP177" s="2"/>
      <c r="AQ177" s="2"/>
      <c r="AR177" s="2"/>
      <c r="AS177" s="2"/>
    </row>
    <row r="178" spans="5:45" ht="15.75" customHeight="1">
      <c r="E178" s="2"/>
      <c r="F178" s="2"/>
      <c r="G178" s="2"/>
      <c r="M178" s="2"/>
      <c r="N178" s="2"/>
      <c r="O178" s="2"/>
      <c r="P178" s="2"/>
      <c r="U178" s="2"/>
      <c r="V178" s="2"/>
      <c r="W178" s="2"/>
      <c r="X178" s="2"/>
      <c r="AC178" s="2"/>
      <c r="AI178" s="2"/>
      <c r="AN178" s="2"/>
      <c r="AO178" s="2"/>
      <c r="AP178" s="2"/>
      <c r="AQ178" s="2"/>
      <c r="AR178" s="2"/>
      <c r="AS178" s="2"/>
    </row>
    <row r="179" spans="5:45" ht="15.75" customHeight="1">
      <c r="E179" s="2"/>
      <c r="F179" s="2"/>
      <c r="G179" s="2"/>
      <c r="M179" s="2"/>
      <c r="N179" s="2"/>
      <c r="O179" s="2"/>
      <c r="P179" s="2"/>
      <c r="U179" s="2"/>
      <c r="V179" s="2"/>
      <c r="W179" s="2"/>
      <c r="X179" s="2"/>
      <c r="AC179" s="2"/>
      <c r="AI179" s="2"/>
      <c r="AN179" s="2"/>
      <c r="AO179" s="2"/>
      <c r="AP179" s="2"/>
      <c r="AQ179" s="2"/>
      <c r="AR179" s="2"/>
      <c r="AS179" s="2"/>
    </row>
    <row r="180" spans="5:45" ht="15.75" customHeight="1">
      <c r="E180" s="2"/>
      <c r="F180" s="2"/>
      <c r="G180" s="2"/>
      <c r="M180" s="2"/>
      <c r="N180" s="2"/>
      <c r="O180" s="2"/>
      <c r="P180" s="2"/>
      <c r="U180" s="2"/>
      <c r="V180" s="2"/>
      <c r="W180" s="2"/>
      <c r="X180" s="2"/>
      <c r="AC180" s="2"/>
      <c r="AI180" s="2"/>
      <c r="AN180" s="2"/>
      <c r="AO180" s="2"/>
      <c r="AP180" s="2"/>
      <c r="AQ180" s="2"/>
      <c r="AR180" s="2"/>
      <c r="AS180" s="2"/>
    </row>
    <row r="181" spans="5:45" ht="15.75" customHeight="1">
      <c r="E181" s="2"/>
      <c r="F181" s="2"/>
      <c r="G181" s="2"/>
      <c r="M181" s="2"/>
      <c r="N181" s="2"/>
      <c r="O181" s="2"/>
      <c r="P181" s="2"/>
      <c r="U181" s="2"/>
      <c r="V181" s="2"/>
      <c r="W181" s="2"/>
      <c r="X181" s="2"/>
      <c r="AC181" s="2"/>
      <c r="AI181" s="2"/>
      <c r="AN181" s="2"/>
      <c r="AO181" s="2"/>
      <c r="AP181" s="2"/>
      <c r="AQ181" s="2"/>
      <c r="AR181" s="2"/>
      <c r="AS181" s="2"/>
    </row>
    <row r="182" spans="5:45" ht="15.75" customHeight="1">
      <c r="E182" s="2"/>
      <c r="F182" s="2"/>
      <c r="G182" s="2"/>
      <c r="M182" s="2"/>
      <c r="N182" s="2"/>
      <c r="O182" s="2"/>
      <c r="P182" s="2"/>
      <c r="U182" s="2"/>
      <c r="V182" s="2"/>
      <c r="W182" s="2"/>
      <c r="X182" s="2"/>
      <c r="AC182" s="2"/>
      <c r="AI182" s="2"/>
      <c r="AN182" s="2"/>
      <c r="AO182" s="2"/>
      <c r="AP182" s="2"/>
      <c r="AQ182" s="2"/>
      <c r="AR182" s="2"/>
      <c r="AS182" s="2"/>
    </row>
    <row r="183" spans="5:45" ht="15.75" customHeight="1">
      <c r="E183" s="2"/>
      <c r="F183" s="2"/>
      <c r="G183" s="2"/>
      <c r="M183" s="2"/>
      <c r="N183" s="2"/>
      <c r="O183" s="2"/>
      <c r="P183" s="2"/>
      <c r="U183" s="2"/>
      <c r="V183" s="2"/>
      <c r="W183" s="2"/>
      <c r="X183" s="2"/>
      <c r="AC183" s="2"/>
      <c r="AI183" s="2"/>
      <c r="AN183" s="2"/>
      <c r="AO183" s="2"/>
      <c r="AP183" s="2"/>
      <c r="AQ183" s="2"/>
      <c r="AR183" s="2"/>
      <c r="AS183" s="2"/>
    </row>
    <row r="184" spans="5:45" ht="15.75" customHeight="1">
      <c r="E184" s="2"/>
      <c r="F184" s="2"/>
      <c r="G184" s="2"/>
      <c r="M184" s="2"/>
      <c r="N184" s="2"/>
      <c r="O184" s="2"/>
      <c r="P184" s="2"/>
      <c r="U184" s="2"/>
      <c r="V184" s="2"/>
      <c r="W184" s="2"/>
      <c r="X184" s="2"/>
      <c r="AC184" s="2"/>
      <c r="AI184" s="2"/>
      <c r="AN184" s="2"/>
      <c r="AO184" s="2"/>
      <c r="AP184" s="2"/>
      <c r="AQ184" s="2"/>
      <c r="AR184" s="2"/>
      <c r="AS184" s="2"/>
    </row>
    <row r="185" spans="5:45" ht="15.75" customHeight="1">
      <c r="E185" s="2"/>
      <c r="F185" s="2"/>
      <c r="G185" s="2"/>
      <c r="M185" s="2"/>
      <c r="N185" s="2"/>
      <c r="O185" s="2"/>
      <c r="P185" s="2"/>
      <c r="U185" s="2"/>
      <c r="V185" s="2"/>
      <c r="W185" s="2"/>
      <c r="X185" s="2"/>
      <c r="AC185" s="2"/>
      <c r="AI185" s="2"/>
      <c r="AN185" s="2"/>
      <c r="AO185" s="2"/>
      <c r="AP185" s="2"/>
      <c r="AQ185" s="2"/>
      <c r="AR185" s="2"/>
      <c r="AS185" s="2"/>
    </row>
    <row r="186" spans="5:45" ht="15.75" customHeight="1">
      <c r="E186" s="2"/>
      <c r="F186" s="2"/>
      <c r="G186" s="2"/>
      <c r="M186" s="2"/>
      <c r="N186" s="2"/>
      <c r="O186" s="2"/>
      <c r="P186" s="2"/>
      <c r="U186" s="2"/>
      <c r="V186" s="2"/>
      <c r="W186" s="2"/>
      <c r="X186" s="2"/>
      <c r="AC186" s="2"/>
      <c r="AI186" s="2"/>
      <c r="AN186" s="2"/>
      <c r="AO186" s="2"/>
      <c r="AP186" s="2"/>
      <c r="AQ186" s="2"/>
      <c r="AR186" s="2"/>
      <c r="AS186" s="2"/>
    </row>
    <row r="187" spans="5:45" ht="15.75" customHeight="1">
      <c r="E187" s="2"/>
      <c r="F187" s="2"/>
      <c r="G187" s="2"/>
      <c r="M187" s="2"/>
      <c r="N187" s="2"/>
      <c r="O187" s="2"/>
      <c r="P187" s="2"/>
      <c r="U187" s="2"/>
      <c r="V187" s="2"/>
      <c r="W187" s="2"/>
      <c r="X187" s="2"/>
      <c r="AC187" s="2"/>
      <c r="AI187" s="2"/>
      <c r="AN187" s="2"/>
      <c r="AO187" s="2"/>
      <c r="AP187" s="2"/>
      <c r="AQ187" s="2"/>
      <c r="AR187" s="2"/>
      <c r="AS187" s="2"/>
    </row>
    <row r="188" spans="5:45" ht="15.75" customHeight="1">
      <c r="E188" s="2"/>
      <c r="F188" s="2"/>
      <c r="G188" s="2"/>
      <c r="M188" s="2"/>
      <c r="N188" s="2"/>
      <c r="O188" s="2"/>
      <c r="P188" s="2"/>
      <c r="U188" s="2"/>
      <c r="V188" s="2"/>
      <c r="W188" s="2"/>
      <c r="X188" s="2"/>
      <c r="AC188" s="2"/>
      <c r="AI188" s="2"/>
      <c r="AN188" s="2"/>
      <c r="AO188" s="2"/>
      <c r="AP188" s="2"/>
      <c r="AQ188" s="2"/>
      <c r="AR188" s="2"/>
      <c r="AS188" s="2"/>
    </row>
    <row r="189" spans="5:45" ht="15.75" customHeight="1">
      <c r="E189" s="2"/>
      <c r="F189" s="2"/>
      <c r="G189" s="2"/>
      <c r="M189" s="2"/>
      <c r="N189" s="2"/>
      <c r="O189" s="2"/>
      <c r="P189" s="2"/>
      <c r="U189" s="2"/>
      <c r="V189" s="2"/>
      <c r="W189" s="2"/>
      <c r="X189" s="2"/>
      <c r="AC189" s="2"/>
      <c r="AI189" s="2"/>
      <c r="AN189" s="2"/>
      <c r="AO189" s="2"/>
      <c r="AP189" s="2"/>
      <c r="AQ189" s="2"/>
      <c r="AR189" s="2"/>
      <c r="AS189" s="2"/>
    </row>
    <row r="190" spans="5:45" ht="15.75" customHeight="1">
      <c r="E190" s="2"/>
      <c r="F190" s="2"/>
      <c r="G190" s="2"/>
      <c r="M190" s="2"/>
      <c r="N190" s="2"/>
      <c r="O190" s="2"/>
      <c r="P190" s="2"/>
      <c r="U190" s="2"/>
      <c r="V190" s="2"/>
      <c r="W190" s="2"/>
      <c r="X190" s="2"/>
      <c r="AC190" s="2"/>
      <c r="AI190" s="2"/>
      <c r="AN190" s="2"/>
      <c r="AO190" s="2"/>
      <c r="AP190" s="2"/>
      <c r="AQ190" s="2"/>
      <c r="AR190" s="2"/>
      <c r="AS190" s="2"/>
    </row>
    <row r="191" spans="5:45" ht="15.75" customHeight="1">
      <c r="E191" s="2"/>
      <c r="F191" s="2"/>
      <c r="G191" s="2"/>
      <c r="M191" s="2"/>
      <c r="N191" s="2"/>
      <c r="O191" s="2"/>
      <c r="P191" s="2"/>
      <c r="U191" s="2"/>
      <c r="V191" s="2"/>
      <c r="W191" s="2"/>
      <c r="X191" s="2"/>
      <c r="AC191" s="2"/>
      <c r="AI191" s="2"/>
      <c r="AN191" s="2"/>
      <c r="AO191" s="2"/>
      <c r="AP191" s="2"/>
      <c r="AQ191" s="2"/>
      <c r="AR191" s="2"/>
      <c r="AS191" s="2"/>
    </row>
    <row r="192" spans="5:45" ht="15.75" customHeight="1">
      <c r="E192" s="2"/>
      <c r="F192" s="2"/>
      <c r="G192" s="2"/>
      <c r="M192" s="2"/>
      <c r="N192" s="2"/>
      <c r="O192" s="2"/>
      <c r="P192" s="2"/>
      <c r="U192" s="2"/>
      <c r="V192" s="2"/>
      <c r="W192" s="2"/>
      <c r="X192" s="2"/>
      <c r="AC192" s="2"/>
      <c r="AI192" s="2"/>
      <c r="AN192" s="2"/>
      <c r="AO192" s="2"/>
      <c r="AP192" s="2"/>
      <c r="AQ192" s="2"/>
      <c r="AR192" s="2"/>
      <c r="AS192" s="2"/>
    </row>
    <row r="193" spans="5:45" ht="15.75" customHeight="1">
      <c r="E193" s="2"/>
      <c r="F193" s="2"/>
      <c r="G193" s="2"/>
      <c r="M193" s="2"/>
      <c r="N193" s="2"/>
      <c r="O193" s="2"/>
      <c r="P193" s="2"/>
      <c r="U193" s="2"/>
      <c r="V193" s="2"/>
      <c r="W193" s="2"/>
      <c r="X193" s="2"/>
      <c r="AC193" s="2"/>
      <c r="AI193" s="2"/>
      <c r="AN193" s="2"/>
      <c r="AO193" s="2"/>
      <c r="AP193" s="2"/>
      <c r="AQ193" s="2"/>
      <c r="AR193" s="2"/>
      <c r="AS193" s="2"/>
    </row>
    <row r="194" spans="5:45" ht="15.75" customHeight="1">
      <c r="E194" s="2"/>
      <c r="F194" s="2"/>
      <c r="G194" s="2"/>
      <c r="M194" s="2"/>
      <c r="N194" s="2"/>
      <c r="O194" s="2"/>
      <c r="P194" s="2"/>
      <c r="U194" s="2"/>
      <c r="V194" s="2"/>
      <c r="W194" s="2"/>
      <c r="X194" s="2"/>
      <c r="AC194" s="2"/>
      <c r="AI194" s="2"/>
      <c r="AN194" s="2"/>
      <c r="AO194" s="2"/>
      <c r="AP194" s="2"/>
      <c r="AQ194" s="2"/>
      <c r="AR194" s="2"/>
      <c r="AS194" s="2"/>
    </row>
    <row r="195" spans="5:45" ht="15.75" customHeight="1">
      <c r="E195" s="2"/>
      <c r="F195" s="2"/>
      <c r="G195" s="2"/>
      <c r="M195" s="2"/>
      <c r="N195" s="2"/>
      <c r="O195" s="2"/>
      <c r="P195" s="2"/>
      <c r="U195" s="2"/>
      <c r="V195" s="2"/>
      <c r="W195" s="2"/>
      <c r="X195" s="2"/>
      <c r="AC195" s="2"/>
      <c r="AI195" s="2"/>
      <c r="AN195" s="2"/>
      <c r="AO195" s="2"/>
      <c r="AP195" s="2"/>
      <c r="AQ195" s="2"/>
      <c r="AR195" s="2"/>
      <c r="AS195" s="2"/>
    </row>
    <row r="196" spans="5:45" ht="15.75" customHeight="1">
      <c r="E196" s="2"/>
      <c r="F196" s="2"/>
      <c r="G196" s="2"/>
      <c r="M196" s="2"/>
      <c r="N196" s="2"/>
      <c r="O196" s="2"/>
      <c r="P196" s="2"/>
      <c r="U196" s="2"/>
      <c r="V196" s="2"/>
      <c r="W196" s="2"/>
      <c r="X196" s="2"/>
      <c r="AC196" s="2"/>
      <c r="AI196" s="2"/>
      <c r="AN196" s="2"/>
      <c r="AO196" s="2"/>
      <c r="AP196" s="2"/>
      <c r="AQ196" s="2"/>
      <c r="AR196" s="2"/>
      <c r="AS196" s="2"/>
    </row>
    <row r="197" spans="5:45" ht="15.75" customHeight="1">
      <c r="E197" s="2"/>
      <c r="F197" s="2"/>
      <c r="G197" s="2"/>
      <c r="M197" s="2"/>
      <c r="N197" s="2"/>
      <c r="O197" s="2"/>
      <c r="P197" s="2"/>
      <c r="U197" s="2"/>
      <c r="V197" s="2"/>
      <c r="W197" s="2"/>
      <c r="X197" s="2"/>
      <c r="AC197" s="2"/>
      <c r="AI197" s="2"/>
      <c r="AN197" s="2"/>
      <c r="AO197" s="2"/>
      <c r="AP197" s="2"/>
      <c r="AQ197" s="2"/>
      <c r="AR197" s="2"/>
      <c r="AS197" s="2"/>
    </row>
    <row r="198" spans="5:45" ht="15.75" customHeight="1">
      <c r="E198" s="2"/>
      <c r="F198" s="2"/>
      <c r="G198" s="2"/>
      <c r="M198" s="2"/>
      <c r="N198" s="2"/>
      <c r="O198" s="2"/>
      <c r="P198" s="2"/>
      <c r="U198" s="2"/>
      <c r="V198" s="2"/>
      <c r="W198" s="2"/>
      <c r="X198" s="2"/>
      <c r="AC198" s="2"/>
      <c r="AI198" s="2"/>
      <c r="AN198" s="2"/>
      <c r="AO198" s="2"/>
      <c r="AP198" s="2"/>
      <c r="AQ198" s="2"/>
      <c r="AR198" s="2"/>
      <c r="AS198" s="2"/>
    </row>
    <row r="199" spans="5:45" ht="15.75" customHeight="1">
      <c r="E199" s="2"/>
      <c r="F199" s="2"/>
      <c r="G199" s="2"/>
      <c r="M199" s="2"/>
      <c r="N199" s="2"/>
      <c r="O199" s="2"/>
      <c r="P199" s="2"/>
      <c r="U199" s="2"/>
      <c r="V199" s="2"/>
      <c r="W199" s="2"/>
      <c r="X199" s="2"/>
      <c r="AC199" s="2"/>
      <c r="AI199" s="2"/>
      <c r="AN199" s="2"/>
      <c r="AO199" s="2"/>
      <c r="AP199" s="2"/>
      <c r="AQ199" s="2"/>
      <c r="AR199" s="2"/>
      <c r="AS199" s="2"/>
    </row>
    <row r="200" spans="5:45" ht="15.75" customHeight="1">
      <c r="E200" s="2"/>
      <c r="F200" s="2"/>
      <c r="G200" s="2"/>
      <c r="M200" s="2"/>
      <c r="N200" s="2"/>
      <c r="O200" s="2"/>
      <c r="P200" s="2"/>
      <c r="U200" s="2"/>
      <c r="V200" s="2"/>
      <c r="W200" s="2"/>
      <c r="X200" s="2"/>
      <c r="AC200" s="2"/>
      <c r="AI200" s="2"/>
      <c r="AN200" s="2"/>
      <c r="AO200" s="2"/>
      <c r="AP200" s="2"/>
      <c r="AQ200" s="2"/>
      <c r="AR200" s="2"/>
      <c r="AS200" s="2"/>
    </row>
    <row r="201" spans="5:45" ht="15.75" customHeight="1">
      <c r="E201" s="2"/>
      <c r="F201" s="2"/>
      <c r="G201" s="2"/>
      <c r="M201" s="2"/>
      <c r="N201" s="2"/>
      <c r="O201" s="2"/>
      <c r="P201" s="2"/>
      <c r="U201" s="2"/>
      <c r="V201" s="2"/>
      <c r="W201" s="2"/>
      <c r="X201" s="2"/>
      <c r="AC201" s="2"/>
      <c r="AI201" s="2"/>
      <c r="AN201" s="2"/>
      <c r="AO201" s="2"/>
      <c r="AP201" s="2"/>
      <c r="AQ201" s="2"/>
      <c r="AR201" s="2"/>
      <c r="AS201" s="2"/>
    </row>
    <row r="202" spans="5:45" ht="15.75" customHeight="1">
      <c r="E202" s="2"/>
      <c r="F202" s="2"/>
      <c r="G202" s="2"/>
      <c r="M202" s="2"/>
      <c r="N202" s="2"/>
      <c r="O202" s="2"/>
      <c r="P202" s="2"/>
      <c r="U202" s="2"/>
      <c r="V202" s="2"/>
      <c r="W202" s="2"/>
      <c r="X202" s="2"/>
      <c r="AC202" s="2"/>
      <c r="AI202" s="2"/>
      <c r="AN202" s="2"/>
      <c r="AO202" s="2"/>
      <c r="AP202" s="2"/>
      <c r="AQ202" s="2"/>
      <c r="AR202" s="2"/>
      <c r="AS202" s="2"/>
    </row>
    <row r="203" spans="5:45" ht="15.75" customHeight="1">
      <c r="E203" s="2"/>
      <c r="F203" s="2"/>
      <c r="G203" s="2"/>
      <c r="M203" s="2"/>
      <c r="N203" s="2"/>
      <c r="O203" s="2"/>
      <c r="P203" s="2"/>
      <c r="U203" s="2"/>
      <c r="V203" s="2"/>
      <c r="W203" s="2"/>
      <c r="X203" s="2"/>
      <c r="AC203" s="2"/>
      <c r="AI203" s="2"/>
      <c r="AN203" s="2"/>
      <c r="AO203" s="2"/>
      <c r="AP203" s="2"/>
      <c r="AQ203" s="2"/>
      <c r="AR203" s="2"/>
      <c r="AS203" s="2"/>
    </row>
    <row r="204" spans="5:45" ht="15.75" customHeight="1">
      <c r="E204" s="2"/>
      <c r="F204" s="2"/>
      <c r="G204" s="2"/>
      <c r="M204" s="2"/>
      <c r="N204" s="2"/>
      <c r="O204" s="2"/>
      <c r="P204" s="2"/>
      <c r="U204" s="2"/>
      <c r="V204" s="2"/>
      <c r="W204" s="2"/>
      <c r="X204" s="2"/>
      <c r="AC204" s="2"/>
      <c r="AI204" s="2"/>
      <c r="AN204" s="2"/>
      <c r="AO204" s="2"/>
      <c r="AP204" s="2"/>
      <c r="AQ204" s="2"/>
      <c r="AR204" s="2"/>
      <c r="AS204" s="2"/>
    </row>
    <row r="205" spans="5:45" ht="15.75" customHeight="1">
      <c r="E205" s="2"/>
      <c r="F205" s="2"/>
      <c r="G205" s="2"/>
      <c r="M205" s="2"/>
      <c r="N205" s="2"/>
      <c r="O205" s="2"/>
      <c r="P205" s="2"/>
      <c r="U205" s="2"/>
      <c r="V205" s="2"/>
      <c r="W205" s="2"/>
      <c r="X205" s="2"/>
      <c r="AC205" s="2"/>
      <c r="AI205" s="2"/>
      <c r="AN205" s="2"/>
      <c r="AO205" s="2"/>
      <c r="AP205" s="2"/>
      <c r="AQ205" s="2"/>
      <c r="AR205" s="2"/>
      <c r="AS205" s="2"/>
    </row>
    <row r="206" spans="5:45" ht="15.75" customHeight="1">
      <c r="E206" s="2"/>
      <c r="F206" s="2"/>
      <c r="G206" s="2"/>
      <c r="M206" s="2"/>
      <c r="N206" s="2"/>
      <c r="O206" s="2"/>
      <c r="P206" s="2"/>
      <c r="U206" s="2"/>
      <c r="V206" s="2"/>
      <c r="W206" s="2"/>
      <c r="X206" s="2"/>
      <c r="AC206" s="2"/>
      <c r="AI206" s="2"/>
      <c r="AN206" s="2"/>
      <c r="AO206" s="2"/>
      <c r="AP206" s="2"/>
      <c r="AQ206" s="2"/>
      <c r="AR206" s="2"/>
      <c r="AS206" s="2"/>
    </row>
    <row r="207" spans="5:45" ht="15.75" customHeight="1">
      <c r="E207" s="2"/>
      <c r="F207" s="2"/>
      <c r="G207" s="2"/>
      <c r="M207" s="2"/>
      <c r="N207" s="2"/>
      <c r="O207" s="2"/>
      <c r="P207" s="2"/>
      <c r="U207" s="2"/>
      <c r="V207" s="2"/>
      <c r="W207" s="2"/>
      <c r="X207" s="2"/>
      <c r="AC207" s="2"/>
      <c r="AI207" s="2"/>
      <c r="AN207" s="2"/>
      <c r="AO207" s="2"/>
      <c r="AP207" s="2"/>
      <c r="AQ207" s="2"/>
      <c r="AR207" s="2"/>
      <c r="AS207" s="2"/>
    </row>
    <row r="208" spans="5:45" ht="15.75" customHeight="1">
      <c r="E208" s="2"/>
      <c r="F208" s="2"/>
      <c r="G208" s="2"/>
      <c r="M208" s="2"/>
      <c r="N208" s="2"/>
      <c r="O208" s="2"/>
      <c r="P208" s="2"/>
      <c r="U208" s="2"/>
      <c r="V208" s="2"/>
      <c r="W208" s="2"/>
      <c r="X208" s="2"/>
      <c r="AC208" s="2"/>
      <c r="AI208" s="2"/>
      <c r="AN208" s="2"/>
      <c r="AO208" s="2"/>
      <c r="AP208" s="2"/>
      <c r="AQ208" s="2"/>
      <c r="AR208" s="2"/>
      <c r="AS208" s="2"/>
    </row>
    <row r="209" spans="5:45" ht="15.75" customHeight="1">
      <c r="E209" s="2"/>
      <c r="F209" s="2"/>
      <c r="G209" s="2"/>
      <c r="M209" s="2"/>
      <c r="N209" s="2"/>
      <c r="O209" s="2"/>
      <c r="P209" s="2"/>
      <c r="U209" s="2"/>
      <c r="V209" s="2"/>
      <c r="W209" s="2"/>
      <c r="X209" s="2"/>
      <c r="AC209" s="2"/>
      <c r="AI209" s="2"/>
      <c r="AN209" s="2"/>
      <c r="AO209" s="2"/>
      <c r="AP209" s="2"/>
      <c r="AQ209" s="2"/>
      <c r="AR209" s="2"/>
      <c r="AS209" s="2"/>
    </row>
    <row r="210" spans="5:45" ht="15.75" customHeight="1">
      <c r="E210" s="2"/>
      <c r="F210" s="2"/>
      <c r="G210" s="2"/>
      <c r="M210" s="2"/>
      <c r="N210" s="2"/>
      <c r="O210" s="2"/>
      <c r="P210" s="2"/>
      <c r="U210" s="2"/>
      <c r="V210" s="2"/>
      <c r="W210" s="2"/>
      <c r="X210" s="2"/>
      <c r="AC210" s="2"/>
      <c r="AI210" s="2"/>
      <c r="AN210" s="2"/>
      <c r="AO210" s="2"/>
      <c r="AP210" s="2"/>
      <c r="AQ210" s="2"/>
      <c r="AR210" s="2"/>
      <c r="AS210" s="2"/>
    </row>
    <row r="211" spans="5:45" ht="15.75" customHeight="1">
      <c r="E211" s="2"/>
      <c r="F211" s="2"/>
      <c r="G211" s="2"/>
      <c r="M211" s="2"/>
      <c r="N211" s="2"/>
      <c r="O211" s="2"/>
      <c r="P211" s="2"/>
      <c r="U211" s="2"/>
      <c r="V211" s="2"/>
      <c r="W211" s="2"/>
      <c r="X211" s="2"/>
      <c r="AC211" s="2"/>
      <c r="AI211" s="2"/>
      <c r="AN211" s="2"/>
      <c r="AO211" s="2"/>
      <c r="AP211" s="2"/>
      <c r="AQ211" s="2"/>
      <c r="AR211" s="2"/>
      <c r="AS211" s="2"/>
    </row>
    <row r="212" spans="5:45" ht="15.75" customHeight="1">
      <c r="E212" s="2"/>
      <c r="F212" s="2"/>
      <c r="G212" s="2"/>
      <c r="M212" s="2"/>
      <c r="N212" s="2"/>
      <c r="O212" s="2"/>
      <c r="P212" s="2"/>
      <c r="U212" s="2"/>
      <c r="V212" s="2"/>
      <c r="W212" s="2"/>
      <c r="X212" s="2"/>
      <c r="AC212" s="2"/>
      <c r="AI212" s="2"/>
      <c r="AN212" s="2"/>
      <c r="AO212" s="2"/>
      <c r="AP212" s="2"/>
      <c r="AQ212" s="2"/>
      <c r="AR212" s="2"/>
      <c r="AS212" s="2"/>
    </row>
    <row r="213" spans="5:45" ht="15.75" customHeight="1">
      <c r="E213" s="2"/>
      <c r="F213" s="2"/>
      <c r="G213" s="2"/>
      <c r="M213" s="2"/>
      <c r="N213" s="2"/>
      <c r="O213" s="2"/>
      <c r="P213" s="2"/>
      <c r="U213" s="2"/>
      <c r="V213" s="2"/>
      <c r="W213" s="2"/>
      <c r="X213" s="2"/>
      <c r="AC213" s="2"/>
      <c r="AI213" s="2"/>
      <c r="AN213" s="2"/>
      <c r="AO213" s="2"/>
      <c r="AP213" s="2"/>
      <c r="AQ213" s="2"/>
      <c r="AR213" s="2"/>
      <c r="AS213" s="2"/>
    </row>
    <row r="214" spans="5:45" ht="15.75" customHeight="1">
      <c r="E214" s="2"/>
      <c r="F214" s="2"/>
      <c r="G214" s="2"/>
      <c r="M214" s="2"/>
      <c r="N214" s="2"/>
      <c r="O214" s="2"/>
      <c r="P214" s="2"/>
      <c r="U214" s="2"/>
      <c r="V214" s="2"/>
      <c r="W214" s="2"/>
      <c r="X214" s="2"/>
      <c r="AC214" s="2"/>
      <c r="AI214" s="2"/>
      <c r="AN214" s="2"/>
      <c r="AO214" s="2"/>
      <c r="AP214" s="2"/>
      <c r="AQ214" s="2"/>
      <c r="AR214" s="2"/>
      <c r="AS214" s="2"/>
    </row>
    <row r="215" spans="5:45" ht="15.75" customHeight="1">
      <c r="E215" s="2"/>
      <c r="F215" s="2"/>
      <c r="G215" s="2"/>
      <c r="M215" s="2"/>
      <c r="N215" s="2"/>
      <c r="O215" s="2"/>
      <c r="P215" s="2"/>
      <c r="U215" s="2"/>
      <c r="V215" s="2"/>
      <c r="W215" s="2"/>
      <c r="X215" s="2"/>
      <c r="AC215" s="2"/>
      <c r="AI215" s="2"/>
      <c r="AN215" s="2"/>
      <c r="AO215" s="2"/>
      <c r="AP215" s="2"/>
      <c r="AQ215" s="2"/>
      <c r="AR215" s="2"/>
      <c r="AS215" s="2"/>
    </row>
    <row r="216" spans="5:45" ht="15.75" customHeight="1">
      <c r="E216" s="2"/>
      <c r="F216" s="2"/>
      <c r="G216" s="2"/>
      <c r="M216" s="2"/>
      <c r="N216" s="2"/>
      <c r="O216" s="2"/>
      <c r="P216" s="2"/>
      <c r="U216" s="2"/>
      <c r="V216" s="2"/>
      <c r="W216" s="2"/>
      <c r="X216" s="2"/>
      <c r="AC216" s="2"/>
      <c r="AI216" s="2"/>
      <c r="AN216" s="2"/>
      <c r="AO216" s="2"/>
      <c r="AP216" s="2"/>
      <c r="AQ216" s="2"/>
      <c r="AR216" s="2"/>
      <c r="AS216" s="2"/>
    </row>
    <row r="217" spans="5:45" ht="15.75" customHeight="1">
      <c r="E217" s="2"/>
      <c r="F217" s="2"/>
      <c r="G217" s="2"/>
      <c r="M217" s="2"/>
      <c r="N217" s="2"/>
      <c r="O217" s="2"/>
      <c r="P217" s="2"/>
      <c r="U217" s="2"/>
      <c r="V217" s="2"/>
      <c r="W217" s="2"/>
      <c r="X217" s="2"/>
      <c r="AC217" s="2"/>
      <c r="AI217" s="2"/>
      <c r="AN217" s="2"/>
      <c r="AO217" s="2"/>
      <c r="AP217" s="2"/>
      <c r="AQ217" s="2"/>
      <c r="AR217" s="2"/>
      <c r="AS217" s="2"/>
    </row>
    <row r="218" spans="5:45" ht="15.75" customHeight="1">
      <c r="E218" s="2"/>
      <c r="F218" s="2"/>
      <c r="G218" s="2"/>
      <c r="M218" s="2"/>
      <c r="N218" s="2"/>
      <c r="O218" s="2"/>
      <c r="P218" s="2"/>
      <c r="U218" s="2"/>
      <c r="V218" s="2"/>
      <c r="W218" s="2"/>
      <c r="X218" s="2"/>
      <c r="AC218" s="2"/>
      <c r="AI218" s="2"/>
      <c r="AN218" s="2"/>
      <c r="AO218" s="2"/>
      <c r="AP218" s="2"/>
      <c r="AQ218" s="2"/>
      <c r="AR218" s="2"/>
      <c r="AS218" s="2"/>
    </row>
    <row r="219" spans="5:45" ht="15.75" customHeight="1">
      <c r="E219" s="2"/>
      <c r="F219" s="2"/>
      <c r="G219" s="2"/>
      <c r="M219" s="2"/>
      <c r="N219" s="2"/>
      <c r="O219" s="2"/>
      <c r="P219" s="2"/>
      <c r="U219" s="2"/>
      <c r="V219" s="2"/>
      <c r="W219" s="2"/>
      <c r="X219" s="2"/>
      <c r="AC219" s="2"/>
      <c r="AI219" s="2"/>
      <c r="AN219" s="2"/>
      <c r="AO219" s="2"/>
      <c r="AP219" s="2"/>
      <c r="AQ219" s="2"/>
      <c r="AR219" s="2"/>
      <c r="AS219" s="2"/>
    </row>
    <row r="220" spans="5:45" ht="15.75" customHeight="1">
      <c r="E220" s="2"/>
      <c r="F220" s="2"/>
      <c r="G220" s="2"/>
      <c r="M220" s="2"/>
      <c r="N220" s="2"/>
      <c r="O220" s="2"/>
      <c r="P220" s="2"/>
      <c r="U220" s="2"/>
      <c r="V220" s="2"/>
      <c r="W220" s="2"/>
      <c r="X220" s="2"/>
      <c r="AC220" s="2"/>
      <c r="AI220" s="2"/>
      <c r="AN220" s="2"/>
      <c r="AO220" s="2"/>
      <c r="AP220" s="2"/>
      <c r="AQ220" s="2"/>
      <c r="AR220" s="2"/>
      <c r="AS220" s="2"/>
    </row>
    <row r="221" spans="5:45" ht="15.75" customHeight="1">
      <c r="E221" s="2"/>
      <c r="F221" s="2"/>
      <c r="G221" s="2"/>
      <c r="M221" s="2"/>
      <c r="N221" s="2"/>
      <c r="O221" s="2"/>
      <c r="P221" s="2"/>
      <c r="U221" s="2"/>
      <c r="V221" s="2"/>
      <c r="W221" s="2"/>
      <c r="X221" s="2"/>
      <c r="AC221" s="2"/>
      <c r="AI221" s="2"/>
      <c r="AN221" s="2"/>
      <c r="AO221" s="2"/>
      <c r="AP221" s="2"/>
      <c r="AQ221" s="2"/>
      <c r="AR221" s="2"/>
      <c r="AS221" s="2"/>
    </row>
    <row r="222" spans="5:45" ht="15.75" customHeight="1">
      <c r="E222" s="2"/>
      <c r="F222" s="2"/>
      <c r="G222" s="2"/>
      <c r="M222" s="2"/>
      <c r="N222" s="2"/>
      <c r="O222" s="2"/>
      <c r="P222" s="2"/>
      <c r="U222" s="2"/>
      <c r="V222" s="2"/>
      <c r="W222" s="2"/>
      <c r="X222" s="2"/>
      <c r="AC222" s="2"/>
      <c r="AI222" s="2"/>
      <c r="AN222" s="2"/>
      <c r="AO222" s="2"/>
      <c r="AP222" s="2"/>
      <c r="AQ222" s="2"/>
      <c r="AR222" s="2"/>
      <c r="AS222" s="2"/>
    </row>
    <row r="223" spans="5:45" ht="15.75" customHeight="1">
      <c r="E223" s="2"/>
      <c r="F223" s="2"/>
      <c r="G223" s="2"/>
      <c r="M223" s="2"/>
      <c r="N223" s="2"/>
      <c r="O223" s="2"/>
      <c r="P223" s="2"/>
      <c r="U223" s="2"/>
      <c r="V223" s="2"/>
      <c r="W223" s="2"/>
      <c r="X223" s="2"/>
      <c r="AC223" s="2"/>
      <c r="AI223" s="2"/>
      <c r="AN223" s="2"/>
      <c r="AO223" s="2"/>
      <c r="AP223" s="2"/>
      <c r="AQ223" s="2"/>
      <c r="AR223" s="2"/>
      <c r="AS223" s="2"/>
    </row>
    <row r="224" spans="5:45" ht="15.75" customHeight="1">
      <c r="E224" s="2"/>
      <c r="F224" s="2"/>
      <c r="G224" s="2"/>
      <c r="M224" s="2"/>
      <c r="N224" s="2"/>
      <c r="O224" s="2"/>
      <c r="P224" s="2"/>
      <c r="U224" s="2"/>
      <c r="V224" s="2"/>
      <c r="W224" s="2"/>
      <c r="X224" s="2"/>
      <c r="AC224" s="2"/>
      <c r="AI224" s="2"/>
      <c r="AN224" s="2"/>
      <c r="AO224" s="2"/>
      <c r="AP224" s="2"/>
      <c r="AQ224" s="2"/>
      <c r="AR224" s="2"/>
      <c r="AS224" s="2"/>
    </row>
    <row r="225" spans="5:45" ht="15.75" customHeight="1">
      <c r="E225" s="2"/>
      <c r="F225" s="2"/>
      <c r="G225" s="2"/>
      <c r="M225" s="2"/>
      <c r="N225" s="2"/>
      <c r="O225" s="2"/>
      <c r="P225" s="2"/>
      <c r="U225" s="2"/>
      <c r="V225" s="2"/>
      <c r="W225" s="2"/>
      <c r="X225" s="2"/>
      <c r="AC225" s="2"/>
      <c r="AI225" s="2"/>
      <c r="AN225" s="2"/>
      <c r="AO225" s="2"/>
      <c r="AP225" s="2"/>
      <c r="AQ225" s="2"/>
      <c r="AR225" s="2"/>
      <c r="AS225" s="2"/>
    </row>
    <row r="226" spans="5:45" ht="15.75" customHeight="1">
      <c r="E226" s="2"/>
      <c r="F226" s="2"/>
      <c r="G226" s="2"/>
      <c r="M226" s="2"/>
      <c r="N226" s="2"/>
      <c r="O226" s="2"/>
      <c r="P226" s="2"/>
      <c r="U226" s="2"/>
      <c r="V226" s="2"/>
      <c r="W226" s="2"/>
      <c r="X226" s="2"/>
      <c r="AC226" s="2"/>
      <c r="AI226" s="2"/>
      <c r="AN226" s="2"/>
      <c r="AO226" s="2"/>
      <c r="AP226" s="2"/>
      <c r="AQ226" s="2"/>
      <c r="AR226" s="2"/>
      <c r="AS226" s="2"/>
    </row>
    <row r="227" spans="5:45" ht="15.75" customHeight="1">
      <c r="E227" s="2"/>
      <c r="F227" s="2"/>
      <c r="G227" s="2"/>
      <c r="M227" s="2"/>
      <c r="N227" s="2"/>
      <c r="O227" s="2"/>
      <c r="P227" s="2"/>
      <c r="U227" s="2"/>
      <c r="V227" s="2"/>
      <c r="W227" s="2"/>
      <c r="X227" s="2"/>
      <c r="AC227" s="2"/>
      <c r="AI227" s="2"/>
      <c r="AN227" s="2"/>
      <c r="AO227" s="2"/>
      <c r="AP227" s="2"/>
      <c r="AQ227" s="2"/>
      <c r="AR227" s="2"/>
      <c r="AS227" s="2"/>
    </row>
    <row r="228" spans="5:45" ht="15.75" customHeight="1">
      <c r="E228" s="2"/>
      <c r="F228" s="2"/>
      <c r="G228" s="2"/>
      <c r="M228" s="2"/>
      <c r="N228" s="2"/>
      <c r="O228" s="2"/>
      <c r="P228" s="2"/>
      <c r="U228" s="2"/>
      <c r="V228" s="2"/>
      <c r="W228" s="2"/>
      <c r="X228" s="2"/>
      <c r="AC228" s="2"/>
      <c r="AI228" s="2"/>
      <c r="AN228" s="2"/>
      <c r="AO228" s="2"/>
      <c r="AP228" s="2"/>
      <c r="AQ228" s="2"/>
      <c r="AR228" s="2"/>
      <c r="AS228" s="2"/>
    </row>
    <row r="229" spans="5:45" ht="15.75" customHeight="1">
      <c r="E229" s="2"/>
      <c r="F229" s="2"/>
      <c r="G229" s="2"/>
      <c r="M229" s="2"/>
      <c r="N229" s="2"/>
      <c r="O229" s="2"/>
      <c r="P229" s="2"/>
      <c r="U229" s="2"/>
      <c r="V229" s="2"/>
      <c r="W229" s="2"/>
      <c r="X229" s="2"/>
      <c r="AC229" s="2"/>
      <c r="AI229" s="2"/>
      <c r="AN229" s="2"/>
      <c r="AO229" s="2"/>
      <c r="AP229" s="2"/>
      <c r="AQ229" s="2"/>
      <c r="AR229" s="2"/>
      <c r="AS229" s="2"/>
    </row>
    <row r="230" spans="5:45" ht="15.75" customHeight="1">
      <c r="E230" s="2"/>
      <c r="F230" s="2"/>
      <c r="G230" s="2"/>
      <c r="M230" s="2"/>
      <c r="N230" s="2"/>
      <c r="O230" s="2"/>
      <c r="P230" s="2"/>
      <c r="U230" s="2"/>
      <c r="V230" s="2"/>
      <c r="W230" s="2"/>
      <c r="X230" s="2"/>
      <c r="AC230" s="2"/>
      <c r="AI230" s="2"/>
      <c r="AN230" s="2"/>
      <c r="AO230" s="2"/>
      <c r="AP230" s="2"/>
      <c r="AQ230" s="2"/>
      <c r="AR230" s="2"/>
      <c r="AS230" s="2"/>
    </row>
    <row r="231" spans="5:45" ht="15.75" customHeight="1">
      <c r="E231" s="2"/>
      <c r="F231" s="2"/>
      <c r="G231" s="2"/>
      <c r="M231" s="2"/>
      <c r="N231" s="2"/>
      <c r="O231" s="2"/>
      <c r="P231" s="2"/>
      <c r="U231" s="2"/>
      <c r="V231" s="2"/>
      <c r="W231" s="2"/>
      <c r="X231" s="2"/>
      <c r="AC231" s="2"/>
      <c r="AI231" s="2"/>
      <c r="AN231" s="2"/>
      <c r="AO231" s="2"/>
      <c r="AP231" s="2"/>
      <c r="AQ231" s="2"/>
      <c r="AR231" s="2"/>
      <c r="AS231" s="2"/>
    </row>
    <row r="232" spans="5:45" ht="15.75" customHeight="1">
      <c r="E232" s="2"/>
      <c r="F232" s="2"/>
      <c r="G232" s="2"/>
      <c r="M232" s="2"/>
      <c r="N232" s="2"/>
      <c r="O232" s="2"/>
      <c r="P232" s="2"/>
      <c r="U232" s="2"/>
      <c r="V232" s="2"/>
      <c r="W232" s="2"/>
      <c r="X232" s="2"/>
      <c r="AC232" s="2"/>
      <c r="AI232" s="2"/>
      <c r="AN232" s="2"/>
      <c r="AO232" s="2"/>
      <c r="AP232" s="2"/>
      <c r="AQ232" s="2"/>
      <c r="AR232" s="2"/>
      <c r="AS232" s="2"/>
    </row>
    <row r="233" spans="5:45" ht="15.75" customHeight="1">
      <c r="E233" s="2"/>
      <c r="F233" s="2"/>
      <c r="G233" s="2"/>
      <c r="M233" s="2"/>
      <c r="N233" s="2"/>
      <c r="O233" s="2"/>
      <c r="P233" s="2"/>
      <c r="U233" s="2"/>
      <c r="V233" s="2"/>
      <c r="W233" s="2"/>
      <c r="X233" s="2"/>
      <c r="AC233" s="2"/>
      <c r="AI233" s="2"/>
      <c r="AN233" s="2"/>
      <c r="AO233" s="2"/>
      <c r="AP233" s="2"/>
      <c r="AQ233" s="2"/>
      <c r="AR233" s="2"/>
      <c r="AS233" s="2"/>
    </row>
    <row r="234" spans="5:45" ht="15.75" customHeight="1">
      <c r="E234" s="2"/>
      <c r="F234" s="2"/>
      <c r="G234" s="2"/>
      <c r="M234" s="2"/>
      <c r="N234" s="2"/>
      <c r="O234" s="2"/>
      <c r="P234" s="2"/>
      <c r="U234" s="2"/>
      <c r="V234" s="2"/>
      <c r="W234" s="2"/>
      <c r="X234" s="2"/>
      <c r="AC234" s="2"/>
      <c r="AI234" s="2"/>
      <c r="AN234" s="2"/>
      <c r="AO234" s="2"/>
      <c r="AP234" s="2"/>
      <c r="AQ234" s="2"/>
      <c r="AR234" s="2"/>
      <c r="AS234" s="2"/>
    </row>
    <row r="235" spans="5:45" ht="15.75" customHeight="1">
      <c r="E235" s="2"/>
      <c r="F235" s="2"/>
      <c r="G235" s="2"/>
      <c r="M235" s="2"/>
      <c r="N235" s="2"/>
      <c r="O235" s="2"/>
      <c r="P235" s="2"/>
      <c r="U235" s="2"/>
      <c r="V235" s="2"/>
      <c r="W235" s="2"/>
      <c r="X235" s="2"/>
      <c r="AC235" s="2"/>
      <c r="AI235" s="2"/>
      <c r="AN235" s="2"/>
      <c r="AO235" s="2"/>
      <c r="AP235" s="2"/>
      <c r="AQ235" s="2"/>
      <c r="AR235" s="2"/>
      <c r="AS235" s="2"/>
    </row>
    <row r="236" spans="5:45" ht="15.75" customHeight="1">
      <c r="E236" s="2"/>
      <c r="F236" s="2"/>
      <c r="G236" s="2"/>
      <c r="M236" s="2"/>
      <c r="N236" s="2"/>
      <c r="O236" s="2"/>
      <c r="P236" s="2"/>
      <c r="U236" s="2"/>
      <c r="V236" s="2"/>
      <c r="W236" s="2"/>
      <c r="X236" s="2"/>
      <c r="AC236" s="2"/>
      <c r="AI236" s="2"/>
      <c r="AN236" s="2"/>
      <c r="AO236" s="2"/>
      <c r="AP236" s="2"/>
      <c r="AQ236" s="2"/>
      <c r="AR236" s="2"/>
      <c r="AS236" s="2"/>
    </row>
    <row r="237" spans="5:45" ht="15.75" customHeight="1">
      <c r="E237" s="2"/>
      <c r="F237" s="2"/>
      <c r="G237" s="2"/>
      <c r="M237" s="2"/>
      <c r="N237" s="2"/>
      <c r="O237" s="2"/>
      <c r="P237" s="2"/>
      <c r="U237" s="2"/>
      <c r="V237" s="2"/>
      <c r="W237" s="2"/>
      <c r="X237" s="2"/>
      <c r="AC237" s="2"/>
      <c r="AI237" s="2"/>
      <c r="AN237" s="2"/>
      <c r="AO237" s="2"/>
      <c r="AP237" s="2"/>
      <c r="AQ237" s="2"/>
      <c r="AR237" s="2"/>
      <c r="AS237" s="2"/>
    </row>
    <row r="238" spans="5:45" ht="15.75" customHeight="1">
      <c r="E238" s="2"/>
      <c r="F238" s="2"/>
      <c r="G238" s="2"/>
      <c r="M238" s="2"/>
      <c r="N238" s="2"/>
      <c r="O238" s="2"/>
      <c r="P238" s="2"/>
      <c r="U238" s="2"/>
      <c r="V238" s="2"/>
      <c r="W238" s="2"/>
      <c r="X238" s="2"/>
      <c r="AC238" s="2"/>
      <c r="AI238" s="2"/>
      <c r="AN238" s="2"/>
      <c r="AO238" s="2"/>
      <c r="AP238" s="2"/>
      <c r="AQ238" s="2"/>
      <c r="AR238" s="2"/>
      <c r="AS238" s="2"/>
    </row>
    <row r="239" spans="5:45" ht="15.75" customHeight="1">
      <c r="E239" s="2"/>
      <c r="F239" s="2"/>
      <c r="G239" s="2"/>
      <c r="M239" s="2"/>
      <c r="N239" s="2"/>
      <c r="O239" s="2"/>
      <c r="P239" s="2"/>
      <c r="U239" s="2"/>
      <c r="V239" s="2"/>
      <c r="W239" s="2"/>
      <c r="X239" s="2"/>
      <c r="AC239" s="2"/>
      <c r="AI239" s="2"/>
      <c r="AN239" s="2"/>
      <c r="AO239" s="2"/>
      <c r="AP239" s="2"/>
      <c r="AQ239" s="2"/>
      <c r="AR239" s="2"/>
      <c r="AS239" s="2"/>
    </row>
    <row r="240" spans="5:45" ht="15.75" customHeight="1">
      <c r="E240" s="2"/>
      <c r="F240" s="2"/>
      <c r="G240" s="2"/>
      <c r="M240" s="2"/>
      <c r="N240" s="2"/>
      <c r="O240" s="2"/>
      <c r="P240" s="2"/>
      <c r="U240" s="2"/>
      <c r="V240" s="2"/>
      <c r="W240" s="2"/>
      <c r="X240" s="2"/>
      <c r="AC240" s="2"/>
      <c r="AI240" s="2"/>
      <c r="AN240" s="2"/>
      <c r="AO240" s="2"/>
      <c r="AP240" s="2"/>
      <c r="AQ240" s="2"/>
      <c r="AR240" s="2"/>
      <c r="AS240" s="2"/>
    </row>
    <row r="241" spans="5:45" ht="15.75" customHeight="1">
      <c r="E241" s="2"/>
      <c r="F241" s="2"/>
      <c r="G241" s="2"/>
      <c r="M241" s="2"/>
      <c r="N241" s="2"/>
      <c r="O241" s="2"/>
      <c r="P241" s="2"/>
      <c r="U241" s="2"/>
      <c r="V241" s="2"/>
      <c r="W241" s="2"/>
      <c r="X241" s="2"/>
      <c r="AC241" s="2"/>
      <c r="AI241" s="2"/>
      <c r="AN241" s="2"/>
      <c r="AO241" s="2"/>
      <c r="AP241" s="2"/>
      <c r="AQ241" s="2"/>
      <c r="AR241" s="2"/>
      <c r="AS241" s="2"/>
    </row>
    <row r="242" spans="5:45" ht="15.75" customHeight="1">
      <c r="E242" s="2"/>
      <c r="F242" s="2"/>
      <c r="G242" s="2"/>
      <c r="M242" s="2"/>
      <c r="N242" s="2"/>
      <c r="O242" s="2"/>
      <c r="P242" s="2"/>
      <c r="U242" s="2"/>
      <c r="V242" s="2"/>
      <c r="W242" s="2"/>
      <c r="X242" s="2"/>
      <c r="AC242" s="2"/>
      <c r="AI242" s="2"/>
      <c r="AN242" s="2"/>
      <c r="AO242" s="2"/>
      <c r="AP242" s="2"/>
      <c r="AQ242" s="2"/>
      <c r="AR242" s="2"/>
      <c r="AS242" s="2"/>
    </row>
    <row r="243" spans="5:45" ht="15.75" customHeight="1">
      <c r="E243" s="2"/>
      <c r="F243" s="2"/>
      <c r="G243" s="2"/>
      <c r="M243" s="2"/>
      <c r="N243" s="2"/>
      <c r="O243" s="2"/>
      <c r="P243" s="2"/>
      <c r="U243" s="2"/>
      <c r="V243" s="2"/>
      <c r="W243" s="2"/>
      <c r="X243" s="2"/>
      <c r="AC243" s="2"/>
      <c r="AI243" s="2"/>
      <c r="AN243" s="2"/>
      <c r="AO243" s="2"/>
      <c r="AP243" s="2"/>
      <c r="AQ243" s="2"/>
      <c r="AR243" s="2"/>
      <c r="AS243" s="2"/>
    </row>
    <row r="244" spans="5:45" ht="15.75" customHeight="1">
      <c r="E244" s="2"/>
      <c r="F244" s="2"/>
      <c r="G244" s="2"/>
      <c r="M244" s="2"/>
      <c r="N244" s="2"/>
      <c r="O244" s="2"/>
      <c r="P244" s="2"/>
      <c r="U244" s="2"/>
      <c r="V244" s="2"/>
      <c r="W244" s="2"/>
      <c r="X244" s="2"/>
      <c r="AC244" s="2"/>
      <c r="AI244" s="2"/>
      <c r="AN244" s="2"/>
      <c r="AO244" s="2"/>
      <c r="AP244" s="2"/>
      <c r="AQ244" s="2"/>
      <c r="AR244" s="2"/>
      <c r="AS244" s="2"/>
    </row>
    <row r="245" spans="5:45" ht="15.75" customHeight="1">
      <c r="E245" s="2"/>
      <c r="F245" s="2"/>
      <c r="G245" s="2"/>
      <c r="M245" s="2"/>
      <c r="N245" s="2"/>
      <c r="O245" s="2"/>
      <c r="P245" s="2"/>
      <c r="U245" s="2"/>
      <c r="V245" s="2"/>
      <c r="W245" s="2"/>
      <c r="X245" s="2"/>
      <c r="AC245" s="2"/>
      <c r="AI245" s="2"/>
      <c r="AN245" s="2"/>
      <c r="AO245" s="2"/>
      <c r="AP245" s="2"/>
      <c r="AQ245" s="2"/>
      <c r="AR245" s="2"/>
      <c r="AS245" s="2"/>
    </row>
    <row r="246" spans="5:45" ht="15.75" customHeight="1">
      <c r="E246" s="2"/>
      <c r="F246" s="2"/>
      <c r="G246" s="2"/>
      <c r="M246" s="2"/>
      <c r="N246" s="2"/>
      <c r="O246" s="2"/>
      <c r="P246" s="2"/>
      <c r="U246" s="2"/>
      <c r="V246" s="2"/>
      <c r="W246" s="2"/>
      <c r="X246" s="2"/>
      <c r="AC246" s="2"/>
      <c r="AI246" s="2"/>
      <c r="AN246" s="2"/>
      <c r="AO246" s="2"/>
      <c r="AP246" s="2"/>
      <c r="AQ246" s="2"/>
      <c r="AR246" s="2"/>
      <c r="AS246" s="2"/>
    </row>
    <row r="247" spans="5:45" ht="15.75" customHeight="1">
      <c r="E247" s="2"/>
      <c r="F247" s="2"/>
      <c r="G247" s="2"/>
      <c r="M247" s="2"/>
      <c r="N247" s="2"/>
      <c r="O247" s="2"/>
      <c r="P247" s="2"/>
      <c r="U247" s="2"/>
      <c r="V247" s="2"/>
      <c r="W247" s="2"/>
      <c r="X247" s="2"/>
      <c r="AC247" s="2"/>
      <c r="AI247" s="2"/>
      <c r="AN247" s="2"/>
      <c r="AO247" s="2"/>
      <c r="AP247" s="2"/>
      <c r="AQ247" s="2"/>
      <c r="AR247" s="2"/>
      <c r="AS247" s="2"/>
    </row>
    <row r="248" spans="5:45" ht="15.75" customHeight="1">
      <c r="E248" s="2"/>
      <c r="F248" s="2"/>
      <c r="G248" s="2"/>
      <c r="M248" s="2"/>
      <c r="N248" s="2"/>
      <c r="O248" s="2"/>
      <c r="P248" s="2"/>
      <c r="U248" s="2"/>
      <c r="V248" s="2"/>
      <c r="W248" s="2"/>
      <c r="X248" s="2"/>
      <c r="AC248" s="2"/>
      <c r="AI248" s="2"/>
      <c r="AN248" s="2"/>
      <c r="AO248" s="2"/>
      <c r="AP248" s="2"/>
      <c r="AQ248" s="2"/>
      <c r="AR248" s="2"/>
      <c r="AS248" s="2"/>
    </row>
    <row r="249" spans="5:45" ht="15.75" customHeight="1">
      <c r="E249" s="2"/>
      <c r="F249" s="2"/>
      <c r="G249" s="2"/>
      <c r="M249" s="2"/>
      <c r="N249" s="2"/>
      <c r="O249" s="2"/>
      <c r="P249" s="2"/>
      <c r="U249" s="2"/>
      <c r="V249" s="2"/>
      <c r="W249" s="2"/>
      <c r="X249" s="2"/>
      <c r="AC249" s="2"/>
      <c r="AI249" s="2"/>
      <c r="AN249" s="2"/>
      <c r="AO249" s="2"/>
      <c r="AP249" s="2"/>
      <c r="AQ249" s="2"/>
      <c r="AR249" s="2"/>
      <c r="AS249" s="2"/>
    </row>
    <row r="250" spans="5:45" ht="15.75" customHeight="1">
      <c r="E250" s="2"/>
      <c r="F250" s="2"/>
      <c r="G250" s="2"/>
      <c r="M250" s="2"/>
      <c r="N250" s="2"/>
      <c r="O250" s="2"/>
      <c r="P250" s="2"/>
      <c r="U250" s="2"/>
      <c r="V250" s="2"/>
      <c r="W250" s="2"/>
      <c r="X250" s="2"/>
      <c r="AC250" s="2"/>
      <c r="AI250" s="2"/>
      <c r="AN250" s="2"/>
      <c r="AO250" s="2"/>
      <c r="AP250" s="2"/>
      <c r="AQ250" s="2"/>
      <c r="AR250" s="2"/>
      <c r="AS250" s="2"/>
    </row>
    <row r="251" spans="5:45" ht="15.75" customHeight="1">
      <c r="E251" s="2"/>
      <c r="F251" s="2"/>
      <c r="G251" s="2"/>
      <c r="M251" s="2"/>
      <c r="N251" s="2"/>
      <c r="O251" s="2"/>
      <c r="P251" s="2"/>
      <c r="U251" s="2"/>
      <c r="V251" s="2"/>
      <c r="W251" s="2"/>
      <c r="X251" s="2"/>
      <c r="AC251" s="2"/>
      <c r="AI251" s="2"/>
      <c r="AN251" s="2"/>
      <c r="AO251" s="2"/>
      <c r="AP251" s="2"/>
      <c r="AQ251" s="2"/>
      <c r="AR251" s="2"/>
      <c r="AS251" s="2"/>
    </row>
    <row r="252" spans="5:45" ht="15.75" customHeight="1">
      <c r="E252" s="2"/>
      <c r="F252" s="2"/>
      <c r="G252" s="2"/>
      <c r="M252" s="2"/>
      <c r="N252" s="2"/>
      <c r="O252" s="2"/>
      <c r="P252" s="2"/>
      <c r="U252" s="2"/>
      <c r="V252" s="2"/>
      <c r="W252" s="2"/>
      <c r="X252" s="2"/>
      <c r="AC252" s="2"/>
      <c r="AI252" s="2"/>
      <c r="AN252" s="2"/>
      <c r="AO252" s="2"/>
      <c r="AP252" s="2"/>
      <c r="AQ252" s="2"/>
      <c r="AR252" s="2"/>
      <c r="AS252" s="2"/>
    </row>
    <row r="253" spans="5:45" ht="15.75" customHeight="1">
      <c r="E253" s="2"/>
      <c r="F253" s="2"/>
      <c r="G253" s="2"/>
      <c r="M253" s="2"/>
      <c r="N253" s="2"/>
      <c r="O253" s="2"/>
      <c r="P253" s="2"/>
      <c r="U253" s="2"/>
      <c r="V253" s="2"/>
      <c r="W253" s="2"/>
      <c r="X253" s="2"/>
      <c r="AC253" s="2"/>
      <c r="AI253" s="2"/>
      <c r="AN253" s="2"/>
      <c r="AO253" s="2"/>
      <c r="AP253" s="2"/>
      <c r="AQ253" s="2"/>
      <c r="AR253" s="2"/>
      <c r="AS253" s="2"/>
    </row>
    <row r="254" spans="5:45" ht="15.75" customHeight="1">
      <c r="E254" s="2"/>
      <c r="F254" s="2"/>
      <c r="G254" s="2"/>
      <c r="M254" s="2"/>
      <c r="N254" s="2"/>
      <c r="O254" s="2"/>
      <c r="P254" s="2"/>
      <c r="U254" s="2"/>
      <c r="V254" s="2"/>
      <c r="W254" s="2"/>
      <c r="X254" s="2"/>
      <c r="AC254" s="2"/>
      <c r="AI254" s="2"/>
      <c r="AN254" s="2"/>
      <c r="AO254" s="2"/>
      <c r="AP254" s="2"/>
      <c r="AQ254" s="2"/>
      <c r="AR254" s="2"/>
      <c r="AS254" s="2"/>
    </row>
    <row r="255" spans="5:45" ht="15.75" customHeight="1">
      <c r="E255" s="2"/>
      <c r="F255" s="2"/>
      <c r="G255" s="2"/>
      <c r="M255" s="2"/>
      <c r="N255" s="2"/>
      <c r="O255" s="2"/>
      <c r="P255" s="2"/>
      <c r="U255" s="2"/>
      <c r="V255" s="2"/>
      <c r="W255" s="2"/>
      <c r="X255" s="2"/>
      <c r="AC255" s="2"/>
      <c r="AI255" s="2"/>
      <c r="AN255" s="2"/>
      <c r="AO255" s="2"/>
      <c r="AP255" s="2"/>
      <c r="AQ255" s="2"/>
      <c r="AR255" s="2"/>
      <c r="AS255" s="2"/>
    </row>
    <row r="256" spans="5:45" ht="15.75" customHeight="1">
      <c r="E256" s="2"/>
      <c r="F256" s="2"/>
      <c r="G256" s="2"/>
      <c r="M256" s="2"/>
      <c r="N256" s="2"/>
      <c r="O256" s="2"/>
      <c r="P256" s="2"/>
      <c r="U256" s="2"/>
      <c r="V256" s="2"/>
      <c r="W256" s="2"/>
      <c r="X256" s="2"/>
      <c r="AC256" s="2"/>
      <c r="AI256" s="2"/>
      <c r="AN256" s="2"/>
      <c r="AO256" s="2"/>
      <c r="AP256" s="2"/>
      <c r="AQ256" s="2"/>
      <c r="AR256" s="2"/>
      <c r="AS256" s="2"/>
    </row>
    <row r="257" spans="5:45" ht="15.75" customHeight="1">
      <c r="E257" s="2"/>
      <c r="F257" s="2"/>
      <c r="G257" s="2"/>
      <c r="M257" s="2"/>
      <c r="N257" s="2"/>
      <c r="O257" s="2"/>
      <c r="P257" s="2"/>
      <c r="U257" s="2"/>
      <c r="V257" s="2"/>
      <c r="W257" s="2"/>
      <c r="X257" s="2"/>
      <c r="AC257" s="2"/>
      <c r="AI257" s="2"/>
      <c r="AN257" s="2"/>
      <c r="AO257" s="2"/>
      <c r="AP257" s="2"/>
      <c r="AQ257" s="2"/>
      <c r="AR257" s="2"/>
      <c r="AS257" s="2"/>
    </row>
    <row r="258" spans="5:45" ht="15.75" customHeight="1">
      <c r="E258" s="2"/>
      <c r="F258" s="2"/>
      <c r="G258" s="2"/>
      <c r="M258" s="2"/>
      <c r="N258" s="2"/>
      <c r="O258" s="2"/>
      <c r="P258" s="2"/>
      <c r="U258" s="2"/>
      <c r="V258" s="2"/>
      <c r="W258" s="2"/>
      <c r="X258" s="2"/>
      <c r="AC258" s="2"/>
      <c r="AI258" s="2"/>
      <c r="AN258" s="2"/>
      <c r="AO258" s="2"/>
      <c r="AP258" s="2"/>
      <c r="AQ258" s="2"/>
      <c r="AR258" s="2"/>
      <c r="AS258" s="2"/>
    </row>
    <row r="259" spans="5:45" ht="15.75" customHeight="1">
      <c r="E259" s="2"/>
      <c r="F259" s="2"/>
      <c r="G259" s="2"/>
      <c r="M259" s="2"/>
      <c r="N259" s="2"/>
      <c r="O259" s="2"/>
      <c r="P259" s="2"/>
      <c r="U259" s="2"/>
      <c r="V259" s="2"/>
      <c r="W259" s="2"/>
      <c r="X259" s="2"/>
      <c r="AC259" s="2"/>
      <c r="AI259" s="2"/>
      <c r="AN259" s="2"/>
      <c r="AO259" s="2"/>
      <c r="AP259" s="2"/>
      <c r="AQ259" s="2"/>
      <c r="AR259" s="2"/>
      <c r="AS259" s="2"/>
    </row>
    <row r="260" spans="5:45" ht="15.75" customHeight="1">
      <c r="E260" s="2"/>
      <c r="F260" s="2"/>
      <c r="G260" s="2"/>
      <c r="M260" s="2"/>
      <c r="N260" s="2"/>
      <c r="O260" s="2"/>
      <c r="P260" s="2"/>
      <c r="U260" s="2"/>
      <c r="V260" s="2"/>
      <c r="W260" s="2"/>
      <c r="X260" s="2"/>
      <c r="AC260" s="2"/>
      <c r="AI260" s="2"/>
      <c r="AN260" s="2"/>
      <c r="AO260" s="2"/>
      <c r="AP260" s="2"/>
      <c r="AQ260" s="2"/>
      <c r="AR260" s="2"/>
      <c r="AS260" s="2"/>
    </row>
    <row r="261" spans="5:45" ht="15.75" customHeight="1">
      <c r="E261" s="2"/>
      <c r="F261" s="2"/>
      <c r="G261" s="2"/>
      <c r="M261" s="2"/>
      <c r="N261" s="2"/>
      <c r="O261" s="2"/>
      <c r="P261" s="2"/>
      <c r="U261" s="2"/>
      <c r="V261" s="2"/>
      <c r="W261" s="2"/>
      <c r="X261" s="2"/>
      <c r="AC261" s="2"/>
      <c r="AI261" s="2"/>
      <c r="AN261" s="2"/>
      <c r="AO261" s="2"/>
      <c r="AP261" s="2"/>
      <c r="AQ261" s="2"/>
      <c r="AR261" s="2"/>
      <c r="AS261" s="2"/>
    </row>
    <row r="262" spans="5:45" ht="15.75" customHeight="1">
      <c r="E262" s="2"/>
      <c r="F262" s="2"/>
      <c r="G262" s="2"/>
      <c r="M262" s="2"/>
      <c r="N262" s="2"/>
      <c r="O262" s="2"/>
      <c r="P262" s="2"/>
      <c r="U262" s="2"/>
      <c r="V262" s="2"/>
      <c r="W262" s="2"/>
      <c r="X262" s="2"/>
      <c r="AC262" s="2"/>
      <c r="AI262" s="2"/>
      <c r="AN262" s="2"/>
      <c r="AO262" s="2"/>
      <c r="AP262" s="2"/>
      <c r="AQ262" s="2"/>
      <c r="AR262" s="2"/>
      <c r="AS262" s="2"/>
    </row>
    <row r="263" spans="5:45" ht="15.75" customHeight="1">
      <c r="E263" s="2"/>
      <c r="F263" s="2"/>
      <c r="G263" s="2"/>
      <c r="M263" s="2"/>
      <c r="N263" s="2"/>
      <c r="O263" s="2"/>
      <c r="P263" s="2"/>
      <c r="U263" s="2"/>
      <c r="V263" s="2"/>
      <c r="W263" s="2"/>
      <c r="X263" s="2"/>
      <c r="AC263" s="2"/>
      <c r="AI263" s="2"/>
      <c r="AN263" s="2"/>
      <c r="AO263" s="2"/>
      <c r="AP263" s="2"/>
      <c r="AQ263" s="2"/>
      <c r="AR263" s="2"/>
      <c r="AS263" s="2"/>
    </row>
    <row r="264" spans="5:45" ht="15.75" customHeight="1">
      <c r="E264" s="2"/>
      <c r="F264" s="2"/>
      <c r="G264" s="2"/>
      <c r="M264" s="2"/>
      <c r="N264" s="2"/>
      <c r="O264" s="2"/>
      <c r="P264" s="2"/>
      <c r="U264" s="2"/>
      <c r="V264" s="2"/>
      <c r="W264" s="2"/>
      <c r="X264" s="2"/>
      <c r="AC264" s="2"/>
      <c r="AI264" s="2"/>
      <c r="AN264" s="2"/>
      <c r="AO264" s="2"/>
      <c r="AP264" s="2"/>
      <c r="AQ264" s="2"/>
      <c r="AR264" s="2"/>
      <c r="AS264" s="2"/>
    </row>
    <row r="265" spans="5:45" ht="15.75" customHeight="1">
      <c r="E265" s="2"/>
      <c r="F265" s="2"/>
      <c r="G265" s="2"/>
      <c r="M265" s="2"/>
      <c r="N265" s="2"/>
      <c r="O265" s="2"/>
      <c r="P265" s="2"/>
      <c r="U265" s="2"/>
      <c r="V265" s="2"/>
      <c r="W265" s="2"/>
      <c r="X265" s="2"/>
      <c r="AC265" s="2"/>
      <c r="AI265" s="2"/>
      <c r="AN265" s="2"/>
      <c r="AO265" s="2"/>
      <c r="AP265" s="2"/>
      <c r="AQ265" s="2"/>
      <c r="AR265" s="2"/>
      <c r="AS265" s="2"/>
    </row>
    <row r="266" spans="5:45" ht="15.75" customHeight="1">
      <c r="E266" s="2"/>
      <c r="F266" s="2"/>
      <c r="G266" s="2"/>
      <c r="M266" s="2"/>
      <c r="N266" s="2"/>
      <c r="O266" s="2"/>
      <c r="P266" s="2"/>
      <c r="U266" s="2"/>
      <c r="V266" s="2"/>
      <c r="W266" s="2"/>
      <c r="X266" s="2"/>
      <c r="AC266" s="2"/>
      <c r="AI266" s="2"/>
      <c r="AN266" s="2"/>
      <c r="AO266" s="2"/>
      <c r="AP266" s="2"/>
      <c r="AQ266" s="2"/>
      <c r="AR266" s="2"/>
      <c r="AS266" s="2"/>
    </row>
    <row r="267" spans="5:45" ht="15.75" customHeight="1">
      <c r="E267" s="2"/>
      <c r="F267" s="2"/>
      <c r="G267" s="2"/>
      <c r="M267" s="2"/>
      <c r="N267" s="2"/>
      <c r="O267" s="2"/>
      <c r="P267" s="2"/>
      <c r="U267" s="2"/>
      <c r="V267" s="2"/>
      <c r="W267" s="2"/>
      <c r="X267" s="2"/>
      <c r="AC267" s="2"/>
      <c r="AI267" s="2"/>
      <c r="AN267" s="2"/>
      <c r="AO267" s="2"/>
      <c r="AP267" s="2"/>
      <c r="AQ267" s="2"/>
      <c r="AR267" s="2"/>
      <c r="AS267" s="2"/>
    </row>
    <row r="268" spans="5:45" ht="15.75" customHeight="1">
      <c r="E268" s="2"/>
      <c r="F268" s="2"/>
      <c r="G268" s="2"/>
      <c r="M268" s="2"/>
      <c r="N268" s="2"/>
      <c r="O268" s="2"/>
      <c r="P268" s="2"/>
      <c r="U268" s="2"/>
      <c r="V268" s="2"/>
      <c r="W268" s="2"/>
      <c r="X268" s="2"/>
      <c r="AC268" s="2"/>
      <c r="AI268" s="2"/>
      <c r="AN268" s="2"/>
      <c r="AO268" s="2"/>
      <c r="AP268" s="2"/>
      <c r="AQ268" s="2"/>
      <c r="AR268" s="2"/>
      <c r="AS268" s="2"/>
    </row>
    <row r="269" spans="5:45" ht="15.75" customHeight="1">
      <c r="E269" s="2"/>
      <c r="F269" s="2"/>
      <c r="G269" s="2"/>
      <c r="M269" s="2"/>
      <c r="N269" s="2"/>
      <c r="O269" s="2"/>
      <c r="P269" s="2"/>
      <c r="U269" s="2"/>
      <c r="V269" s="2"/>
      <c r="W269" s="2"/>
      <c r="X269" s="2"/>
      <c r="AC269" s="2"/>
      <c r="AI269" s="2"/>
      <c r="AN269" s="2"/>
      <c r="AO269" s="2"/>
      <c r="AP269" s="2"/>
      <c r="AQ269" s="2"/>
      <c r="AR269" s="2"/>
      <c r="AS269" s="2"/>
    </row>
    <row r="270" spans="5:45" ht="15.75" customHeight="1">
      <c r="E270" s="2"/>
      <c r="F270" s="2"/>
      <c r="G270" s="2"/>
      <c r="M270" s="2"/>
      <c r="N270" s="2"/>
      <c r="O270" s="2"/>
      <c r="P270" s="2"/>
      <c r="U270" s="2"/>
      <c r="V270" s="2"/>
      <c r="W270" s="2"/>
      <c r="X270" s="2"/>
      <c r="AC270" s="2"/>
      <c r="AI270" s="2"/>
      <c r="AN270" s="2"/>
      <c r="AO270" s="2"/>
      <c r="AP270" s="2"/>
      <c r="AQ270" s="2"/>
      <c r="AR270" s="2"/>
      <c r="AS270" s="2"/>
    </row>
    <row r="271" spans="5:45" ht="15.75" customHeight="1">
      <c r="E271" s="2"/>
      <c r="F271" s="2"/>
      <c r="G271" s="2"/>
      <c r="M271" s="2"/>
      <c r="N271" s="2"/>
      <c r="O271" s="2"/>
      <c r="P271" s="2"/>
      <c r="U271" s="2"/>
      <c r="V271" s="2"/>
      <c r="W271" s="2"/>
      <c r="X271" s="2"/>
      <c r="AC271" s="2"/>
      <c r="AI271" s="2"/>
      <c r="AN271" s="2"/>
      <c r="AO271" s="2"/>
      <c r="AP271" s="2"/>
      <c r="AQ271" s="2"/>
      <c r="AR271" s="2"/>
      <c r="AS271" s="2"/>
    </row>
    <row r="272" spans="5:45" ht="15.75" customHeight="1">
      <c r="E272" s="2"/>
      <c r="F272" s="2"/>
      <c r="G272" s="2"/>
      <c r="M272" s="2"/>
      <c r="N272" s="2"/>
      <c r="O272" s="2"/>
      <c r="P272" s="2"/>
      <c r="U272" s="2"/>
      <c r="V272" s="2"/>
      <c r="W272" s="2"/>
      <c r="X272" s="2"/>
      <c r="AC272" s="2"/>
      <c r="AI272" s="2"/>
      <c r="AN272" s="2"/>
      <c r="AO272" s="2"/>
      <c r="AP272" s="2"/>
      <c r="AQ272" s="2"/>
      <c r="AR272" s="2"/>
      <c r="AS272" s="2"/>
    </row>
    <row r="273" spans="5:45" ht="15.75" customHeight="1">
      <c r="E273" s="2"/>
      <c r="F273" s="2"/>
      <c r="G273" s="2"/>
      <c r="M273" s="2"/>
      <c r="N273" s="2"/>
      <c r="O273" s="2"/>
      <c r="P273" s="2"/>
      <c r="U273" s="2"/>
      <c r="V273" s="2"/>
      <c r="W273" s="2"/>
      <c r="X273" s="2"/>
      <c r="AC273" s="2"/>
      <c r="AI273" s="2"/>
      <c r="AN273" s="2"/>
      <c r="AO273" s="2"/>
      <c r="AP273" s="2"/>
      <c r="AQ273" s="2"/>
      <c r="AR273" s="2"/>
      <c r="AS273" s="2"/>
    </row>
    <row r="274" spans="5:45" ht="15.75" customHeight="1">
      <c r="E274" s="2"/>
      <c r="F274" s="2"/>
      <c r="G274" s="2"/>
      <c r="M274" s="2"/>
      <c r="N274" s="2"/>
      <c r="O274" s="2"/>
      <c r="P274" s="2"/>
      <c r="U274" s="2"/>
      <c r="V274" s="2"/>
      <c r="W274" s="2"/>
      <c r="X274" s="2"/>
      <c r="AC274" s="2"/>
      <c r="AI274" s="2"/>
      <c r="AN274" s="2"/>
      <c r="AO274" s="2"/>
      <c r="AP274" s="2"/>
      <c r="AQ274" s="2"/>
      <c r="AR274" s="2"/>
      <c r="AS274" s="2"/>
    </row>
    <row r="275" spans="5:45" ht="15.75" customHeight="1">
      <c r="E275" s="2"/>
      <c r="F275" s="2"/>
      <c r="G275" s="2"/>
      <c r="M275" s="2"/>
      <c r="N275" s="2"/>
      <c r="O275" s="2"/>
      <c r="P275" s="2"/>
      <c r="U275" s="2"/>
      <c r="V275" s="2"/>
      <c r="W275" s="2"/>
      <c r="X275" s="2"/>
      <c r="AC275" s="2"/>
      <c r="AI275" s="2"/>
      <c r="AN275" s="2"/>
      <c r="AO275" s="2"/>
      <c r="AP275" s="2"/>
      <c r="AQ275" s="2"/>
      <c r="AR275" s="2"/>
      <c r="AS275" s="2"/>
    </row>
    <row r="276" spans="5:45" ht="15.75" customHeight="1">
      <c r="E276" s="2"/>
      <c r="F276" s="2"/>
      <c r="G276" s="2"/>
      <c r="M276" s="2"/>
      <c r="N276" s="2"/>
      <c r="O276" s="2"/>
      <c r="P276" s="2"/>
      <c r="U276" s="2"/>
      <c r="V276" s="2"/>
      <c r="W276" s="2"/>
      <c r="X276" s="2"/>
      <c r="AC276" s="2"/>
      <c r="AI276" s="2"/>
      <c r="AN276" s="2"/>
      <c r="AO276" s="2"/>
      <c r="AP276" s="2"/>
      <c r="AQ276" s="2"/>
      <c r="AR276" s="2"/>
      <c r="AS276" s="2"/>
    </row>
    <row r="277" spans="5:45" ht="15.75" customHeight="1">
      <c r="E277" s="2"/>
      <c r="F277" s="2"/>
      <c r="G277" s="2"/>
      <c r="M277" s="2"/>
      <c r="N277" s="2"/>
      <c r="O277" s="2"/>
      <c r="P277" s="2"/>
      <c r="U277" s="2"/>
      <c r="V277" s="2"/>
      <c r="W277" s="2"/>
      <c r="X277" s="2"/>
      <c r="AC277" s="2"/>
      <c r="AI277" s="2"/>
      <c r="AN277" s="2"/>
      <c r="AO277" s="2"/>
      <c r="AP277" s="2"/>
      <c r="AQ277" s="2"/>
      <c r="AR277" s="2"/>
      <c r="AS277" s="2"/>
    </row>
    <row r="278" spans="5:45" ht="15.75" customHeight="1">
      <c r="E278" s="2"/>
      <c r="F278" s="2"/>
      <c r="G278" s="2"/>
      <c r="M278" s="2"/>
      <c r="N278" s="2"/>
      <c r="O278" s="2"/>
      <c r="P278" s="2"/>
      <c r="U278" s="2"/>
      <c r="V278" s="2"/>
      <c r="W278" s="2"/>
      <c r="X278" s="2"/>
      <c r="AC278" s="2"/>
      <c r="AI278" s="2"/>
      <c r="AN278" s="2"/>
      <c r="AO278" s="2"/>
      <c r="AP278" s="2"/>
      <c r="AQ278" s="2"/>
      <c r="AR278" s="2"/>
      <c r="AS278" s="2"/>
    </row>
    <row r="279" spans="5:45" ht="15.75" customHeight="1">
      <c r="E279" s="2"/>
      <c r="F279" s="2"/>
      <c r="G279" s="2"/>
      <c r="M279" s="2"/>
      <c r="N279" s="2"/>
      <c r="O279" s="2"/>
      <c r="P279" s="2"/>
      <c r="U279" s="2"/>
      <c r="V279" s="2"/>
      <c r="W279" s="2"/>
      <c r="X279" s="2"/>
      <c r="AC279" s="2"/>
      <c r="AI279" s="2"/>
      <c r="AN279" s="2"/>
      <c r="AO279" s="2"/>
      <c r="AP279" s="2"/>
      <c r="AQ279" s="2"/>
      <c r="AR279" s="2"/>
      <c r="AS279" s="2"/>
    </row>
    <row r="280" spans="5:45" ht="15.75" customHeight="1">
      <c r="E280" s="2"/>
      <c r="F280" s="2"/>
      <c r="G280" s="2"/>
      <c r="M280" s="2"/>
      <c r="N280" s="2"/>
      <c r="O280" s="2"/>
      <c r="P280" s="2"/>
      <c r="U280" s="2"/>
      <c r="V280" s="2"/>
      <c r="W280" s="2"/>
      <c r="X280" s="2"/>
      <c r="AC280" s="2"/>
      <c r="AI280" s="2"/>
      <c r="AN280" s="2"/>
      <c r="AO280" s="2"/>
      <c r="AP280" s="2"/>
      <c r="AQ280" s="2"/>
      <c r="AR280" s="2"/>
      <c r="AS280" s="2"/>
    </row>
    <row r="281" spans="5:45" ht="15.75" customHeight="1">
      <c r="E281" s="2"/>
      <c r="F281" s="2"/>
      <c r="G281" s="2"/>
      <c r="M281" s="2"/>
      <c r="N281" s="2"/>
      <c r="O281" s="2"/>
      <c r="P281" s="2"/>
      <c r="U281" s="2"/>
      <c r="V281" s="2"/>
      <c r="W281" s="2"/>
      <c r="X281" s="2"/>
      <c r="AC281" s="2"/>
      <c r="AI281" s="2"/>
      <c r="AN281" s="2"/>
      <c r="AO281" s="2"/>
      <c r="AP281" s="2"/>
      <c r="AQ281" s="2"/>
      <c r="AR281" s="2"/>
      <c r="AS281" s="2"/>
    </row>
    <row r="282" spans="5:45" ht="15.75" customHeight="1">
      <c r="E282" s="2"/>
      <c r="F282" s="2"/>
      <c r="G282" s="2"/>
      <c r="M282" s="2"/>
      <c r="N282" s="2"/>
      <c r="O282" s="2"/>
      <c r="P282" s="2"/>
      <c r="U282" s="2"/>
      <c r="V282" s="2"/>
      <c r="W282" s="2"/>
      <c r="X282" s="2"/>
      <c r="AC282" s="2"/>
      <c r="AI282" s="2"/>
      <c r="AN282" s="2"/>
      <c r="AO282" s="2"/>
      <c r="AP282" s="2"/>
      <c r="AQ282" s="2"/>
      <c r="AR282" s="2"/>
      <c r="AS282" s="2"/>
    </row>
    <row r="283" spans="5:45" ht="15.75" customHeight="1">
      <c r="E283" s="2"/>
      <c r="F283" s="2"/>
      <c r="G283" s="2"/>
      <c r="M283" s="2"/>
      <c r="N283" s="2"/>
      <c r="O283" s="2"/>
      <c r="P283" s="2"/>
      <c r="U283" s="2"/>
      <c r="V283" s="2"/>
      <c r="W283" s="2"/>
      <c r="X283" s="2"/>
      <c r="AC283" s="2"/>
      <c r="AI283" s="2"/>
      <c r="AN283" s="2"/>
      <c r="AO283" s="2"/>
      <c r="AP283" s="2"/>
      <c r="AQ283" s="2"/>
      <c r="AR283" s="2"/>
      <c r="AS283" s="2"/>
    </row>
    <row r="284" spans="5:45" ht="15.75" customHeight="1">
      <c r="E284" s="2"/>
      <c r="F284" s="2"/>
      <c r="G284" s="2"/>
      <c r="M284" s="2"/>
      <c r="N284" s="2"/>
      <c r="O284" s="2"/>
      <c r="P284" s="2"/>
      <c r="U284" s="2"/>
      <c r="V284" s="2"/>
      <c r="W284" s="2"/>
      <c r="X284" s="2"/>
      <c r="AC284" s="2"/>
      <c r="AI284" s="2"/>
      <c r="AN284" s="2"/>
      <c r="AO284" s="2"/>
      <c r="AP284" s="2"/>
      <c r="AQ284" s="2"/>
      <c r="AR284" s="2"/>
      <c r="AS284" s="2"/>
    </row>
    <row r="285" spans="5:45" ht="15.75" customHeight="1">
      <c r="E285" s="2"/>
      <c r="F285" s="2"/>
      <c r="G285" s="2"/>
      <c r="M285" s="2"/>
      <c r="N285" s="2"/>
      <c r="O285" s="2"/>
      <c r="P285" s="2"/>
      <c r="U285" s="2"/>
      <c r="V285" s="2"/>
      <c r="W285" s="2"/>
      <c r="X285" s="2"/>
      <c r="AC285" s="2"/>
      <c r="AI285" s="2"/>
      <c r="AN285" s="2"/>
      <c r="AO285" s="2"/>
      <c r="AP285" s="2"/>
      <c r="AQ285" s="2"/>
      <c r="AR285" s="2"/>
      <c r="AS285" s="2"/>
    </row>
    <row r="286" spans="5:45" ht="15.75" customHeight="1">
      <c r="E286" s="2"/>
      <c r="F286" s="2"/>
      <c r="G286" s="2"/>
      <c r="M286" s="2"/>
      <c r="N286" s="2"/>
      <c r="O286" s="2"/>
      <c r="P286" s="2"/>
      <c r="U286" s="2"/>
      <c r="V286" s="2"/>
      <c r="W286" s="2"/>
      <c r="X286" s="2"/>
      <c r="AC286" s="2"/>
      <c r="AI286" s="2"/>
      <c r="AN286" s="2"/>
      <c r="AO286" s="2"/>
      <c r="AP286" s="2"/>
      <c r="AQ286" s="2"/>
      <c r="AR286" s="2"/>
      <c r="AS286" s="2"/>
    </row>
    <row r="287" spans="5:45" ht="15.75" customHeight="1">
      <c r="E287" s="2"/>
      <c r="F287" s="2"/>
      <c r="G287" s="2"/>
      <c r="M287" s="2"/>
      <c r="N287" s="2"/>
      <c r="O287" s="2"/>
      <c r="P287" s="2"/>
      <c r="U287" s="2"/>
      <c r="V287" s="2"/>
      <c r="W287" s="2"/>
      <c r="X287" s="2"/>
      <c r="AC287" s="2"/>
      <c r="AI287" s="2"/>
      <c r="AN287" s="2"/>
      <c r="AO287" s="2"/>
      <c r="AP287" s="2"/>
      <c r="AQ287" s="2"/>
      <c r="AR287" s="2"/>
      <c r="AS287" s="2"/>
    </row>
    <row r="288" spans="5:45" ht="15.75" customHeight="1">
      <c r="E288" s="2"/>
      <c r="F288" s="2"/>
      <c r="G288" s="2"/>
      <c r="M288" s="2"/>
      <c r="N288" s="2"/>
      <c r="O288" s="2"/>
      <c r="P288" s="2"/>
      <c r="U288" s="2"/>
      <c r="V288" s="2"/>
      <c r="W288" s="2"/>
      <c r="X288" s="2"/>
      <c r="AC288" s="2"/>
      <c r="AI288" s="2"/>
      <c r="AN288" s="2"/>
      <c r="AO288" s="2"/>
      <c r="AP288" s="2"/>
      <c r="AQ288" s="2"/>
      <c r="AR288" s="2"/>
      <c r="AS288" s="2"/>
    </row>
    <row r="289" spans="5:45" ht="15.75" customHeight="1">
      <c r="E289" s="2"/>
      <c r="F289" s="2"/>
      <c r="G289" s="2"/>
      <c r="M289" s="2"/>
      <c r="N289" s="2"/>
      <c r="O289" s="2"/>
      <c r="P289" s="2"/>
      <c r="U289" s="2"/>
      <c r="V289" s="2"/>
      <c r="W289" s="2"/>
      <c r="X289" s="2"/>
      <c r="AC289" s="2"/>
      <c r="AI289" s="2"/>
      <c r="AN289" s="2"/>
      <c r="AO289" s="2"/>
      <c r="AP289" s="2"/>
      <c r="AQ289" s="2"/>
      <c r="AR289" s="2"/>
      <c r="AS289" s="2"/>
    </row>
    <row r="290" spans="5:45" ht="15.75" customHeight="1">
      <c r="E290" s="2"/>
      <c r="F290" s="2"/>
      <c r="G290" s="2"/>
      <c r="M290" s="2"/>
      <c r="N290" s="2"/>
      <c r="O290" s="2"/>
      <c r="P290" s="2"/>
      <c r="U290" s="2"/>
      <c r="V290" s="2"/>
      <c r="W290" s="2"/>
      <c r="X290" s="2"/>
      <c r="AC290" s="2"/>
      <c r="AI290" s="2"/>
      <c r="AN290" s="2"/>
      <c r="AO290" s="2"/>
      <c r="AP290" s="2"/>
      <c r="AQ290" s="2"/>
      <c r="AR290" s="2"/>
      <c r="AS290" s="2"/>
    </row>
    <row r="291" spans="5:45" ht="15.75" customHeight="1">
      <c r="E291" s="2"/>
      <c r="F291" s="2"/>
      <c r="G291" s="2"/>
      <c r="M291" s="2"/>
      <c r="N291" s="2"/>
      <c r="O291" s="2"/>
      <c r="P291" s="2"/>
      <c r="U291" s="2"/>
      <c r="V291" s="2"/>
      <c r="W291" s="2"/>
      <c r="X291" s="2"/>
      <c r="AC291" s="2"/>
      <c r="AI291" s="2"/>
      <c r="AN291" s="2"/>
      <c r="AO291" s="2"/>
      <c r="AP291" s="2"/>
      <c r="AQ291" s="2"/>
      <c r="AR291" s="2"/>
      <c r="AS291" s="2"/>
    </row>
    <row r="292" spans="5:45" ht="15.75" customHeight="1">
      <c r="E292" s="2"/>
      <c r="F292" s="2"/>
      <c r="G292" s="2"/>
      <c r="M292" s="2"/>
      <c r="N292" s="2"/>
      <c r="O292" s="2"/>
      <c r="P292" s="2"/>
      <c r="U292" s="2"/>
      <c r="V292" s="2"/>
      <c r="W292" s="2"/>
      <c r="X292" s="2"/>
      <c r="AC292" s="2"/>
      <c r="AI292" s="2"/>
      <c r="AN292" s="2"/>
      <c r="AO292" s="2"/>
      <c r="AP292" s="2"/>
      <c r="AQ292" s="2"/>
      <c r="AR292" s="2"/>
      <c r="AS292" s="2"/>
    </row>
    <row r="293" spans="5:45" ht="15.75" customHeight="1">
      <c r="E293" s="2"/>
      <c r="F293" s="2"/>
      <c r="G293" s="2"/>
      <c r="M293" s="2"/>
      <c r="N293" s="2"/>
      <c r="O293" s="2"/>
      <c r="P293" s="2"/>
      <c r="U293" s="2"/>
      <c r="V293" s="2"/>
      <c r="W293" s="2"/>
      <c r="X293" s="2"/>
      <c r="AC293" s="2"/>
      <c r="AI293" s="2"/>
      <c r="AN293" s="2"/>
      <c r="AO293" s="2"/>
      <c r="AP293" s="2"/>
      <c r="AQ293" s="2"/>
      <c r="AR293" s="2"/>
      <c r="AS293" s="2"/>
    </row>
    <row r="294" spans="5:45" ht="15.75" customHeight="1">
      <c r="E294" s="2"/>
      <c r="F294" s="2"/>
      <c r="G294" s="2"/>
      <c r="M294" s="2"/>
      <c r="N294" s="2"/>
      <c r="O294" s="2"/>
      <c r="P294" s="2"/>
      <c r="U294" s="2"/>
      <c r="V294" s="2"/>
      <c r="W294" s="2"/>
      <c r="X294" s="2"/>
      <c r="AC294" s="2"/>
      <c r="AI294" s="2"/>
      <c r="AN294" s="2"/>
      <c r="AO294" s="2"/>
      <c r="AP294" s="2"/>
      <c r="AQ294" s="2"/>
      <c r="AR294" s="2"/>
      <c r="AS294" s="2"/>
    </row>
    <row r="295" spans="5:45" ht="15.75" customHeight="1">
      <c r="E295" s="2"/>
      <c r="F295" s="2"/>
      <c r="G295" s="2"/>
      <c r="M295" s="2"/>
      <c r="N295" s="2"/>
      <c r="O295" s="2"/>
      <c r="P295" s="2"/>
      <c r="U295" s="2"/>
      <c r="V295" s="2"/>
      <c r="W295" s="2"/>
      <c r="X295" s="2"/>
      <c r="AC295" s="2"/>
      <c r="AI295" s="2"/>
      <c r="AN295" s="2"/>
      <c r="AO295" s="2"/>
      <c r="AP295" s="2"/>
      <c r="AQ295" s="2"/>
      <c r="AR295" s="2"/>
      <c r="AS295" s="2"/>
    </row>
    <row r="296" spans="5:45" ht="15.75" customHeight="1">
      <c r="E296" s="2"/>
      <c r="F296" s="2"/>
      <c r="G296" s="2"/>
      <c r="M296" s="2"/>
      <c r="N296" s="2"/>
      <c r="O296" s="2"/>
      <c r="P296" s="2"/>
      <c r="U296" s="2"/>
      <c r="V296" s="2"/>
      <c r="W296" s="2"/>
      <c r="X296" s="2"/>
      <c r="AC296" s="2"/>
      <c r="AI296" s="2"/>
      <c r="AN296" s="2"/>
      <c r="AO296" s="2"/>
      <c r="AP296" s="2"/>
      <c r="AQ296" s="2"/>
      <c r="AR296" s="2"/>
      <c r="AS296" s="2"/>
    </row>
    <row r="297" spans="5:45" ht="15.75" customHeight="1">
      <c r="E297" s="2"/>
      <c r="F297" s="2"/>
      <c r="G297" s="2"/>
      <c r="M297" s="2"/>
      <c r="N297" s="2"/>
      <c r="O297" s="2"/>
      <c r="P297" s="2"/>
      <c r="U297" s="2"/>
      <c r="V297" s="2"/>
      <c r="W297" s="2"/>
      <c r="X297" s="2"/>
      <c r="AC297" s="2"/>
      <c r="AI297" s="2"/>
      <c r="AN297" s="2"/>
      <c r="AO297" s="2"/>
      <c r="AP297" s="2"/>
      <c r="AQ297" s="2"/>
      <c r="AR297" s="2"/>
      <c r="AS297" s="2"/>
    </row>
    <row r="298" spans="5:45" ht="15.75" customHeight="1">
      <c r="E298" s="2"/>
      <c r="F298" s="2"/>
      <c r="G298" s="2"/>
      <c r="M298" s="2"/>
      <c r="N298" s="2"/>
      <c r="O298" s="2"/>
      <c r="P298" s="2"/>
      <c r="U298" s="2"/>
      <c r="V298" s="2"/>
      <c r="W298" s="2"/>
      <c r="X298" s="2"/>
      <c r="AC298" s="2"/>
      <c r="AI298" s="2"/>
      <c r="AN298" s="2"/>
      <c r="AO298" s="2"/>
      <c r="AP298" s="2"/>
      <c r="AQ298" s="2"/>
      <c r="AR298" s="2"/>
      <c r="AS298" s="2"/>
    </row>
    <row r="299" spans="5:45" ht="15.75" customHeight="1">
      <c r="E299" s="2"/>
      <c r="F299" s="2"/>
      <c r="G299" s="2"/>
      <c r="M299" s="2"/>
      <c r="N299" s="2"/>
      <c r="O299" s="2"/>
      <c r="P299" s="2"/>
      <c r="U299" s="2"/>
      <c r="V299" s="2"/>
      <c r="W299" s="2"/>
      <c r="X299" s="2"/>
      <c r="AC299" s="2"/>
      <c r="AI299" s="2"/>
      <c r="AN299" s="2"/>
      <c r="AO299" s="2"/>
      <c r="AP299" s="2"/>
      <c r="AQ299" s="2"/>
      <c r="AR299" s="2"/>
      <c r="AS299" s="2"/>
    </row>
    <row r="300" spans="5:45" ht="15.75" customHeight="1">
      <c r="E300" s="2"/>
      <c r="F300" s="2"/>
      <c r="G300" s="2"/>
      <c r="M300" s="2"/>
      <c r="N300" s="2"/>
      <c r="O300" s="2"/>
      <c r="P300" s="2"/>
      <c r="U300" s="2"/>
      <c r="V300" s="2"/>
      <c r="W300" s="2"/>
      <c r="X300" s="2"/>
      <c r="AC300" s="2"/>
      <c r="AI300" s="2"/>
      <c r="AN300" s="2"/>
      <c r="AO300" s="2"/>
      <c r="AP300" s="2"/>
      <c r="AQ300" s="2"/>
      <c r="AR300" s="2"/>
      <c r="AS300" s="2"/>
    </row>
    <row r="301" spans="5:45" ht="15.75" customHeight="1">
      <c r="E301" s="2"/>
      <c r="F301" s="2"/>
      <c r="G301" s="2"/>
      <c r="M301" s="2"/>
      <c r="N301" s="2"/>
      <c r="O301" s="2"/>
      <c r="P301" s="2"/>
      <c r="U301" s="2"/>
      <c r="V301" s="2"/>
      <c r="W301" s="2"/>
      <c r="X301" s="2"/>
      <c r="AC301" s="2"/>
      <c r="AI301" s="2"/>
      <c r="AN301" s="2"/>
      <c r="AO301" s="2"/>
      <c r="AP301" s="2"/>
      <c r="AQ301" s="2"/>
      <c r="AR301" s="2"/>
      <c r="AS301" s="2"/>
    </row>
    <row r="302" spans="5:45" ht="15.75" customHeight="1">
      <c r="E302" s="2"/>
      <c r="F302" s="2"/>
      <c r="G302" s="2"/>
      <c r="M302" s="2"/>
      <c r="N302" s="2"/>
      <c r="O302" s="2"/>
      <c r="P302" s="2"/>
      <c r="U302" s="2"/>
      <c r="V302" s="2"/>
      <c r="W302" s="2"/>
      <c r="X302" s="2"/>
      <c r="AC302" s="2"/>
      <c r="AI302" s="2"/>
      <c r="AN302" s="2"/>
      <c r="AO302" s="2"/>
      <c r="AP302" s="2"/>
      <c r="AQ302" s="2"/>
      <c r="AR302" s="2"/>
      <c r="AS302" s="2"/>
    </row>
    <row r="303" spans="5:45" ht="15.75" customHeight="1">
      <c r="E303" s="2"/>
      <c r="F303" s="2"/>
      <c r="G303" s="2"/>
      <c r="M303" s="2"/>
      <c r="N303" s="2"/>
      <c r="O303" s="2"/>
      <c r="P303" s="2"/>
      <c r="U303" s="2"/>
      <c r="V303" s="2"/>
      <c r="W303" s="2"/>
      <c r="X303" s="2"/>
      <c r="AC303" s="2"/>
      <c r="AI303" s="2"/>
      <c r="AN303" s="2"/>
      <c r="AO303" s="2"/>
      <c r="AP303" s="2"/>
      <c r="AQ303" s="2"/>
      <c r="AR303" s="2"/>
      <c r="AS303" s="2"/>
    </row>
    <row r="304" spans="5:45" ht="15.75" customHeight="1">
      <c r="E304" s="2"/>
      <c r="F304" s="2"/>
      <c r="G304" s="2"/>
      <c r="M304" s="2"/>
      <c r="N304" s="2"/>
      <c r="O304" s="2"/>
      <c r="P304" s="2"/>
      <c r="U304" s="2"/>
      <c r="V304" s="2"/>
      <c r="W304" s="2"/>
      <c r="X304" s="2"/>
      <c r="AC304" s="2"/>
      <c r="AI304" s="2"/>
      <c r="AN304" s="2"/>
      <c r="AO304" s="2"/>
      <c r="AP304" s="2"/>
      <c r="AQ304" s="2"/>
      <c r="AR304" s="2"/>
      <c r="AS304" s="2"/>
    </row>
    <row r="305" spans="5:45" ht="15.75" customHeight="1">
      <c r="E305" s="2"/>
      <c r="F305" s="2"/>
      <c r="G305" s="2"/>
      <c r="M305" s="2"/>
      <c r="N305" s="2"/>
      <c r="O305" s="2"/>
      <c r="P305" s="2"/>
      <c r="U305" s="2"/>
      <c r="V305" s="2"/>
      <c r="W305" s="2"/>
      <c r="X305" s="2"/>
      <c r="AC305" s="2"/>
      <c r="AI305" s="2"/>
      <c r="AN305" s="2"/>
      <c r="AO305" s="2"/>
      <c r="AP305" s="2"/>
      <c r="AQ305" s="2"/>
      <c r="AR305" s="2"/>
      <c r="AS305" s="2"/>
    </row>
    <row r="306" spans="5:45" ht="15.75" customHeight="1">
      <c r="E306" s="2"/>
      <c r="F306" s="2"/>
      <c r="G306" s="2"/>
      <c r="M306" s="2"/>
      <c r="N306" s="2"/>
      <c r="O306" s="2"/>
      <c r="P306" s="2"/>
      <c r="U306" s="2"/>
      <c r="V306" s="2"/>
      <c r="W306" s="2"/>
      <c r="X306" s="2"/>
      <c r="AC306" s="2"/>
      <c r="AI306" s="2"/>
      <c r="AN306" s="2"/>
      <c r="AO306" s="2"/>
      <c r="AP306" s="2"/>
      <c r="AQ306" s="2"/>
      <c r="AR306" s="2"/>
      <c r="AS306" s="2"/>
    </row>
    <row r="307" spans="5:45" ht="15.75" customHeight="1">
      <c r="E307" s="2"/>
      <c r="F307" s="2"/>
      <c r="G307" s="2"/>
      <c r="M307" s="2"/>
      <c r="N307" s="2"/>
      <c r="O307" s="2"/>
      <c r="P307" s="2"/>
      <c r="U307" s="2"/>
      <c r="V307" s="2"/>
      <c r="W307" s="2"/>
      <c r="X307" s="2"/>
      <c r="AC307" s="2"/>
      <c r="AI307" s="2"/>
      <c r="AN307" s="2"/>
      <c r="AO307" s="2"/>
      <c r="AP307" s="2"/>
      <c r="AQ307" s="2"/>
      <c r="AR307" s="2"/>
      <c r="AS307" s="2"/>
    </row>
    <row r="308" spans="5:45" ht="15.75" customHeight="1">
      <c r="E308" s="2"/>
      <c r="F308" s="2"/>
      <c r="G308" s="2"/>
      <c r="M308" s="2"/>
      <c r="N308" s="2"/>
      <c r="O308" s="2"/>
      <c r="P308" s="2"/>
      <c r="U308" s="2"/>
      <c r="V308" s="2"/>
      <c r="W308" s="2"/>
      <c r="X308" s="2"/>
      <c r="AC308" s="2"/>
      <c r="AI308" s="2"/>
      <c r="AN308" s="2"/>
      <c r="AO308" s="2"/>
      <c r="AP308" s="2"/>
      <c r="AQ308" s="2"/>
      <c r="AR308" s="2"/>
      <c r="AS308" s="2"/>
    </row>
    <row r="309" spans="5:45" ht="15.75" customHeight="1">
      <c r="E309" s="2"/>
      <c r="F309" s="2"/>
      <c r="G309" s="2"/>
      <c r="M309" s="2"/>
      <c r="N309" s="2"/>
      <c r="O309" s="2"/>
      <c r="P309" s="2"/>
      <c r="U309" s="2"/>
      <c r="V309" s="2"/>
      <c r="W309" s="2"/>
      <c r="X309" s="2"/>
      <c r="AC309" s="2"/>
      <c r="AI309" s="2"/>
      <c r="AN309" s="2"/>
      <c r="AO309" s="2"/>
      <c r="AP309" s="2"/>
      <c r="AQ309" s="2"/>
      <c r="AR309" s="2"/>
      <c r="AS309" s="2"/>
    </row>
    <row r="310" spans="5:45" ht="15.75" customHeight="1">
      <c r="E310" s="2"/>
      <c r="F310" s="2"/>
      <c r="G310" s="2"/>
      <c r="M310" s="2"/>
      <c r="N310" s="2"/>
      <c r="O310" s="2"/>
      <c r="P310" s="2"/>
      <c r="U310" s="2"/>
      <c r="V310" s="2"/>
      <c r="W310" s="2"/>
      <c r="X310" s="2"/>
      <c r="AC310" s="2"/>
      <c r="AI310" s="2"/>
      <c r="AN310" s="2"/>
      <c r="AO310" s="2"/>
      <c r="AP310" s="2"/>
      <c r="AQ310" s="2"/>
      <c r="AR310" s="2"/>
      <c r="AS310" s="2"/>
    </row>
    <row r="311" spans="5:45" ht="15.75" customHeight="1">
      <c r="E311" s="2"/>
      <c r="F311" s="2"/>
      <c r="G311" s="2"/>
      <c r="M311" s="2"/>
      <c r="N311" s="2"/>
      <c r="O311" s="2"/>
      <c r="P311" s="2"/>
      <c r="U311" s="2"/>
      <c r="V311" s="2"/>
      <c r="W311" s="2"/>
      <c r="X311" s="2"/>
      <c r="AC311" s="2"/>
      <c r="AI311" s="2"/>
      <c r="AN311" s="2"/>
      <c r="AO311" s="2"/>
      <c r="AP311" s="2"/>
      <c r="AQ311" s="2"/>
      <c r="AR311" s="2"/>
      <c r="AS311" s="2"/>
    </row>
    <row r="312" spans="5:45" ht="15.75" customHeight="1">
      <c r="E312" s="2"/>
      <c r="F312" s="2"/>
      <c r="G312" s="2"/>
      <c r="M312" s="2"/>
      <c r="N312" s="2"/>
      <c r="O312" s="2"/>
      <c r="P312" s="2"/>
      <c r="U312" s="2"/>
      <c r="V312" s="2"/>
      <c r="W312" s="2"/>
      <c r="X312" s="2"/>
      <c r="AC312" s="2"/>
      <c r="AI312" s="2"/>
      <c r="AN312" s="2"/>
      <c r="AO312" s="2"/>
      <c r="AP312" s="2"/>
      <c r="AQ312" s="2"/>
      <c r="AR312" s="2"/>
      <c r="AS312" s="2"/>
    </row>
    <row r="313" spans="5:45" ht="15.75" customHeight="1">
      <c r="E313" s="2"/>
      <c r="F313" s="2"/>
      <c r="G313" s="2"/>
      <c r="M313" s="2"/>
      <c r="N313" s="2"/>
      <c r="O313" s="2"/>
      <c r="P313" s="2"/>
      <c r="U313" s="2"/>
      <c r="V313" s="2"/>
      <c r="W313" s="2"/>
      <c r="X313" s="2"/>
      <c r="AC313" s="2"/>
      <c r="AI313" s="2"/>
      <c r="AN313" s="2"/>
      <c r="AO313" s="2"/>
      <c r="AP313" s="2"/>
      <c r="AQ313" s="2"/>
      <c r="AR313" s="2"/>
      <c r="AS313" s="2"/>
    </row>
    <row r="314" spans="5:45" ht="15.75" customHeight="1">
      <c r="E314" s="2"/>
      <c r="F314" s="2"/>
      <c r="G314" s="2"/>
      <c r="M314" s="2"/>
      <c r="N314" s="2"/>
      <c r="O314" s="2"/>
      <c r="P314" s="2"/>
      <c r="U314" s="2"/>
      <c r="V314" s="2"/>
      <c r="W314" s="2"/>
      <c r="X314" s="2"/>
      <c r="AC314" s="2"/>
      <c r="AI314" s="2"/>
      <c r="AN314" s="2"/>
      <c r="AO314" s="2"/>
      <c r="AP314" s="2"/>
      <c r="AQ314" s="2"/>
      <c r="AR314" s="2"/>
      <c r="AS314" s="2"/>
    </row>
    <row r="315" spans="5:45" ht="15.75" customHeight="1">
      <c r="E315" s="2"/>
      <c r="F315" s="2"/>
      <c r="G315" s="2"/>
      <c r="M315" s="2"/>
      <c r="N315" s="2"/>
      <c r="O315" s="2"/>
      <c r="P315" s="2"/>
      <c r="U315" s="2"/>
      <c r="V315" s="2"/>
      <c r="W315" s="2"/>
      <c r="X315" s="2"/>
      <c r="AC315" s="2"/>
      <c r="AI315" s="2"/>
      <c r="AN315" s="2"/>
      <c r="AO315" s="2"/>
      <c r="AP315" s="2"/>
      <c r="AQ315" s="2"/>
      <c r="AR315" s="2"/>
      <c r="AS315" s="2"/>
    </row>
    <row r="316" spans="5:45" ht="15.75" customHeight="1">
      <c r="E316" s="2"/>
      <c r="F316" s="2"/>
      <c r="G316" s="2"/>
      <c r="M316" s="2"/>
      <c r="N316" s="2"/>
      <c r="O316" s="2"/>
      <c r="P316" s="2"/>
      <c r="U316" s="2"/>
      <c r="V316" s="2"/>
      <c r="W316" s="2"/>
      <c r="X316" s="2"/>
      <c r="AC316" s="2"/>
      <c r="AI316" s="2"/>
      <c r="AN316" s="2"/>
      <c r="AO316" s="2"/>
      <c r="AP316" s="2"/>
      <c r="AQ316" s="2"/>
      <c r="AR316" s="2"/>
      <c r="AS316" s="2"/>
    </row>
    <row r="317" spans="5:45" ht="15.75" customHeight="1">
      <c r="E317" s="2"/>
      <c r="F317" s="2"/>
      <c r="G317" s="2"/>
      <c r="M317" s="2"/>
      <c r="N317" s="2"/>
      <c r="O317" s="2"/>
      <c r="P317" s="2"/>
      <c r="U317" s="2"/>
      <c r="V317" s="2"/>
      <c r="W317" s="2"/>
      <c r="X317" s="2"/>
      <c r="AC317" s="2"/>
      <c r="AI317" s="2"/>
      <c r="AN317" s="2"/>
      <c r="AO317" s="2"/>
      <c r="AP317" s="2"/>
      <c r="AQ317" s="2"/>
      <c r="AR317" s="2"/>
      <c r="AS317" s="2"/>
    </row>
    <row r="318" spans="5:45" ht="15.75" customHeight="1">
      <c r="E318" s="2"/>
      <c r="F318" s="2"/>
      <c r="G318" s="2"/>
      <c r="M318" s="2"/>
      <c r="N318" s="2"/>
      <c r="O318" s="2"/>
      <c r="P318" s="2"/>
      <c r="U318" s="2"/>
      <c r="V318" s="2"/>
      <c r="W318" s="2"/>
      <c r="X318" s="2"/>
      <c r="AC318" s="2"/>
      <c r="AI318" s="2"/>
      <c r="AN318" s="2"/>
      <c r="AO318" s="2"/>
      <c r="AP318" s="2"/>
      <c r="AQ318" s="2"/>
      <c r="AR318" s="2"/>
      <c r="AS318" s="2"/>
    </row>
    <row r="319" spans="5:45" ht="15.75" customHeight="1">
      <c r="E319" s="2"/>
      <c r="F319" s="2"/>
      <c r="G319" s="2"/>
      <c r="M319" s="2"/>
      <c r="N319" s="2"/>
      <c r="O319" s="2"/>
      <c r="P319" s="2"/>
      <c r="U319" s="2"/>
      <c r="V319" s="2"/>
      <c r="W319" s="2"/>
      <c r="X319" s="2"/>
      <c r="AC319" s="2"/>
      <c r="AI319" s="2"/>
      <c r="AN319" s="2"/>
      <c r="AO319" s="2"/>
      <c r="AP319" s="2"/>
      <c r="AQ319" s="2"/>
      <c r="AR319" s="2"/>
      <c r="AS319" s="2"/>
    </row>
    <row r="320" spans="5:45" ht="15.75" customHeight="1">
      <c r="E320" s="2"/>
      <c r="F320" s="2"/>
      <c r="G320" s="2"/>
      <c r="M320" s="2"/>
      <c r="N320" s="2"/>
      <c r="O320" s="2"/>
      <c r="P320" s="2"/>
      <c r="U320" s="2"/>
      <c r="V320" s="2"/>
      <c r="W320" s="2"/>
      <c r="X320" s="2"/>
      <c r="AC320" s="2"/>
      <c r="AI320" s="2"/>
      <c r="AN320" s="2"/>
      <c r="AO320" s="2"/>
      <c r="AP320" s="2"/>
      <c r="AQ320" s="2"/>
      <c r="AR320" s="2"/>
      <c r="AS320" s="2"/>
    </row>
    <row r="321" spans="5:45" ht="15.75" customHeight="1">
      <c r="E321" s="2"/>
      <c r="F321" s="2"/>
      <c r="G321" s="2"/>
      <c r="M321" s="2"/>
      <c r="N321" s="2"/>
      <c r="O321" s="2"/>
      <c r="P321" s="2"/>
      <c r="U321" s="2"/>
      <c r="V321" s="2"/>
      <c r="W321" s="2"/>
      <c r="X321" s="2"/>
      <c r="AC321" s="2"/>
      <c r="AI321" s="2"/>
      <c r="AN321" s="2"/>
      <c r="AO321" s="2"/>
      <c r="AP321" s="2"/>
      <c r="AQ321" s="2"/>
      <c r="AR321" s="2"/>
      <c r="AS321" s="2"/>
    </row>
    <row r="322" spans="5:45" ht="15.75" customHeight="1">
      <c r="E322" s="2"/>
      <c r="F322" s="2"/>
      <c r="G322" s="2"/>
      <c r="M322" s="2"/>
      <c r="N322" s="2"/>
      <c r="O322" s="2"/>
      <c r="P322" s="2"/>
      <c r="U322" s="2"/>
      <c r="V322" s="2"/>
      <c r="W322" s="2"/>
      <c r="X322" s="2"/>
      <c r="AC322" s="2"/>
      <c r="AI322" s="2"/>
      <c r="AN322" s="2"/>
      <c r="AO322" s="2"/>
      <c r="AP322" s="2"/>
      <c r="AQ322" s="2"/>
      <c r="AR322" s="2"/>
      <c r="AS322" s="2"/>
    </row>
    <row r="323" spans="5:45" ht="15.75" customHeight="1">
      <c r="E323" s="2"/>
      <c r="F323" s="2"/>
      <c r="G323" s="2"/>
      <c r="M323" s="2"/>
      <c r="N323" s="2"/>
      <c r="O323" s="2"/>
      <c r="P323" s="2"/>
      <c r="U323" s="2"/>
      <c r="V323" s="2"/>
      <c r="W323" s="2"/>
      <c r="X323" s="2"/>
      <c r="AC323" s="2"/>
      <c r="AI323" s="2"/>
      <c r="AN323" s="2"/>
      <c r="AO323" s="2"/>
      <c r="AP323" s="2"/>
      <c r="AQ323" s="2"/>
      <c r="AR323" s="2"/>
      <c r="AS323" s="2"/>
    </row>
    <row r="324" spans="5:45" ht="15.75" customHeight="1">
      <c r="E324" s="2"/>
      <c r="F324" s="2"/>
      <c r="G324" s="2"/>
      <c r="M324" s="2"/>
      <c r="N324" s="2"/>
      <c r="O324" s="2"/>
      <c r="P324" s="2"/>
      <c r="U324" s="2"/>
      <c r="V324" s="2"/>
      <c r="W324" s="2"/>
      <c r="X324" s="2"/>
      <c r="AC324" s="2"/>
      <c r="AI324" s="2"/>
      <c r="AN324" s="2"/>
      <c r="AO324" s="2"/>
      <c r="AP324" s="2"/>
      <c r="AQ324" s="2"/>
      <c r="AR324" s="2"/>
      <c r="AS324" s="2"/>
    </row>
    <row r="325" spans="5:45" ht="15.75" customHeight="1">
      <c r="E325" s="2"/>
      <c r="F325" s="2"/>
      <c r="G325" s="2"/>
      <c r="M325" s="2"/>
      <c r="N325" s="2"/>
      <c r="O325" s="2"/>
      <c r="P325" s="2"/>
      <c r="U325" s="2"/>
      <c r="V325" s="2"/>
      <c r="W325" s="2"/>
      <c r="X325" s="2"/>
      <c r="AC325" s="2"/>
      <c r="AI325" s="2"/>
      <c r="AN325" s="2"/>
      <c r="AO325" s="2"/>
      <c r="AP325" s="2"/>
      <c r="AQ325" s="2"/>
      <c r="AR325" s="2"/>
      <c r="AS325" s="2"/>
    </row>
    <row r="326" spans="5:45" ht="15.75" customHeight="1">
      <c r="E326" s="2"/>
      <c r="F326" s="2"/>
      <c r="G326" s="2"/>
      <c r="M326" s="2"/>
      <c r="N326" s="2"/>
      <c r="O326" s="2"/>
      <c r="P326" s="2"/>
      <c r="U326" s="2"/>
      <c r="V326" s="2"/>
      <c r="W326" s="2"/>
      <c r="X326" s="2"/>
      <c r="AC326" s="2"/>
      <c r="AI326" s="2"/>
      <c r="AN326" s="2"/>
      <c r="AO326" s="2"/>
      <c r="AP326" s="2"/>
      <c r="AQ326" s="2"/>
      <c r="AR326" s="2"/>
      <c r="AS326" s="2"/>
    </row>
    <row r="327" spans="5:45" ht="15.75" customHeight="1">
      <c r="E327" s="2"/>
      <c r="F327" s="2"/>
      <c r="G327" s="2"/>
      <c r="M327" s="2"/>
      <c r="N327" s="2"/>
      <c r="O327" s="2"/>
      <c r="P327" s="2"/>
      <c r="U327" s="2"/>
      <c r="V327" s="2"/>
      <c r="W327" s="2"/>
      <c r="X327" s="2"/>
      <c r="AC327" s="2"/>
      <c r="AI327" s="2"/>
      <c r="AN327" s="2"/>
      <c r="AO327" s="2"/>
      <c r="AP327" s="2"/>
      <c r="AQ327" s="2"/>
      <c r="AR327" s="2"/>
      <c r="AS327" s="2"/>
    </row>
    <row r="328" spans="5:45" ht="15.75" customHeight="1">
      <c r="E328" s="2"/>
      <c r="F328" s="2"/>
      <c r="G328" s="2"/>
      <c r="M328" s="2"/>
      <c r="N328" s="2"/>
      <c r="O328" s="2"/>
      <c r="P328" s="2"/>
      <c r="U328" s="2"/>
      <c r="V328" s="2"/>
      <c r="W328" s="2"/>
      <c r="X328" s="2"/>
      <c r="AC328" s="2"/>
      <c r="AI328" s="2"/>
      <c r="AN328" s="2"/>
      <c r="AO328" s="2"/>
      <c r="AP328" s="2"/>
      <c r="AQ328" s="2"/>
      <c r="AR328" s="2"/>
      <c r="AS328" s="2"/>
    </row>
    <row r="329" spans="5:45" ht="15.75" customHeight="1">
      <c r="E329" s="2"/>
      <c r="F329" s="2"/>
      <c r="G329" s="2"/>
      <c r="M329" s="2"/>
      <c r="N329" s="2"/>
      <c r="O329" s="2"/>
      <c r="P329" s="2"/>
      <c r="U329" s="2"/>
      <c r="V329" s="2"/>
      <c r="W329" s="2"/>
      <c r="X329" s="2"/>
      <c r="AC329" s="2"/>
      <c r="AI329" s="2"/>
      <c r="AN329" s="2"/>
      <c r="AO329" s="2"/>
      <c r="AP329" s="2"/>
      <c r="AQ329" s="2"/>
      <c r="AR329" s="2"/>
      <c r="AS329" s="2"/>
    </row>
    <row r="330" spans="5:45" ht="15.75" customHeight="1">
      <c r="E330" s="2"/>
      <c r="F330" s="2"/>
      <c r="G330" s="2"/>
      <c r="M330" s="2"/>
      <c r="N330" s="2"/>
      <c r="O330" s="2"/>
      <c r="P330" s="2"/>
      <c r="U330" s="2"/>
      <c r="V330" s="2"/>
      <c r="W330" s="2"/>
      <c r="X330" s="2"/>
      <c r="AC330" s="2"/>
      <c r="AI330" s="2"/>
      <c r="AN330" s="2"/>
      <c r="AO330" s="2"/>
      <c r="AP330" s="2"/>
      <c r="AQ330" s="2"/>
      <c r="AR330" s="2"/>
      <c r="AS330" s="2"/>
    </row>
    <row r="331" spans="5:45" ht="15.75" customHeight="1">
      <c r="E331" s="2"/>
      <c r="F331" s="2"/>
      <c r="G331" s="2"/>
      <c r="M331" s="2"/>
      <c r="N331" s="2"/>
      <c r="O331" s="2"/>
      <c r="P331" s="2"/>
      <c r="U331" s="2"/>
      <c r="V331" s="2"/>
      <c r="W331" s="2"/>
      <c r="X331" s="2"/>
      <c r="AC331" s="2"/>
      <c r="AI331" s="2"/>
      <c r="AN331" s="2"/>
      <c r="AO331" s="2"/>
      <c r="AP331" s="2"/>
      <c r="AQ331" s="2"/>
      <c r="AR331" s="2"/>
      <c r="AS331" s="2"/>
    </row>
    <row r="332" spans="5:45" ht="15.75" customHeight="1">
      <c r="E332" s="2"/>
      <c r="F332" s="2"/>
      <c r="G332" s="2"/>
      <c r="M332" s="2"/>
      <c r="N332" s="2"/>
      <c r="O332" s="2"/>
      <c r="P332" s="2"/>
      <c r="U332" s="2"/>
      <c r="V332" s="2"/>
      <c r="W332" s="2"/>
      <c r="X332" s="2"/>
      <c r="AC332" s="2"/>
      <c r="AI332" s="2"/>
      <c r="AN332" s="2"/>
      <c r="AO332" s="2"/>
      <c r="AP332" s="2"/>
      <c r="AQ332" s="2"/>
      <c r="AR332" s="2"/>
      <c r="AS332" s="2"/>
    </row>
    <row r="333" spans="5:45" ht="15.75" customHeight="1">
      <c r="E333" s="2"/>
      <c r="F333" s="2"/>
      <c r="G333" s="2"/>
      <c r="M333" s="2"/>
      <c r="N333" s="2"/>
      <c r="O333" s="2"/>
      <c r="P333" s="2"/>
      <c r="U333" s="2"/>
      <c r="V333" s="2"/>
      <c r="W333" s="2"/>
      <c r="X333" s="2"/>
      <c r="AC333" s="2"/>
      <c r="AI333" s="2"/>
      <c r="AN333" s="2"/>
      <c r="AO333" s="2"/>
      <c r="AP333" s="2"/>
      <c r="AQ333" s="2"/>
      <c r="AR333" s="2"/>
      <c r="AS333" s="2"/>
    </row>
    <row r="334" spans="5:45" ht="15.75" customHeight="1">
      <c r="E334" s="2"/>
      <c r="F334" s="2"/>
      <c r="G334" s="2"/>
      <c r="M334" s="2"/>
      <c r="N334" s="2"/>
      <c r="O334" s="2"/>
      <c r="P334" s="2"/>
      <c r="U334" s="2"/>
      <c r="V334" s="2"/>
      <c r="W334" s="2"/>
      <c r="X334" s="2"/>
      <c r="AC334" s="2"/>
      <c r="AI334" s="2"/>
      <c r="AN334" s="2"/>
      <c r="AO334" s="2"/>
      <c r="AP334" s="2"/>
      <c r="AQ334" s="2"/>
      <c r="AR334" s="2"/>
      <c r="AS334" s="2"/>
    </row>
    <row r="335" spans="5:45" ht="15.75" customHeight="1">
      <c r="E335" s="2"/>
      <c r="F335" s="2"/>
      <c r="G335" s="2"/>
      <c r="M335" s="2"/>
      <c r="N335" s="2"/>
      <c r="O335" s="2"/>
      <c r="P335" s="2"/>
      <c r="U335" s="2"/>
      <c r="V335" s="2"/>
      <c r="W335" s="2"/>
      <c r="X335" s="2"/>
      <c r="AC335" s="2"/>
      <c r="AI335" s="2"/>
      <c r="AN335" s="2"/>
      <c r="AO335" s="2"/>
      <c r="AP335" s="2"/>
      <c r="AQ335" s="2"/>
      <c r="AR335" s="2"/>
      <c r="AS335" s="2"/>
    </row>
    <row r="336" spans="5:45" ht="15.75" customHeight="1">
      <c r="E336" s="2"/>
      <c r="F336" s="2"/>
      <c r="G336" s="2"/>
      <c r="M336" s="2"/>
      <c r="N336" s="2"/>
      <c r="O336" s="2"/>
      <c r="P336" s="2"/>
      <c r="U336" s="2"/>
      <c r="V336" s="2"/>
      <c r="W336" s="2"/>
      <c r="X336" s="2"/>
      <c r="AC336" s="2"/>
      <c r="AI336" s="2"/>
      <c r="AN336" s="2"/>
      <c r="AO336" s="2"/>
      <c r="AP336" s="2"/>
      <c r="AQ336" s="2"/>
      <c r="AR336" s="2"/>
      <c r="AS336" s="2"/>
    </row>
    <row r="337" spans="5:45" ht="15.75" customHeight="1">
      <c r="E337" s="2"/>
      <c r="F337" s="2"/>
      <c r="G337" s="2"/>
      <c r="M337" s="2"/>
      <c r="N337" s="2"/>
      <c r="O337" s="2"/>
      <c r="P337" s="2"/>
      <c r="U337" s="2"/>
      <c r="V337" s="2"/>
      <c r="W337" s="2"/>
      <c r="X337" s="2"/>
      <c r="AC337" s="2"/>
      <c r="AI337" s="2"/>
      <c r="AN337" s="2"/>
      <c r="AO337" s="2"/>
      <c r="AP337" s="2"/>
      <c r="AQ337" s="2"/>
      <c r="AR337" s="2"/>
      <c r="AS337" s="2"/>
    </row>
    <row r="338" spans="5:45" ht="15.75" customHeight="1">
      <c r="E338" s="2"/>
      <c r="F338" s="2"/>
      <c r="G338" s="2"/>
      <c r="M338" s="2"/>
      <c r="N338" s="2"/>
      <c r="O338" s="2"/>
      <c r="P338" s="2"/>
      <c r="U338" s="2"/>
      <c r="V338" s="2"/>
      <c r="W338" s="2"/>
      <c r="X338" s="2"/>
      <c r="AC338" s="2"/>
      <c r="AI338" s="2"/>
      <c r="AN338" s="2"/>
      <c r="AO338" s="2"/>
      <c r="AP338" s="2"/>
      <c r="AQ338" s="2"/>
      <c r="AR338" s="2"/>
      <c r="AS338" s="2"/>
    </row>
    <row r="339" spans="5:45" ht="15.75" customHeight="1">
      <c r="E339" s="2"/>
      <c r="F339" s="2"/>
      <c r="G339" s="2"/>
      <c r="M339" s="2"/>
      <c r="N339" s="2"/>
      <c r="O339" s="2"/>
      <c r="P339" s="2"/>
      <c r="U339" s="2"/>
      <c r="V339" s="2"/>
      <c r="W339" s="2"/>
      <c r="X339" s="2"/>
      <c r="AC339" s="2"/>
      <c r="AI339" s="2"/>
      <c r="AN339" s="2"/>
      <c r="AO339" s="2"/>
      <c r="AP339" s="2"/>
      <c r="AQ339" s="2"/>
      <c r="AR339" s="2"/>
      <c r="AS339" s="2"/>
    </row>
    <row r="340" spans="5:45" ht="15.75" customHeight="1">
      <c r="E340" s="2"/>
      <c r="F340" s="2"/>
      <c r="G340" s="2"/>
      <c r="M340" s="2"/>
      <c r="N340" s="2"/>
      <c r="O340" s="2"/>
      <c r="P340" s="2"/>
      <c r="U340" s="2"/>
      <c r="V340" s="2"/>
      <c r="W340" s="2"/>
      <c r="X340" s="2"/>
      <c r="AC340" s="2"/>
      <c r="AI340" s="2"/>
      <c r="AN340" s="2"/>
      <c r="AO340" s="2"/>
      <c r="AP340" s="2"/>
      <c r="AQ340" s="2"/>
      <c r="AR340" s="2"/>
      <c r="AS340" s="2"/>
    </row>
    <row r="341" spans="5:45" ht="15.75" customHeight="1">
      <c r="E341" s="2"/>
      <c r="F341" s="2"/>
      <c r="G341" s="2"/>
      <c r="M341" s="2"/>
      <c r="N341" s="2"/>
      <c r="O341" s="2"/>
      <c r="P341" s="2"/>
      <c r="U341" s="2"/>
      <c r="V341" s="2"/>
      <c r="W341" s="2"/>
      <c r="X341" s="2"/>
      <c r="AC341" s="2"/>
      <c r="AI341" s="2"/>
      <c r="AN341" s="2"/>
      <c r="AO341" s="2"/>
      <c r="AP341" s="2"/>
      <c r="AQ341" s="2"/>
      <c r="AR341" s="2"/>
      <c r="AS341" s="2"/>
    </row>
    <row r="342" spans="5:45" ht="15.75" customHeight="1">
      <c r="E342" s="2"/>
      <c r="F342" s="2"/>
      <c r="G342" s="2"/>
      <c r="M342" s="2"/>
      <c r="N342" s="2"/>
      <c r="O342" s="2"/>
      <c r="P342" s="2"/>
      <c r="U342" s="2"/>
      <c r="V342" s="2"/>
      <c r="W342" s="2"/>
      <c r="X342" s="2"/>
      <c r="AC342" s="2"/>
      <c r="AI342" s="2"/>
      <c r="AN342" s="2"/>
      <c r="AO342" s="2"/>
      <c r="AP342" s="2"/>
      <c r="AQ342" s="2"/>
      <c r="AR342" s="2"/>
      <c r="AS342" s="2"/>
    </row>
    <row r="343" spans="5:45" ht="15.75" customHeight="1">
      <c r="E343" s="2"/>
      <c r="F343" s="2"/>
      <c r="G343" s="2"/>
      <c r="M343" s="2"/>
      <c r="N343" s="2"/>
      <c r="O343" s="2"/>
      <c r="P343" s="2"/>
      <c r="U343" s="2"/>
      <c r="V343" s="2"/>
      <c r="W343" s="2"/>
      <c r="X343" s="2"/>
      <c r="AC343" s="2"/>
      <c r="AI343" s="2"/>
      <c r="AN343" s="2"/>
      <c r="AO343" s="2"/>
      <c r="AP343" s="2"/>
      <c r="AQ343" s="2"/>
      <c r="AR343" s="2"/>
      <c r="AS343" s="2"/>
    </row>
    <row r="344" spans="5:45" ht="15.75" customHeight="1">
      <c r="E344" s="2"/>
      <c r="F344" s="2"/>
      <c r="G344" s="2"/>
      <c r="M344" s="2"/>
      <c r="N344" s="2"/>
      <c r="O344" s="2"/>
      <c r="P344" s="2"/>
      <c r="U344" s="2"/>
      <c r="V344" s="2"/>
      <c r="W344" s="2"/>
      <c r="X344" s="2"/>
      <c r="AC344" s="2"/>
      <c r="AI344" s="2"/>
      <c r="AN344" s="2"/>
      <c r="AO344" s="2"/>
      <c r="AP344" s="2"/>
      <c r="AQ344" s="2"/>
      <c r="AR344" s="2"/>
      <c r="AS344" s="2"/>
    </row>
    <row r="345" spans="5:45" ht="15.75" customHeight="1">
      <c r="E345" s="2"/>
      <c r="F345" s="2"/>
      <c r="G345" s="2"/>
      <c r="M345" s="2"/>
      <c r="N345" s="2"/>
      <c r="O345" s="2"/>
      <c r="P345" s="2"/>
      <c r="U345" s="2"/>
      <c r="V345" s="2"/>
      <c r="W345" s="2"/>
      <c r="X345" s="2"/>
      <c r="AC345" s="2"/>
      <c r="AI345" s="2"/>
      <c r="AN345" s="2"/>
      <c r="AO345" s="2"/>
      <c r="AP345" s="2"/>
      <c r="AQ345" s="2"/>
      <c r="AR345" s="2"/>
      <c r="AS345" s="2"/>
    </row>
    <row r="346" spans="5:45" ht="15.75" customHeight="1">
      <c r="E346" s="2"/>
      <c r="F346" s="2"/>
      <c r="G346" s="2"/>
      <c r="M346" s="2"/>
      <c r="N346" s="2"/>
      <c r="O346" s="2"/>
      <c r="P346" s="2"/>
      <c r="U346" s="2"/>
      <c r="V346" s="2"/>
      <c r="W346" s="2"/>
      <c r="X346" s="2"/>
      <c r="AC346" s="2"/>
      <c r="AI346" s="2"/>
      <c r="AN346" s="2"/>
      <c r="AO346" s="2"/>
      <c r="AP346" s="2"/>
      <c r="AQ346" s="2"/>
      <c r="AR346" s="2"/>
      <c r="AS346" s="2"/>
    </row>
    <row r="347" spans="5:45" ht="15.75" customHeight="1">
      <c r="E347" s="2"/>
      <c r="F347" s="2"/>
      <c r="G347" s="2"/>
      <c r="M347" s="2"/>
      <c r="N347" s="2"/>
      <c r="O347" s="2"/>
      <c r="P347" s="2"/>
      <c r="U347" s="2"/>
      <c r="V347" s="2"/>
      <c r="W347" s="2"/>
      <c r="X347" s="2"/>
      <c r="AC347" s="2"/>
      <c r="AI347" s="2"/>
      <c r="AN347" s="2"/>
      <c r="AO347" s="2"/>
      <c r="AP347" s="2"/>
      <c r="AQ347" s="2"/>
      <c r="AR347" s="2"/>
      <c r="AS347" s="2"/>
    </row>
    <row r="348" spans="5:45" ht="15.75" customHeight="1">
      <c r="E348" s="2"/>
      <c r="F348" s="2"/>
      <c r="G348" s="2"/>
      <c r="M348" s="2"/>
      <c r="N348" s="2"/>
      <c r="O348" s="2"/>
      <c r="P348" s="2"/>
      <c r="U348" s="2"/>
      <c r="V348" s="2"/>
      <c r="W348" s="2"/>
      <c r="X348" s="2"/>
      <c r="AC348" s="2"/>
      <c r="AI348" s="2"/>
      <c r="AN348" s="2"/>
      <c r="AO348" s="2"/>
      <c r="AP348" s="2"/>
      <c r="AQ348" s="2"/>
      <c r="AR348" s="2"/>
      <c r="AS348" s="2"/>
    </row>
    <row r="349" spans="5:45" ht="15.75" customHeight="1">
      <c r="E349" s="2"/>
      <c r="F349" s="2"/>
      <c r="G349" s="2"/>
      <c r="M349" s="2"/>
      <c r="N349" s="2"/>
      <c r="O349" s="2"/>
      <c r="P349" s="2"/>
      <c r="U349" s="2"/>
      <c r="V349" s="2"/>
      <c r="W349" s="2"/>
      <c r="X349" s="2"/>
      <c r="AC349" s="2"/>
      <c r="AI349" s="2"/>
      <c r="AN349" s="2"/>
      <c r="AO349" s="2"/>
      <c r="AP349" s="2"/>
      <c r="AQ349" s="2"/>
      <c r="AR349" s="2"/>
      <c r="AS349" s="2"/>
    </row>
    <row r="350" spans="5:45" ht="15.75" customHeight="1">
      <c r="E350" s="2"/>
      <c r="F350" s="2"/>
      <c r="G350" s="2"/>
      <c r="M350" s="2"/>
      <c r="N350" s="2"/>
      <c r="O350" s="2"/>
      <c r="P350" s="2"/>
      <c r="U350" s="2"/>
      <c r="V350" s="2"/>
      <c r="W350" s="2"/>
      <c r="X350" s="2"/>
      <c r="AC350" s="2"/>
      <c r="AI350" s="2"/>
      <c r="AN350" s="2"/>
      <c r="AO350" s="2"/>
      <c r="AP350" s="2"/>
      <c r="AQ350" s="2"/>
      <c r="AR350" s="2"/>
      <c r="AS350" s="2"/>
    </row>
    <row r="351" spans="5:45" ht="15.75" customHeight="1">
      <c r="E351" s="2"/>
      <c r="F351" s="2"/>
      <c r="G351" s="2"/>
      <c r="M351" s="2"/>
      <c r="N351" s="2"/>
      <c r="O351" s="2"/>
      <c r="P351" s="2"/>
      <c r="U351" s="2"/>
      <c r="V351" s="2"/>
      <c r="W351" s="2"/>
      <c r="X351" s="2"/>
      <c r="AC351" s="2"/>
      <c r="AI351" s="2"/>
      <c r="AN351" s="2"/>
      <c r="AO351" s="2"/>
      <c r="AP351" s="2"/>
      <c r="AQ351" s="2"/>
      <c r="AR351" s="2"/>
      <c r="AS351" s="2"/>
    </row>
    <row r="352" spans="5:45" ht="15.75" customHeight="1">
      <c r="E352" s="2"/>
      <c r="F352" s="2"/>
      <c r="G352" s="2"/>
      <c r="M352" s="2"/>
      <c r="N352" s="2"/>
      <c r="O352" s="2"/>
      <c r="P352" s="2"/>
      <c r="U352" s="2"/>
      <c r="V352" s="2"/>
      <c r="W352" s="2"/>
      <c r="X352" s="2"/>
      <c r="AC352" s="2"/>
      <c r="AI352" s="2"/>
      <c r="AN352" s="2"/>
      <c r="AO352" s="2"/>
      <c r="AP352" s="2"/>
      <c r="AQ352" s="2"/>
      <c r="AR352" s="2"/>
      <c r="AS352" s="2"/>
    </row>
    <row r="353" spans="5:45" ht="15.75" customHeight="1">
      <c r="E353" s="2"/>
      <c r="F353" s="2"/>
      <c r="G353" s="2"/>
      <c r="M353" s="2"/>
      <c r="N353" s="2"/>
      <c r="O353" s="2"/>
      <c r="P353" s="2"/>
      <c r="U353" s="2"/>
      <c r="V353" s="2"/>
      <c r="W353" s="2"/>
      <c r="X353" s="2"/>
      <c r="AC353" s="2"/>
      <c r="AI353" s="2"/>
      <c r="AN353" s="2"/>
      <c r="AO353" s="2"/>
      <c r="AP353" s="2"/>
      <c r="AQ353" s="2"/>
      <c r="AR353" s="2"/>
      <c r="AS353" s="2"/>
    </row>
    <row r="354" spans="5:45" ht="15.75" customHeight="1">
      <c r="E354" s="2"/>
      <c r="F354" s="2"/>
      <c r="G354" s="2"/>
      <c r="M354" s="2"/>
      <c r="N354" s="2"/>
      <c r="O354" s="2"/>
      <c r="P354" s="2"/>
      <c r="U354" s="2"/>
      <c r="V354" s="2"/>
      <c r="W354" s="2"/>
      <c r="X354" s="2"/>
      <c r="AC354" s="2"/>
      <c r="AI354" s="2"/>
      <c r="AN354" s="2"/>
      <c r="AO354" s="2"/>
      <c r="AP354" s="2"/>
      <c r="AQ354" s="2"/>
      <c r="AR354" s="2"/>
      <c r="AS354" s="2"/>
    </row>
    <row r="355" spans="5:45" ht="15.75" customHeight="1">
      <c r="E355" s="2"/>
      <c r="F355" s="2"/>
      <c r="G355" s="2"/>
      <c r="M355" s="2"/>
      <c r="N355" s="2"/>
      <c r="O355" s="2"/>
      <c r="P355" s="2"/>
      <c r="U355" s="2"/>
      <c r="V355" s="2"/>
      <c r="W355" s="2"/>
      <c r="X355" s="2"/>
      <c r="AC355" s="2"/>
      <c r="AI355" s="2"/>
      <c r="AN355" s="2"/>
      <c r="AO355" s="2"/>
      <c r="AP355" s="2"/>
      <c r="AQ355" s="2"/>
      <c r="AR355" s="2"/>
      <c r="AS355" s="2"/>
    </row>
    <row r="356" spans="5:45" ht="15.75" customHeight="1">
      <c r="E356" s="2"/>
      <c r="F356" s="2"/>
      <c r="G356" s="2"/>
      <c r="M356" s="2"/>
      <c r="N356" s="2"/>
      <c r="O356" s="2"/>
      <c r="P356" s="2"/>
      <c r="U356" s="2"/>
      <c r="V356" s="2"/>
      <c r="W356" s="2"/>
      <c r="X356" s="2"/>
      <c r="AC356" s="2"/>
      <c r="AI356" s="2"/>
      <c r="AN356" s="2"/>
      <c r="AO356" s="2"/>
      <c r="AP356" s="2"/>
      <c r="AQ356" s="2"/>
      <c r="AR356" s="2"/>
      <c r="AS356" s="2"/>
    </row>
    <row r="357" spans="5:45" ht="15.75" customHeight="1">
      <c r="E357" s="2"/>
      <c r="F357" s="2"/>
      <c r="G357" s="2"/>
      <c r="M357" s="2"/>
      <c r="N357" s="2"/>
      <c r="O357" s="2"/>
      <c r="P357" s="2"/>
      <c r="U357" s="2"/>
      <c r="V357" s="2"/>
      <c r="W357" s="2"/>
      <c r="X357" s="2"/>
      <c r="AC357" s="2"/>
      <c r="AI357" s="2"/>
      <c r="AN357" s="2"/>
      <c r="AO357" s="2"/>
      <c r="AP357" s="2"/>
      <c r="AQ357" s="2"/>
      <c r="AR357" s="2"/>
      <c r="AS357" s="2"/>
    </row>
    <row r="358" spans="5:45" ht="15.75" customHeight="1">
      <c r="E358" s="2"/>
      <c r="F358" s="2"/>
      <c r="G358" s="2"/>
      <c r="M358" s="2"/>
      <c r="N358" s="2"/>
      <c r="O358" s="2"/>
      <c r="P358" s="2"/>
      <c r="U358" s="2"/>
      <c r="V358" s="2"/>
      <c r="W358" s="2"/>
      <c r="X358" s="2"/>
      <c r="AC358" s="2"/>
      <c r="AI358" s="2"/>
      <c r="AN358" s="2"/>
      <c r="AO358" s="2"/>
      <c r="AP358" s="2"/>
      <c r="AQ358" s="2"/>
      <c r="AR358" s="2"/>
      <c r="AS358" s="2"/>
    </row>
    <row r="359" spans="5:45" ht="15.75" customHeight="1">
      <c r="E359" s="2"/>
      <c r="F359" s="2"/>
      <c r="G359" s="2"/>
      <c r="M359" s="2"/>
      <c r="N359" s="2"/>
      <c r="O359" s="2"/>
      <c r="P359" s="2"/>
      <c r="U359" s="2"/>
      <c r="V359" s="2"/>
      <c r="W359" s="2"/>
      <c r="X359" s="2"/>
      <c r="AC359" s="2"/>
      <c r="AI359" s="2"/>
      <c r="AN359" s="2"/>
      <c r="AO359" s="2"/>
      <c r="AP359" s="2"/>
      <c r="AQ359" s="2"/>
      <c r="AR359" s="2"/>
      <c r="AS359" s="2"/>
    </row>
    <row r="360" spans="5:45" ht="15.75" customHeight="1">
      <c r="E360" s="2"/>
      <c r="F360" s="2"/>
      <c r="G360" s="2"/>
      <c r="M360" s="2"/>
      <c r="N360" s="2"/>
      <c r="O360" s="2"/>
      <c r="P360" s="2"/>
      <c r="U360" s="2"/>
      <c r="V360" s="2"/>
      <c r="W360" s="2"/>
      <c r="X360" s="2"/>
      <c r="AC360" s="2"/>
      <c r="AI360" s="2"/>
      <c r="AN360" s="2"/>
      <c r="AO360" s="2"/>
      <c r="AP360" s="2"/>
      <c r="AQ360" s="2"/>
      <c r="AR360" s="2"/>
      <c r="AS360" s="2"/>
    </row>
    <row r="361" spans="5:45" ht="15.75" customHeight="1">
      <c r="E361" s="2"/>
      <c r="F361" s="2"/>
      <c r="G361" s="2"/>
      <c r="M361" s="2"/>
      <c r="N361" s="2"/>
      <c r="O361" s="2"/>
      <c r="P361" s="2"/>
      <c r="U361" s="2"/>
      <c r="V361" s="2"/>
      <c r="W361" s="2"/>
      <c r="X361" s="2"/>
      <c r="AC361" s="2"/>
      <c r="AI361" s="2"/>
      <c r="AN361" s="2"/>
      <c r="AO361" s="2"/>
      <c r="AP361" s="2"/>
      <c r="AQ361" s="2"/>
      <c r="AR361" s="2"/>
      <c r="AS361" s="2"/>
    </row>
    <row r="362" spans="5:45" ht="15.75" customHeight="1">
      <c r="E362" s="2"/>
      <c r="F362" s="2"/>
      <c r="G362" s="2"/>
      <c r="M362" s="2"/>
      <c r="N362" s="2"/>
      <c r="O362" s="2"/>
      <c r="P362" s="2"/>
      <c r="U362" s="2"/>
      <c r="V362" s="2"/>
      <c r="W362" s="2"/>
      <c r="X362" s="2"/>
      <c r="AC362" s="2"/>
      <c r="AI362" s="2"/>
      <c r="AN362" s="2"/>
      <c r="AO362" s="2"/>
      <c r="AP362" s="2"/>
      <c r="AQ362" s="2"/>
      <c r="AR362" s="2"/>
      <c r="AS362" s="2"/>
    </row>
    <row r="363" spans="5:45" ht="15.75" customHeight="1">
      <c r="E363" s="2"/>
      <c r="F363" s="2"/>
      <c r="G363" s="2"/>
      <c r="M363" s="2"/>
      <c r="N363" s="2"/>
      <c r="O363" s="2"/>
      <c r="P363" s="2"/>
      <c r="U363" s="2"/>
      <c r="V363" s="2"/>
      <c r="W363" s="2"/>
      <c r="X363" s="2"/>
      <c r="AC363" s="2"/>
      <c r="AI363" s="2"/>
      <c r="AN363" s="2"/>
      <c r="AO363" s="2"/>
      <c r="AP363" s="2"/>
      <c r="AQ363" s="2"/>
      <c r="AR363" s="2"/>
      <c r="AS363" s="2"/>
    </row>
    <row r="364" spans="5:45" ht="15.75" customHeight="1">
      <c r="E364" s="2"/>
      <c r="F364" s="2"/>
      <c r="G364" s="2"/>
      <c r="M364" s="2"/>
      <c r="N364" s="2"/>
      <c r="O364" s="2"/>
      <c r="P364" s="2"/>
      <c r="U364" s="2"/>
      <c r="V364" s="2"/>
      <c r="W364" s="2"/>
      <c r="X364" s="2"/>
      <c r="AC364" s="2"/>
      <c r="AI364" s="2"/>
      <c r="AN364" s="2"/>
      <c r="AO364" s="2"/>
      <c r="AP364" s="2"/>
      <c r="AQ364" s="2"/>
      <c r="AR364" s="2"/>
      <c r="AS364" s="2"/>
    </row>
    <row r="365" spans="5:45" ht="15.75" customHeight="1">
      <c r="E365" s="2"/>
      <c r="F365" s="2"/>
      <c r="G365" s="2"/>
      <c r="M365" s="2"/>
      <c r="N365" s="2"/>
      <c r="O365" s="2"/>
      <c r="P365" s="2"/>
      <c r="U365" s="2"/>
      <c r="V365" s="2"/>
      <c r="W365" s="2"/>
      <c r="X365" s="2"/>
      <c r="AC365" s="2"/>
      <c r="AI365" s="2"/>
      <c r="AN365" s="2"/>
      <c r="AO365" s="2"/>
      <c r="AP365" s="2"/>
      <c r="AQ365" s="2"/>
      <c r="AR365" s="2"/>
      <c r="AS365" s="2"/>
    </row>
    <row r="366" spans="5:45" ht="15.75" customHeight="1">
      <c r="E366" s="2"/>
      <c r="F366" s="2"/>
      <c r="G366" s="2"/>
      <c r="M366" s="2"/>
      <c r="N366" s="2"/>
      <c r="O366" s="2"/>
      <c r="P366" s="2"/>
      <c r="U366" s="2"/>
      <c r="V366" s="2"/>
      <c r="W366" s="2"/>
      <c r="X366" s="2"/>
      <c r="AC366" s="2"/>
      <c r="AI366" s="2"/>
      <c r="AN366" s="2"/>
      <c r="AO366" s="2"/>
      <c r="AP366" s="2"/>
      <c r="AQ366" s="2"/>
      <c r="AR366" s="2"/>
      <c r="AS366" s="2"/>
    </row>
    <row r="367" spans="5:45" ht="15.75" customHeight="1">
      <c r="E367" s="2"/>
      <c r="F367" s="2"/>
      <c r="G367" s="2"/>
      <c r="M367" s="2"/>
      <c r="N367" s="2"/>
      <c r="O367" s="2"/>
      <c r="P367" s="2"/>
      <c r="U367" s="2"/>
      <c r="V367" s="2"/>
      <c r="W367" s="2"/>
      <c r="X367" s="2"/>
      <c r="AC367" s="2"/>
      <c r="AI367" s="2"/>
      <c r="AN367" s="2"/>
      <c r="AO367" s="2"/>
      <c r="AP367" s="2"/>
      <c r="AQ367" s="2"/>
      <c r="AR367" s="2"/>
      <c r="AS367" s="2"/>
    </row>
    <row r="368" spans="5:45" ht="15.75" customHeight="1">
      <c r="E368" s="2"/>
      <c r="F368" s="2"/>
      <c r="G368" s="2"/>
      <c r="M368" s="2"/>
      <c r="N368" s="2"/>
      <c r="O368" s="2"/>
      <c r="P368" s="2"/>
      <c r="U368" s="2"/>
      <c r="V368" s="2"/>
      <c r="W368" s="2"/>
      <c r="X368" s="2"/>
      <c r="AC368" s="2"/>
      <c r="AI368" s="2"/>
      <c r="AN368" s="2"/>
      <c r="AO368" s="2"/>
      <c r="AP368" s="2"/>
      <c r="AQ368" s="2"/>
      <c r="AR368" s="2"/>
      <c r="AS368" s="2"/>
    </row>
    <row r="369" spans="5:45" ht="15.75" customHeight="1">
      <c r="E369" s="2"/>
      <c r="F369" s="2"/>
      <c r="G369" s="2"/>
      <c r="M369" s="2"/>
      <c r="N369" s="2"/>
      <c r="O369" s="2"/>
      <c r="P369" s="2"/>
      <c r="U369" s="2"/>
      <c r="V369" s="2"/>
      <c r="W369" s="2"/>
      <c r="X369" s="2"/>
      <c r="AC369" s="2"/>
      <c r="AI369" s="2"/>
      <c r="AN369" s="2"/>
      <c r="AO369" s="2"/>
      <c r="AP369" s="2"/>
      <c r="AQ369" s="2"/>
      <c r="AR369" s="2"/>
      <c r="AS369" s="2"/>
    </row>
    <row r="370" spans="5:45" ht="15.75" customHeight="1">
      <c r="E370" s="2"/>
      <c r="F370" s="2"/>
      <c r="G370" s="2"/>
      <c r="M370" s="2"/>
      <c r="N370" s="2"/>
      <c r="O370" s="2"/>
      <c r="P370" s="2"/>
      <c r="U370" s="2"/>
      <c r="V370" s="2"/>
      <c r="W370" s="2"/>
      <c r="X370" s="2"/>
      <c r="AC370" s="2"/>
      <c r="AI370" s="2"/>
      <c r="AN370" s="2"/>
      <c r="AO370" s="2"/>
      <c r="AP370" s="2"/>
      <c r="AQ370" s="2"/>
      <c r="AR370" s="2"/>
      <c r="AS370" s="2"/>
    </row>
    <row r="371" spans="5:45" ht="15.75" customHeight="1">
      <c r="E371" s="2"/>
      <c r="F371" s="2"/>
      <c r="G371" s="2"/>
      <c r="M371" s="2"/>
      <c r="N371" s="2"/>
      <c r="O371" s="2"/>
      <c r="P371" s="2"/>
      <c r="U371" s="2"/>
      <c r="V371" s="2"/>
      <c r="W371" s="2"/>
      <c r="X371" s="2"/>
      <c r="AC371" s="2"/>
      <c r="AI371" s="2"/>
      <c r="AN371" s="2"/>
      <c r="AO371" s="2"/>
      <c r="AP371" s="2"/>
      <c r="AQ371" s="2"/>
      <c r="AR371" s="2"/>
      <c r="AS371" s="2"/>
    </row>
    <row r="372" spans="5:45" ht="15.75" customHeight="1">
      <c r="E372" s="2"/>
      <c r="F372" s="2"/>
      <c r="G372" s="2"/>
      <c r="M372" s="2"/>
      <c r="N372" s="2"/>
      <c r="O372" s="2"/>
      <c r="P372" s="2"/>
      <c r="U372" s="2"/>
      <c r="V372" s="2"/>
      <c r="W372" s="2"/>
      <c r="X372" s="2"/>
      <c r="AC372" s="2"/>
      <c r="AI372" s="2"/>
      <c r="AN372" s="2"/>
      <c r="AO372" s="2"/>
      <c r="AP372" s="2"/>
      <c r="AQ372" s="2"/>
      <c r="AR372" s="2"/>
      <c r="AS372" s="2"/>
    </row>
    <row r="373" spans="5:45" ht="15.75" customHeight="1">
      <c r="E373" s="2"/>
      <c r="F373" s="2"/>
      <c r="G373" s="2"/>
      <c r="M373" s="2"/>
      <c r="N373" s="2"/>
      <c r="O373" s="2"/>
      <c r="P373" s="2"/>
      <c r="U373" s="2"/>
      <c r="V373" s="2"/>
      <c r="W373" s="2"/>
      <c r="X373" s="2"/>
      <c r="AC373" s="2"/>
      <c r="AI373" s="2"/>
      <c r="AN373" s="2"/>
      <c r="AO373" s="2"/>
      <c r="AP373" s="2"/>
      <c r="AQ373" s="2"/>
      <c r="AR373" s="2"/>
      <c r="AS373" s="2"/>
    </row>
    <row r="374" spans="5:45" ht="15.75" customHeight="1">
      <c r="E374" s="2"/>
      <c r="F374" s="2"/>
      <c r="G374" s="2"/>
      <c r="M374" s="2"/>
      <c r="N374" s="2"/>
      <c r="O374" s="2"/>
      <c r="P374" s="2"/>
      <c r="U374" s="2"/>
      <c r="V374" s="2"/>
      <c r="W374" s="2"/>
      <c r="X374" s="2"/>
      <c r="AC374" s="2"/>
      <c r="AI374" s="2"/>
      <c r="AN374" s="2"/>
      <c r="AO374" s="2"/>
      <c r="AP374" s="2"/>
      <c r="AQ374" s="2"/>
      <c r="AR374" s="2"/>
      <c r="AS374" s="2"/>
    </row>
    <row r="375" spans="5:45" ht="15.75" customHeight="1">
      <c r="E375" s="2"/>
      <c r="F375" s="2"/>
      <c r="G375" s="2"/>
      <c r="M375" s="2"/>
      <c r="N375" s="2"/>
      <c r="O375" s="2"/>
      <c r="P375" s="2"/>
      <c r="U375" s="2"/>
      <c r="V375" s="2"/>
      <c r="W375" s="2"/>
      <c r="X375" s="2"/>
      <c r="AC375" s="2"/>
      <c r="AI375" s="2"/>
      <c r="AN375" s="2"/>
      <c r="AO375" s="2"/>
      <c r="AP375" s="2"/>
      <c r="AQ375" s="2"/>
      <c r="AR375" s="2"/>
      <c r="AS375" s="2"/>
    </row>
    <row r="376" spans="5:45" ht="15.75" customHeight="1">
      <c r="E376" s="2"/>
      <c r="F376" s="2"/>
      <c r="G376" s="2"/>
      <c r="M376" s="2"/>
      <c r="N376" s="2"/>
      <c r="O376" s="2"/>
      <c r="P376" s="2"/>
      <c r="U376" s="2"/>
      <c r="V376" s="2"/>
      <c r="W376" s="2"/>
      <c r="X376" s="2"/>
      <c r="AC376" s="2"/>
      <c r="AI376" s="2"/>
      <c r="AN376" s="2"/>
      <c r="AO376" s="2"/>
      <c r="AP376" s="2"/>
      <c r="AQ376" s="2"/>
      <c r="AR376" s="2"/>
      <c r="AS376" s="2"/>
    </row>
    <row r="377" spans="5:45" ht="15.75" customHeight="1">
      <c r="E377" s="2"/>
      <c r="F377" s="2"/>
      <c r="G377" s="2"/>
      <c r="M377" s="2"/>
      <c r="N377" s="2"/>
      <c r="O377" s="2"/>
      <c r="P377" s="2"/>
      <c r="U377" s="2"/>
      <c r="V377" s="2"/>
      <c r="W377" s="2"/>
      <c r="X377" s="2"/>
      <c r="AC377" s="2"/>
      <c r="AI377" s="2"/>
      <c r="AN377" s="2"/>
      <c r="AO377" s="2"/>
      <c r="AP377" s="2"/>
      <c r="AQ377" s="2"/>
      <c r="AR377" s="2"/>
      <c r="AS377" s="2"/>
    </row>
    <row r="378" spans="5:45" ht="15.75" customHeight="1">
      <c r="E378" s="2"/>
      <c r="F378" s="2"/>
      <c r="G378" s="2"/>
      <c r="M378" s="2"/>
      <c r="N378" s="2"/>
      <c r="O378" s="2"/>
      <c r="P378" s="2"/>
      <c r="U378" s="2"/>
      <c r="V378" s="2"/>
      <c r="W378" s="2"/>
      <c r="X378" s="2"/>
      <c r="AC378" s="2"/>
      <c r="AI378" s="2"/>
      <c r="AN378" s="2"/>
      <c r="AO378" s="2"/>
      <c r="AP378" s="2"/>
      <c r="AQ378" s="2"/>
      <c r="AR378" s="2"/>
      <c r="AS378" s="2"/>
    </row>
    <row r="379" spans="5:45" ht="15.75" customHeight="1">
      <c r="E379" s="2"/>
      <c r="F379" s="2"/>
      <c r="G379" s="2"/>
      <c r="M379" s="2"/>
      <c r="N379" s="2"/>
      <c r="O379" s="2"/>
      <c r="P379" s="2"/>
      <c r="U379" s="2"/>
      <c r="V379" s="2"/>
      <c r="W379" s="2"/>
      <c r="X379" s="2"/>
      <c r="AC379" s="2"/>
      <c r="AI379" s="2"/>
      <c r="AN379" s="2"/>
      <c r="AO379" s="2"/>
      <c r="AP379" s="2"/>
      <c r="AQ379" s="2"/>
      <c r="AR379" s="2"/>
      <c r="AS379" s="2"/>
    </row>
    <row r="380" spans="5:45" ht="15.75" customHeight="1">
      <c r="E380" s="2"/>
      <c r="F380" s="2"/>
      <c r="G380" s="2"/>
      <c r="M380" s="2"/>
      <c r="N380" s="2"/>
      <c r="O380" s="2"/>
      <c r="P380" s="2"/>
      <c r="U380" s="2"/>
      <c r="V380" s="2"/>
      <c r="W380" s="2"/>
      <c r="X380" s="2"/>
      <c r="AC380" s="2"/>
      <c r="AI380" s="2"/>
      <c r="AN380" s="2"/>
      <c r="AO380" s="2"/>
      <c r="AP380" s="2"/>
      <c r="AQ380" s="2"/>
      <c r="AR380" s="2"/>
      <c r="AS380" s="2"/>
    </row>
    <row r="381" spans="5:45" ht="15.75" customHeight="1">
      <c r="E381" s="2"/>
      <c r="F381" s="2"/>
      <c r="G381" s="2"/>
      <c r="M381" s="2"/>
      <c r="N381" s="2"/>
      <c r="O381" s="2"/>
      <c r="P381" s="2"/>
      <c r="U381" s="2"/>
      <c r="V381" s="2"/>
      <c r="W381" s="2"/>
      <c r="X381" s="2"/>
      <c r="AC381" s="2"/>
      <c r="AI381" s="2"/>
      <c r="AN381" s="2"/>
      <c r="AO381" s="2"/>
      <c r="AP381" s="2"/>
      <c r="AQ381" s="2"/>
      <c r="AR381" s="2"/>
      <c r="AS381" s="2"/>
    </row>
    <row r="382" spans="5:45" ht="15.75" customHeight="1">
      <c r="E382" s="2"/>
      <c r="F382" s="2"/>
      <c r="G382" s="2"/>
      <c r="M382" s="2"/>
      <c r="N382" s="2"/>
      <c r="O382" s="2"/>
      <c r="P382" s="2"/>
      <c r="U382" s="2"/>
      <c r="V382" s="2"/>
      <c r="W382" s="2"/>
      <c r="X382" s="2"/>
      <c r="AC382" s="2"/>
      <c r="AI382" s="2"/>
      <c r="AN382" s="2"/>
      <c r="AO382" s="2"/>
      <c r="AP382" s="2"/>
      <c r="AQ382" s="2"/>
      <c r="AR382" s="2"/>
      <c r="AS382" s="2"/>
    </row>
    <row r="383" spans="5:45" ht="15.75" customHeight="1">
      <c r="E383" s="2"/>
      <c r="F383" s="2"/>
      <c r="G383" s="2"/>
      <c r="M383" s="2"/>
      <c r="N383" s="2"/>
      <c r="O383" s="2"/>
      <c r="P383" s="2"/>
      <c r="U383" s="2"/>
      <c r="V383" s="2"/>
      <c r="W383" s="2"/>
      <c r="X383" s="2"/>
      <c r="AC383" s="2"/>
      <c r="AI383" s="2"/>
      <c r="AN383" s="2"/>
      <c r="AO383" s="2"/>
      <c r="AP383" s="2"/>
      <c r="AQ383" s="2"/>
      <c r="AR383" s="2"/>
      <c r="AS383" s="2"/>
    </row>
    <row r="384" spans="5:45" ht="15.75" customHeight="1">
      <c r="E384" s="2"/>
      <c r="F384" s="2"/>
      <c r="G384" s="2"/>
      <c r="M384" s="2"/>
      <c r="N384" s="2"/>
      <c r="O384" s="2"/>
      <c r="P384" s="2"/>
      <c r="U384" s="2"/>
      <c r="V384" s="2"/>
      <c r="W384" s="2"/>
      <c r="X384" s="2"/>
      <c r="AC384" s="2"/>
      <c r="AI384" s="2"/>
      <c r="AN384" s="2"/>
      <c r="AO384" s="2"/>
      <c r="AP384" s="2"/>
      <c r="AQ384" s="2"/>
      <c r="AR384" s="2"/>
      <c r="AS384" s="2"/>
    </row>
    <row r="385" spans="5:45" ht="15.75" customHeight="1">
      <c r="E385" s="2"/>
      <c r="F385" s="2"/>
      <c r="G385" s="2"/>
      <c r="M385" s="2"/>
      <c r="N385" s="2"/>
      <c r="O385" s="2"/>
      <c r="P385" s="2"/>
      <c r="U385" s="2"/>
      <c r="V385" s="2"/>
      <c r="W385" s="2"/>
      <c r="X385" s="2"/>
      <c r="AC385" s="2"/>
      <c r="AI385" s="2"/>
      <c r="AN385" s="2"/>
      <c r="AO385" s="2"/>
      <c r="AP385" s="2"/>
      <c r="AQ385" s="2"/>
      <c r="AR385" s="2"/>
      <c r="AS385" s="2"/>
    </row>
    <row r="386" spans="5:45" ht="15.75" customHeight="1">
      <c r="E386" s="2"/>
      <c r="F386" s="2"/>
      <c r="G386" s="2"/>
      <c r="M386" s="2"/>
      <c r="N386" s="2"/>
      <c r="O386" s="2"/>
      <c r="P386" s="2"/>
      <c r="U386" s="2"/>
      <c r="V386" s="2"/>
      <c r="W386" s="2"/>
      <c r="X386" s="2"/>
      <c r="AC386" s="2"/>
      <c r="AI386" s="2"/>
      <c r="AN386" s="2"/>
      <c r="AO386" s="2"/>
      <c r="AP386" s="2"/>
      <c r="AQ386" s="2"/>
      <c r="AR386" s="2"/>
      <c r="AS386" s="2"/>
    </row>
    <row r="387" spans="5:45" ht="15.75" customHeight="1">
      <c r="E387" s="2"/>
      <c r="F387" s="2"/>
      <c r="G387" s="2"/>
      <c r="M387" s="2"/>
      <c r="N387" s="2"/>
      <c r="O387" s="2"/>
      <c r="P387" s="2"/>
      <c r="U387" s="2"/>
      <c r="V387" s="2"/>
      <c r="W387" s="2"/>
      <c r="X387" s="2"/>
      <c r="AC387" s="2"/>
      <c r="AI387" s="2"/>
      <c r="AN387" s="2"/>
      <c r="AO387" s="2"/>
      <c r="AP387" s="2"/>
      <c r="AQ387" s="2"/>
      <c r="AR387" s="2"/>
      <c r="AS387" s="2"/>
    </row>
    <row r="388" spans="5:45" ht="15.75" customHeight="1">
      <c r="E388" s="2"/>
      <c r="F388" s="2"/>
      <c r="G388" s="2"/>
      <c r="M388" s="2"/>
      <c r="N388" s="2"/>
      <c r="O388" s="2"/>
      <c r="P388" s="2"/>
      <c r="U388" s="2"/>
      <c r="V388" s="2"/>
      <c r="W388" s="2"/>
      <c r="X388" s="2"/>
      <c r="AC388" s="2"/>
      <c r="AI388" s="2"/>
      <c r="AN388" s="2"/>
      <c r="AO388" s="2"/>
      <c r="AP388" s="2"/>
      <c r="AQ388" s="2"/>
      <c r="AR388" s="2"/>
      <c r="AS388" s="2"/>
    </row>
    <row r="389" spans="5:45" ht="15.75" customHeight="1">
      <c r="E389" s="2"/>
      <c r="F389" s="2"/>
      <c r="G389" s="2"/>
      <c r="M389" s="2"/>
      <c r="N389" s="2"/>
      <c r="O389" s="2"/>
      <c r="P389" s="2"/>
      <c r="U389" s="2"/>
      <c r="V389" s="2"/>
      <c r="W389" s="2"/>
      <c r="X389" s="2"/>
      <c r="AC389" s="2"/>
      <c r="AI389" s="2"/>
      <c r="AN389" s="2"/>
      <c r="AO389" s="2"/>
      <c r="AP389" s="2"/>
      <c r="AQ389" s="2"/>
      <c r="AR389" s="2"/>
      <c r="AS389" s="2"/>
    </row>
    <row r="390" spans="5:45" ht="15.75" customHeight="1">
      <c r="E390" s="2"/>
      <c r="F390" s="2"/>
      <c r="G390" s="2"/>
      <c r="M390" s="2"/>
      <c r="N390" s="2"/>
      <c r="O390" s="2"/>
      <c r="P390" s="2"/>
      <c r="U390" s="2"/>
      <c r="V390" s="2"/>
      <c r="W390" s="2"/>
      <c r="X390" s="2"/>
      <c r="AC390" s="2"/>
      <c r="AI390" s="2"/>
      <c r="AN390" s="2"/>
      <c r="AO390" s="2"/>
      <c r="AP390" s="2"/>
      <c r="AQ390" s="2"/>
      <c r="AR390" s="2"/>
      <c r="AS390" s="2"/>
    </row>
    <row r="391" spans="5:45" ht="15.75" customHeight="1">
      <c r="E391" s="2"/>
      <c r="F391" s="2"/>
      <c r="G391" s="2"/>
      <c r="M391" s="2"/>
      <c r="N391" s="2"/>
      <c r="O391" s="2"/>
      <c r="P391" s="2"/>
      <c r="U391" s="2"/>
      <c r="V391" s="2"/>
      <c r="W391" s="2"/>
      <c r="X391" s="2"/>
      <c r="AC391" s="2"/>
      <c r="AI391" s="2"/>
      <c r="AN391" s="2"/>
      <c r="AO391" s="2"/>
      <c r="AP391" s="2"/>
      <c r="AQ391" s="2"/>
      <c r="AR391" s="2"/>
      <c r="AS391" s="2"/>
    </row>
    <row r="392" spans="5:45" ht="15.75" customHeight="1">
      <c r="E392" s="2"/>
      <c r="F392" s="2"/>
      <c r="G392" s="2"/>
      <c r="M392" s="2"/>
      <c r="N392" s="2"/>
      <c r="O392" s="2"/>
      <c r="P392" s="2"/>
      <c r="U392" s="2"/>
      <c r="V392" s="2"/>
      <c r="W392" s="2"/>
      <c r="X392" s="2"/>
      <c r="AC392" s="2"/>
      <c r="AI392" s="2"/>
      <c r="AN392" s="2"/>
      <c r="AO392" s="2"/>
      <c r="AP392" s="2"/>
      <c r="AQ392" s="2"/>
      <c r="AR392" s="2"/>
      <c r="AS392" s="2"/>
    </row>
    <row r="393" spans="5:45" ht="15.75" customHeight="1">
      <c r="E393" s="2"/>
      <c r="F393" s="2"/>
      <c r="G393" s="2"/>
      <c r="M393" s="2"/>
      <c r="N393" s="2"/>
      <c r="O393" s="2"/>
      <c r="P393" s="2"/>
      <c r="U393" s="2"/>
      <c r="V393" s="2"/>
      <c r="W393" s="2"/>
      <c r="X393" s="2"/>
      <c r="AC393" s="2"/>
      <c r="AI393" s="2"/>
      <c r="AN393" s="2"/>
      <c r="AO393" s="2"/>
      <c r="AP393" s="2"/>
      <c r="AQ393" s="2"/>
      <c r="AR393" s="2"/>
      <c r="AS393" s="2"/>
    </row>
    <row r="394" spans="5:45" ht="15.75" customHeight="1">
      <c r="E394" s="2"/>
      <c r="F394" s="2"/>
      <c r="G394" s="2"/>
      <c r="M394" s="2"/>
      <c r="N394" s="2"/>
      <c r="O394" s="2"/>
      <c r="P394" s="2"/>
      <c r="U394" s="2"/>
      <c r="V394" s="2"/>
      <c r="W394" s="2"/>
      <c r="X394" s="2"/>
      <c r="AC394" s="2"/>
      <c r="AI394" s="2"/>
      <c r="AN394" s="2"/>
      <c r="AO394" s="2"/>
      <c r="AP394" s="2"/>
      <c r="AQ394" s="2"/>
      <c r="AR394" s="2"/>
      <c r="AS394" s="2"/>
    </row>
    <row r="395" spans="5:45" ht="15.75" customHeight="1">
      <c r="E395" s="2"/>
      <c r="F395" s="2"/>
      <c r="G395" s="2"/>
      <c r="M395" s="2"/>
      <c r="N395" s="2"/>
      <c r="O395" s="2"/>
      <c r="P395" s="2"/>
      <c r="U395" s="2"/>
      <c r="V395" s="2"/>
      <c r="W395" s="2"/>
      <c r="X395" s="2"/>
      <c r="AC395" s="2"/>
      <c r="AI395" s="2"/>
      <c r="AN395" s="2"/>
      <c r="AO395" s="2"/>
      <c r="AP395" s="2"/>
      <c r="AQ395" s="2"/>
      <c r="AR395" s="2"/>
      <c r="AS395" s="2"/>
    </row>
    <row r="396" spans="5:45" ht="15.75" customHeight="1">
      <c r="E396" s="2"/>
      <c r="F396" s="2"/>
      <c r="G396" s="2"/>
      <c r="M396" s="2"/>
      <c r="N396" s="2"/>
      <c r="O396" s="2"/>
      <c r="P396" s="2"/>
      <c r="U396" s="2"/>
      <c r="V396" s="2"/>
      <c r="W396" s="2"/>
      <c r="X396" s="2"/>
      <c r="AC396" s="2"/>
      <c r="AI396" s="2"/>
      <c r="AN396" s="2"/>
      <c r="AO396" s="2"/>
      <c r="AP396" s="2"/>
      <c r="AQ396" s="2"/>
      <c r="AR396" s="2"/>
      <c r="AS396" s="2"/>
    </row>
    <row r="397" spans="5:45" ht="15.75" customHeight="1">
      <c r="E397" s="2"/>
      <c r="F397" s="2"/>
      <c r="G397" s="2"/>
      <c r="M397" s="2"/>
      <c r="N397" s="2"/>
      <c r="O397" s="2"/>
      <c r="P397" s="2"/>
      <c r="U397" s="2"/>
      <c r="V397" s="2"/>
      <c r="W397" s="2"/>
      <c r="X397" s="2"/>
      <c r="AC397" s="2"/>
      <c r="AI397" s="2"/>
      <c r="AN397" s="2"/>
      <c r="AO397" s="2"/>
      <c r="AP397" s="2"/>
      <c r="AQ397" s="2"/>
      <c r="AR397" s="2"/>
      <c r="AS397" s="2"/>
    </row>
    <row r="398" spans="5:45" ht="15.75" customHeight="1">
      <c r="E398" s="2"/>
      <c r="F398" s="2"/>
      <c r="G398" s="2"/>
      <c r="M398" s="2"/>
      <c r="N398" s="2"/>
      <c r="O398" s="2"/>
      <c r="P398" s="2"/>
      <c r="U398" s="2"/>
      <c r="V398" s="2"/>
      <c r="W398" s="2"/>
      <c r="X398" s="2"/>
      <c r="AC398" s="2"/>
      <c r="AI398" s="2"/>
      <c r="AN398" s="2"/>
      <c r="AO398" s="2"/>
      <c r="AP398" s="2"/>
      <c r="AQ398" s="2"/>
      <c r="AR398" s="2"/>
      <c r="AS398" s="2"/>
    </row>
    <row r="399" spans="5:45" ht="15.75" customHeight="1">
      <c r="E399" s="2"/>
      <c r="F399" s="2"/>
      <c r="G399" s="2"/>
      <c r="M399" s="2"/>
      <c r="N399" s="2"/>
      <c r="O399" s="2"/>
      <c r="P399" s="2"/>
      <c r="U399" s="2"/>
      <c r="V399" s="2"/>
      <c r="W399" s="2"/>
      <c r="X399" s="2"/>
      <c r="AC399" s="2"/>
      <c r="AI399" s="2"/>
      <c r="AN399" s="2"/>
      <c r="AO399" s="2"/>
      <c r="AP399" s="2"/>
      <c r="AQ399" s="2"/>
      <c r="AR399" s="2"/>
      <c r="AS399" s="2"/>
    </row>
    <row r="400" spans="5:45" ht="15.75" customHeight="1">
      <c r="E400" s="2"/>
      <c r="F400" s="2"/>
      <c r="G400" s="2"/>
      <c r="M400" s="2"/>
      <c r="N400" s="2"/>
      <c r="O400" s="2"/>
      <c r="P400" s="2"/>
      <c r="U400" s="2"/>
      <c r="V400" s="2"/>
      <c r="W400" s="2"/>
      <c r="X400" s="2"/>
      <c r="AC400" s="2"/>
      <c r="AI400" s="2"/>
      <c r="AN400" s="2"/>
      <c r="AO400" s="2"/>
      <c r="AP400" s="2"/>
      <c r="AQ400" s="2"/>
      <c r="AR400" s="2"/>
      <c r="AS400" s="2"/>
    </row>
    <row r="401" spans="5:45" ht="15.75" customHeight="1">
      <c r="E401" s="2"/>
      <c r="F401" s="2"/>
      <c r="G401" s="2"/>
      <c r="M401" s="2"/>
      <c r="N401" s="2"/>
      <c r="O401" s="2"/>
      <c r="P401" s="2"/>
      <c r="U401" s="2"/>
      <c r="V401" s="2"/>
      <c r="W401" s="2"/>
      <c r="X401" s="2"/>
      <c r="AC401" s="2"/>
      <c r="AI401" s="2"/>
      <c r="AN401" s="2"/>
      <c r="AO401" s="2"/>
      <c r="AP401" s="2"/>
      <c r="AQ401" s="2"/>
      <c r="AR401" s="2"/>
      <c r="AS401" s="2"/>
    </row>
    <row r="402" spans="5:45" ht="15.75" customHeight="1">
      <c r="E402" s="2"/>
      <c r="F402" s="2"/>
      <c r="G402" s="2"/>
      <c r="M402" s="2"/>
      <c r="N402" s="2"/>
      <c r="O402" s="2"/>
      <c r="P402" s="2"/>
      <c r="U402" s="2"/>
      <c r="V402" s="2"/>
      <c r="W402" s="2"/>
      <c r="X402" s="2"/>
      <c r="AC402" s="2"/>
      <c r="AI402" s="2"/>
      <c r="AN402" s="2"/>
      <c r="AO402" s="2"/>
      <c r="AP402" s="2"/>
      <c r="AQ402" s="2"/>
      <c r="AR402" s="2"/>
      <c r="AS402" s="2"/>
    </row>
    <row r="403" spans="5:45" ht="15.75" customHeight="1">
      <c r="E403" s="2"/>
      <c r="F403" s="2"/>
      <c r="G403" s="2"/>
      <c r="M403" s="2"/>
      <c r="N403" s="2"/>
      <c r="O403" s="2"/>
      <c r="P403" s="2"/>
      <c r="U403" s="2"/>
      <c r="V403" s="2"/>
      <c r="W403" s="2"/>
      <c r="X403" s="2"/>
      <c r="AC403" s="2"/>
      <c r="AI403" s="2"/>
      <c r="AN403" s="2"/>
      <c r="AO403" s="2"/>
      <c r="AP403" s="2"/>
      <c r="AQ403" s="2"/>
      <c r="AR403" s="2"/>
      <c r="AS403" s="2"/>
    </row>
    <row r="404" spans="5:45" ht="15.75" customHeight="1">
      <c r="E404" s="2"/>
      <c r="F404" s="2"/>
      <c r="G404" s="2"/>
      <c r="M404" s="2"/>
      <c r="N404" s="2"/>
      <c r="O404" s="2"/>
      <c r="P404" s="2"/>
      <c r="U404" s="2"/>
      <c r="V404" s="2"/>
      <c r="W404" s="2"/>
      <c r="X404" s="2"/>
      <c r="AC404" s="2"/>
      <c r="AI404" s="2"/>
      <c r="AN404" s="2"/>
      <c r="AO404" s="2"/>
      <c r="AP404" s="2"/>
      <c r="AQ404" s="2"/>
      <c r="AR404" s="2"/>
      <c r="AS404" s="2"/>
    </row>
    <row r="405" spans="5:45" ht="15.75" customHeight="1">
      <c r="E405" s="2"/>
      <c r="F405" s="2"/>
      <c r="G405" s="2"/>
      <c r="M405" s="2"/>
      <c r="N405" s="2"/>
      <c r="O405" s="2"/>
      <c r="P405" s="2"/>
      <c r="U405" s="2"/>
      <c r="V405" s="2"/>
      <c r="W405" s="2"/>
      <c r="X405" s="2"/>
      <c r="AC405" s="2"/>
      <c r="AI405" s="2"/>
      <c r="AN405" s="2"/>
      <c r="AO405" s="2"/>
      <c r="AP405" s="2"/>
      <c r="AQ405" s="2"/>
      <c r="AR405" s="2"/>
      <c r="AS405" s="2"/>
    </row>
    <row r="406" spans="5:45" ht="15.75" customHeight="1">
      <c r="E406" s="2"/>
      <c r="F406" s="2"/>
      <c r="G406" s="2"/>
      <c r="M406" s="2"/>
      <c r="N406" s="2"/>
      <c r="O406" s="2"/>
      <c r="P406" s="2"/>
      <c r="U406" s="2"/>
      <c r="V406" s="2"/>
      <c r="W406" s="2"/>
      <c r="X406" s="2"/>
      <c r="AC406" s="2"/>
      <c r="AI406" s="2"/>
      <c r="AN406" s="2"/>
      <c r="AO406" s="2"/>
      <c r="AP406" s="2"/>
      <c r="AQ406" s="2"/>
      <c r="AR406" s="2"/>
      <c r="AS406" s="2"/>
    </row>
    <row r="407" spans="5:45" ht="15.75" customHeight="1">
      <c r="E407" s="2"/>
      <c r="F407" s="2"/>
      <c r="G407" s="2"/>
      <c r="M407" s="2"/>
      <c r="N407" s="2"/>
      <c r="O407" s="2"/>
      <c r="P407" s="2"/>
      <c r="U407" s="2"/>
      <c r="V407" s="2"/>
      <c r="W407" s="2"/>
      <c r="X407" s="2"/>
      <c r="AC407" s="2"/>
      <c r="AI407" s="2"/>
      <c r="AN407" s="2"/>
      <c r="AO407" s="2"/>
      <c r="AP407" s="2"/>
      <c r="AQ407" s="2"/>
      <c r="AR407" s="2"/>
      <c r="AS407" s="2"/>
    </row>
    <row r="408" spans="5:45" ht="15.75" customHeight="1">
      <c r="E408" s="2"/>
      <c r="F408" s="2"/>
      <c r="G408" s="2"/>
      <c r="M408" s="2"/>
      <c r="N408" s="2"/>
      <c r="O408" s="2"/>
      <c r="P408" s="2"/>
      <c r="U408" s="2"/>
      <c r="V408" s="2"/>
      <c r="W408" s="2"/>
      <c r="X408" s="2"/>
      <c r="AC408" s="2"/>
      <c r="AI408" s="2"/>
      <c r="AN408" s="2"/>
      <c r="AO408" s="2"/>
      <c r="AP408" s="2"/>
      <c r="AQ408" s="2"/>
      <c r="AR408" s="2"/>
      <c r="AS408" s="2"/>
    </row>
    <row r="409" spans="5:45" ht="15.75" customHeight="1">
      <c r="E409" s="2"/>
      <c r="F409" s="2"/>
      <c r="G409" s="2"/>
      <c r="M409" s="2"/>
      <c r="N409" s="2"/>
      <c r="O409" s="2"/>
      <c r="P409" s="2"/>
      <c r="U409" s="2"/>
      <c r="V409" s="2"/>
      <c r="W409" s="2"/>
      <c r="X409" s="2"/>
      <c r="AC409" s="2"/>
      <c r="AI409" s="2"/>
      <c r="AN409" s="2"/>
      <c r="AO409" s="2"/>
      <c r="AP409" s="2"/>
      <c r="AQ409" s="2"/>
      <c r="AR409" s="2"/>
      <c r="AS409" s="2"/>
    </row>
    <row r="410" spans="5:45" ht="15.75" customHeight="1">
      <c r="E410" s="2"/>
      <c r="F410" s="2"/>
      <c r="G410" s="2"/>
      <c r="M410" s="2"/>
      <c r="N410" s="2"/>
      <c r="O410" s="2"/>
      <c r="P410" s="2"/>
      <c r="U410" s="2"/>
      <c r="V410" s="2"/>
      <c r="W410" s="2"/>
      <c r="X410" s="2"/>
      <c r="AC410" s="2"/>
      <c r="AI410" s="2"/>
      <c r="AN410" s="2"/>
      <c r="AO410" s="2"/>
      <c r="AP410" s="2"/>
      <c r="AQ410" s="2"/>
      <c r="AR410" s="2"/>
      <c r="AS410" s="2"/>
    </row>
    <row r="411" spans="5:45" ht="15.75" customHeight="1">
      <c r="E411" s="2"/>
      <c r="F411" s="2"/>
      <c r="G411" s="2"/>
      <c r="M411" s="2"/>
      <c r="N411" s="2"/>
      <c r="O411" s="2"/>
      <c r="P411" s="2"/>
      <c r="U411" s="2"/>
      <c r="V411" s="2"/>
      <c r="W411" s="2"/>
      <c r="X411" s="2"/>
      <c r="AC411" s="2"/>
      <c r="AI411" s="2"/>
      <c r="AN411" s="2"/>
      <c r="AO411" s="2"/>
      <c r="AP411" s="2"/>
      <c r="AQ411" s="2"/>
      <c r="AR411" s="2"/>
      <c r="AS411" s="2"/>
    </row>
    <row r="412" spans="5:45" ht="15.75" customHeight="1">
      <c r="E412" s="2"/>
      <c r="F412" s="2"/>
      <c r="G412" s="2"/>
      <c r="M412" s="2"/>
      <c r="N412" s="2"/>
      <c r="O412" s="2"/>
      <c r="P412" s="2"/>
      <c r="U412" s="2"/>
      <c r="V412" s="2"/>
      <c r="W412" s="2"/>
      <c r="X412" s="2"/>
      <c r="AC412" s="2"/>
      <c r="AI412" s="2"/>
      <c r="AN412" s="2"/>
      <c r="AO412" s="2"/>
      <c r="AP412" s="2"/>
      <c r="AQ412" s="2"/>
      <c r="AR412" s="2"/>
      <c r="AS412" s="2"/>
    </row>
    <row r="413" spans="5:45" ht="15.75" customHeight="1">
      <c r="E413" s="2"/>
      <c r="F413" s="2"/>
      <c r="G413" s="2"/>
      <c r="M413" s="2"/>
      <c r="N413" s="2"/>
      <c r="O413" s="2"/>
      <c r="P413" s="2"/>
      <c r="U413" s="2"/>
      <c r="V413" s="2"/>
      <c r="W413" s="2"/>
      <c r="X413" s="2"/>
      <c r="AC413" s="2"/>
      <c r="AI413" s="2"/>
      <c r="AN413" s="2"/>
      <c r="AO413" s="2"/>
      <c r="AP413" s="2"/>
      <c r="AQ413" s="2"/>
      <c r="AR413" s="2"/>
      <c r="AS413" s="2"/>
    </row>
    <row r="414" spans="5:45" ht="15.75" customHeight="1">
      <c r="E414" s="2"/>
      <c r="F414" s="2"/>
      <c r="G414" s="2"/>
      <c r="M414" s="2"/>
      <c r="N414" s="2"/>
      <c r="O414" s="2"/>
      <c r="P414" s="2"/>
      <c r="U414" s="2"/>
      <c r="V414" s="2"/>
      <c r="W414" s="2"/>
      <c r="X414" s="2"/>
      <c r="AC414" s="2"/>
      <c r="AI414" s="2"/>
      <c r="AN414" s="2"/>
      <c r="AO414" s="2"/>
      <c r="AP414" s="2"/>
      <c r="AQ414" s="2"/>
      <c r="AR414" s="2"/>
      <c r="AS414" s="2"/>
    </row>
    <row r="415" spans="5:45" ht="15.75" customHeight="1">
      <c r="E415" s="2"/>
      <c r="F415" s="2"/>
      <c r="G415" s="2"/>
      <c r="M415" s="2"/>
      <c r="N415" s="2"/>
      <c r="O415" s="2"/>
      <c r="P415" s="2"/>
      <c r="U415" s="2"/>
      <c r="V415" s="2"/>
      <c r="W415" s="2"/>
      <c r="X415" s="2"/>
      <c r="AC415" s="2"/>
      <c r="AI415" s="2"/>
      <c r="AN415" s="2"/>
      <c r="AO415" s="2"/>
      <c r="AP415" s="2"/>
      <c r="AQ415" s="2"/>
      <c r="AR415" s="2"/>
      <c r="AS415" s="2"/>
    </row>
    <row r="416" spans="5:45" ht="15.75" customHeight="1">
      <c r="E416" s="2"/>
      <c r="F416" s="2"/>
      <c r="G416" s="2"/>
      <c r="M416" s="2"/>
      <c r="N416" s="2"/>
      <c r="O416" s="2"/>
      <c r="P416" s="2"/>
      <c r="U416" s="2"/>
      <c r="V416" s="2"/>
      <c r="W416" s="2"/>
      <c r="X416" s="2"/>
      <c r="AC416" s="2"/>
      <c r="AI416" s="2"/>
      <c r="AN416" s="2"/>
      <c r="AO416" s="2"/>
      <c r="AP416" s="2"/>
      <c r="AQ416" s="2"/>
      <c r="AR416" s="2"/>
      <c r="AS416" s="2"/>
    </row>
    <row r="417" spans="5:45" ht="15.75" customHeight="1">
      <c r="E417" s="2"/>
      <c r="F417" s="2"/>
      <c r="G417" s="2"/>
      <c r="M417" s="2"/>
      <c r="N417" s="2"/>
      <c r="O417" s="2"/>
      <c r="P417" s="2"/>
      <c r="U417" s="2"/>
      <c r="V417" s="2"/>
      <c r="W417" s="2"/>
      <c r="X417" s="2"/>
      <c r="AC417" s="2"/>
      <c r="AI417" s="2"/>
      <c r="AN417" s="2"/>
      <c r="AO417" s="2"/>
      <c r="AP417" s="2"/>
      <c r="AQ417" s="2"/>
      <c r="AR417" s="2"/>
      <c r="AS417" s="2"/>
    </row>
    <row r="418" spans="5:45" ht="15.75" customHeight="1">
      <c r="E418" s="2"/>
      <c r="F418" s="2"/>
      <c r="G418" s="2"/>
      <c r="M418" s="2"/>
      <c r="N418" s="2"/>
      <c r="O418" s="2"/>
      <c r="P418" s="2"/>
      <c r="U418" s="2"/>
      <c r="V418" s="2"/>
      <c r="W418" s="2"/>
      <c r="X418" s="2"/>
      <c r="AC418" s="2"/>
      <c r="AI418" s="2"/>
      <c r="AN418" s="2"/>
      <c r="AO418" s="2"/>
      <c r="AP418" s="2"/>
      <c r="AQ418" s="2"/>
      <c r="AR418" s="2"/>
      <c r="AS418" s="2"/>
    </row>
    <row r="419" spans="5:45" ht="15.75" customHeight="1">
      <c r="E419" s="2"/>
      <c r="F419" s="2"/>
      <c r="G419" s="2"/>
      <c r="M419" s="2"/>
      <c r="N419" s="2"/>
      <c r="O419" s="2"/>
      <c r="P419" s="2"/>
      <c r="U419" s="2"/>
      <c r="V419" s="2"/>
      <c r="W419" s="2"/>
      <c r="X419" s="2"/>
      <c r="AC419" s="2"/>
      <c r="AI419" s="2"/>
      <c r="AN419" s="2"/>
      <c r="AO419" s="2"/>
      <c r="AP419" s="2"/>
      <c r="AQ419" s="2"/>
      <c r="AR419" s="2"/>
      <c r="AS419" s="2"/>
    </row>
    <row r="420" spans="5:45" ht="15.75" customHeight="1">
      <c r="E420" s="2"/>
      <c r="F420" s="2"/>
      <c r="G420" s="2"/>
      <c r="M420" s="2"/>
      <c r="N420" s="2"/>
      <c r="O420" s="2"/>
      <c r="P420" s="2"/>
      <c r="U420" s="2"/>
      <c r="V420" s="2"/>
      <c r="W420" s="2"/>
      <c r="X420" s="2"/>
      <c r="AC420" s="2"/>
      <c r="AI420" s="2"/>
      <c r="AN420" s="2"/>
      <c r="AO420" s="2"/>
      <c r="AP420" s="2"/>
      <c r="AQ420" s="2"/>
      <c r="AR420" s="2"/>
      <c r="AS420" s="2"/>
    </row>
    <row r="421" spans="5:45" ht="15.75" customHeight="1">
      <c r="E421" s="2"/>
      <c r="F421" s="2"/>
      <c r="G421" s="2"/>
      <c r="M421" s="2"/>
      <c r="N421" s="2"/>
      <c r="O421" s="2"/>
      <c r="P421" s="2"/>
      <c r="U421" s="2"/>
      <c r="V421" s="2"/>
      <c r="W421" s="2"/>
      <c r="X421" s="2"/>
      <c r="AC421" s="2"/>
      <c r="AI421" s="2"/>
      <c r="AN421" s="2"/>
      <c r="AO421" s="2"/>
      <c r="AP421" s="2"/>
      <c r="AQ421" s="2"/>
      <c r="AR421" s="2"/>
      <c r="AS421" s="2"/>
    </row>
    <row r="422" spans="5:45" ht="15.75" customHeight="1">
      <c r="E422" s="2"/>
      <c r="F422" s="2"/>
      <c r="G422" s="2"/>
      <c r="M422" s="2"/>
      <c r="N422" s="2"/>
      <c r="O422" s="2"/>
      <c r="P422" s="2"/>
      <c r="U422" s="2"/>
      <c r="V422" s="2"/>
      <c r="W422" s="2"/>
      <c r="X422" s="2"/>
      <c r="AC422" s="2"/>
      <c r="AI422" s="2"/>
      <c r="AN422" s="2"/>
      <c r="AO422" s="2"/>
      <c r="AP422" s="2"/>
      <c r="AQ422" s="2"/>
      <c r="AR422" s="2"/>
      <c r="AS422" s="2"/>
    </row>
    <row r="423" spans="5:45" ht="15.75" customHeight="1">
      <c r="E423" s="2"/>
      <c r="F423" s="2"/>
      <c r="G423" s="2"/>
      <c r="M423" s="2"/>
      <c r="N423" s="2"/>
      <c r="O423" s="2"/>
      <c r="P423" s="2"/>
      <c r="U423" s="2"/>
      <c r="V423" s="2"/>
      <c r="W423" s="2"/>
      <c r="X423" s="2"/>
      <c r="AC423" s="2"/>
      <c r="AI423" s="2"/>
      <c r="AN423" s="2"/>
      <c r="AO423" s="2"/>
      <c r="AP423" s="2"/>
      <c r="AQ423" s="2"/>
      <c r="AR423" s="2"/>
      <c r="AS423" s="2"/>
    </row>
    <row r="424" spans="5:45" ht="15.75" customHeight="1">
      <c r="E424" s="2"/>
      <c r="F424" s="2"/>
      <c r="G424" s="2"/>
      <c r="M424" s="2"/>
      <c r="N424" s="2"/>
      <c r="O424" s="2"/>
      <c r="P424" s="2"/>
      <c r="U424" s="2"/>
      <c r="V424" s="2"/>
      <c r="W424" s="2"/>
      <c r="X424" s="2"/>
      <c r="AC424" s="2"/>
      <c r="AI424" s="2"/>
      <c r="AN424" s="2"/>
      <c r="AO424" s="2"/>
      <c r="AP424" s="2"/>
      <c r="AQ424" s="2"/>
      <c r="AR424" s="2"/>
      <c r="AS424" s="2"/>
    </row>
    <row r="425" spans="5:45" ht="15.75" customHeight="1">
      <c r="E425" s="2"/>
      <c r="F425" s="2"/>
      <c r="G425" s="2"/>
      <c r="M425" s="2"/>
      <c r="N425" s="2"/>
      <c r="O425" s="2"/>
      <c r="P425" s="2"/>
      <c r="U425" s="2"/>
      <c r="V425" s="2"/>
      <c r="W425" s="2"/>
      <c r="X425" s="2"/>
      <c r="AC425" s="2"/>
      <c r="AI425" s="2"/>
      <c r="AN425" s="2"/>
      <c r="AO425" s="2"/>
      <c r="AP425" s="2"/>
      <c r="AQ425" s="2"/>
      <c r="AR425" s="2"/>
      <c r="AS425" s="2"/>
    </row>
    <row r="426" spans="5:45" ht="15.75" customHeight="1">
      <c r="E426" s="2"/>
      <c r="F426" s="2"/>
      <c r="G426" s="2"/>
      <c r="M426" s="2"/>
      <c r="N426" s="2"/>
      <c r="O426" s="2"/>
      <c r="P426" s="2"/>
      <c r="U426" s="2"/>
      <c r="V426" s="2"/>
      <c r="W426" s="2"/>
      <c r="X426" s="2"/>
      <c r="AC426" s="2"/>
      <c r="AI426" s="2"/>
      <c r="AN426" s="2"/>
      <c r="AO426" s="2"/>
      <c r="AP426" s="2"/>
      <c r="AQ426" s="2"/>
      <c r="AR426" s="2"/>
      <c r="AS426" s="2"/>
    </row>
    <row r="427" spans="5:45" ht="15.75" customHeight="1">
      <c r="E427" s="2"/>
      <c r="F427" s="2"/>
      <c r="G427" s="2"/>
      <c r="M427" s="2"/>
      <c r="N427" s="2"/>
      <c r="O427" s="2"/>
      <c r="P427" s="2"/>
      <c r="U427" s="2"/>
      <c r="V427" s="2"/>
      <c r="W427" s="2"/>
      <c r="X427" s="2"/>
      <c r="AC427" s="2"/>
      <c r="AI427" s="2"/>
      <c r="AN427" s="2"/>
      <c r="AO427" s="2"/>
      <c r="AP427" s="2"/>
      <c r="AQ427" s="2"/>
      <c r="AR427" s="2"/>
      <c r="AS427" s="2"/>
    </row>
    <row r="428" spans="5:45" ht="15.75" customHeight="1">
      <c r="E428" s="2"/>
      <c r="F428" s="2"/>
      <c r="G428" s="2"/>
      <c r="M428" s="2"/>
      <c r="N428" s="2"/>
      <c r="O428" s="2"/>
      <c r="P428" s="2"/>
      <c r="U428" s="2"/>
      <c r="V428" s="2"/>
      <c r="W428" s="2"/>
      <c r="X428" s="2"/>
      <c r="AC428" s="2"/>
      <c r="AI428" s="2"/>
      <c r="AN428" s="2"/>
      <c r="AO428" s="2"/>
      <c r="AP428" s="2"/>
      <c r="AQ428" s="2"/>
      <c r="AR428" s="2"/>
      <c r="AS428" s="2"/>
    </row>
    <row r="429" spans="5:45" ht="15.75" customHeight="1">
      <c r="E429" s="2"/>
      <c r="F429" s="2"/>
      <c r="G429" s="2"/>
      <c r="M429" s="2"/>
      <c r="N429" s="2"/>
      <c r="O429" s="2"/>
      <c r="P429" s="2"/>
      <c r="U429" s="2"/>
      <c r="V429" s="2"/>
      <c r="W429" s="2"/>
      <c r="X429" s="2"/>
      <c r="AC429" s="2"/>
      <c r="AI429" s="2"/>
      <c r="AN429" s="2"/>
      <c r="AO429" s="2"/>
      <c r="AP429" s="2"/>
      <c r="AQ429" s="2"/>
      <c r="AR429" s="2"/>
      <c r="AS429" s="2"/>
    </row>
    <row r="430" spans="5:45" ht="15.75" customHeight="1">
      <c r="E430" s="2"/>
      <c r="F430" s="2"/>
      <c r="G430" s="2"/>
      <c r="M430" s="2"/>
      <c r="N430" s="2"/>
      <c r="O430" s="2"/>
      <c r="P430" s="2"/>
      <c r="U430" s="2"/>
      <c r="V430" s="2"/>
      <c r="W430" s="2"/>
      <c r="X430" s="2"/>
      <c r="AC430" s="2"/>
      <c r="AI430" s="2"/>
      <c r="AN430" s="2"/>
      <c r="AO430" s="2"/>
      <c r="AP430" s="2"/>
      <c r="AQ430" s="2"/>
      <c r="AR430" s="2"/>
      <c r="AS430" s="2"/>
    </row>
    <row r="431" spans="5:45" ht="15.75" customHeight="1">
      <c r="E431" s="2"/>
      <c r="F431" s="2"/>
      <c r="G431" s="2"/>
      <c r="M431" s="2"/>
      <c r="N431" s="2"/>
      <c r="O431" s="2"/>
      <c r="P431" s="2"/>
      <c r="U431" s="2"/>
      <c r="V431" s="2"/>
      <c r="W431" s="2"/>
      <c r="X431" s="2"/>
      <c r="AC431" s="2"/>
      <c r="AI431" s="2"/>
      <c r="AN431" s="2"/>
      <c r="AO431" s="2"/>
      <c r="AP431" s="2"/>
      <c r="AQ431" s="2"/>
      <c r="AR431" s="2"/>
      <c r="AS431" s="2"/>
    </row>
    <row r="432" spans="5:45" ht="15.75" customHeight="1">
      <c r="E432" s="2"/>
      <c r="F432" s="2"/>
      <c r="G432" s="2"/>
      <c r="M432" s="2"/>
      <c r="N432" s="2"/>
      <c r="O432" s="2"/>
      <c r="P432" s="2"/>
      <c r="U432" s="2"/>
      <c r="V432" s="2"/>
      <c r="W432" s="2"/>
      <c r="X432" s="2"/>
      <c r="AC432" s="2"/>
      <c r="AI432" s="2"/>
      <c r="AN432" s="2"/>
      <c r="AO432" s="2"/>
      <c r="AP432" s="2"/>
      <c r="AQ432" s="2"/>
      <c r="AR432" s="2"/>
      <c r="AS432" s="2"/>
    </row>
    <row r="433" spans="5:45" ht="15.75" customHeight="1">
      <c r="E433" s="2"/>
      <c r="F433" s="2"/>
      <c r="G433" s="2"/>
      <c r="M433" s="2"/>
      <c r="N433" s="2"/>
      <c r="O433" s="2"/>
      <c r="P433" s="2"/>
      <c r="U433" s="2"/>
      <c r="V433" s="2"/>
      <c r="W433" s="2"/>
      <c r="X433" s="2"/>
      <c r="AC433" s="2"/>
      <c r="AI433" s="2"/>
      <c r="AN433" s="2"/>
      <c r="AO433" s="2"/>
      <c r="AP433" s="2"/>
      <c r="AQ433" s="2"/>
      <c r="AR433" s="2"/>
      <c r="AS433" s="2"/>
    </row>
    <row r="434" spans="5:45" ht="15.75" customHeight="1">
      <c r="E434" s="2"/>
      <c r="F434" s="2"/>
      <c r="G434" s="2"/>
      <c r="M434" s="2"/>
      <c r="N434" s="2"/>
      <c r="O434" s="2"/>
      <c r="P434" s="2"/>
      <c r="U434" s="2"/>
      <c r="V434" s="2"/>
      <c r="W434" s="2"/>
      <c r="X434" s="2"/>
      <c r="AC434" s="2"/>
      <c r="AI434" s="2"/>
      <c r="AN434" s="2"/>
      <c r="AO434" s="2"/>
      <c r="AP434" s="2"/>
      <c r="AQ434" s="2"/>
      <c r="AR434" s="2"/>
      <c r="AS434" s="2"/>
    </row>
    <row r="435" spans="5:45" ht="15.75" customHeight="1">
      <c r="E435" s="2"/>
      <c r="F435" s="2"/>
      <c r="G435" s="2"/>
      <c r="M435" s="2"/>
      <c r="N435" s="2"/>
      <c r="O435" s="2"/>
      <c r="P435" s="2"/>
      <c r="U435" s="2"/>
      <c r="V435" s="2"/>
      <c r="W435" s="2"/>
      <c r="X435" s="2"/>
      <c r="AC435" s="2"/>
      <c r="AI435" s="2"/>
      <c r="AN435" s="2"/>
      <c r="AO435" s="2"/>
      <c r="AP435" s="2"/>
      <c r="AQ435" s="2"/>
      <c r="AR435" s="2"/>
      <c r="AS435" s="2"/>
    </row>
    <row r="436" spans="5:45" ht="15.75" customHeight="1">
      <c r="E436" s="2"/>
      <c r="F436" s="2"/>
      <c r="G436" s="2"/>
      <c r="M436" s="2"/>
      <c r="N436" s="2"/>
      <c r="O436" s="2"/>
      <c r="P436" s="2"/>
      <c r="U436" s="2"/>
      <c r="V436" s="2"/>
      <c r="W436" s="2"/>
      <c r="X436" s="2"/>
      <c r="AC436" s="2"/>
      <c r="AI436" s="2"/>
      <c r="AN436" s="2"/>
      <c r="AO436" s="2"/>
      <c r="AP436" s="2"/>
      <c r="AQ436" s="2"/>
      <c r="AR436" s="2"/>
      <c r="AS436" s="2"/>
    </row>
    <row r="437" spans="5:45" ht="15.75" customHeight="1">
      <c r="E437" s="2"/>
      <c r="F437" s="2"/>
      <c r="G437" s="2"/>
      <c r="M437" s="2"/>
      <c r="N437" s="2"/>
      <c r="O437" s="2"/>
      <c r="P437" s="2"/>
      <c r="U437" s="2"/>
      <c r="V437" s="2"/>
      <c r="W437" s="2"/>
      <c r="X437" s="2"/>
      <c r="AC437" s="2"/>
      <c r="AI437" s="2"/>
      <c r="AN437" s="2"/>
      <c r="AO437" s="2"/>
      <c r="AP437" s="2"/>
      <c r="AQ437" s="2"/>
      <c r="AR437" s="2"/>
      <c r="AS437" s="2"/>
    </row>
    <row r="438" spans="5:45" ht="15.75" customHeight="1">
      <c r="E438" s="2"/>
      <c r="F438" s="2"/>
      <c r="G438" s="2"/>
      <c r="M438" s="2"/>
      <c r="N438" s="2"/>
      <c r="O438" s="2"/>
      <c r="P438" s="2"/>
      <c r="U438" s="2"/>
      <c r="V438" s="2"/>
      <c r="W438" s="2"/>
      <c r="X438" s="2"/>
      <c r="AC438" s="2"/>
      <c r="AI438" s="2"/>
      <c r="AN438" s="2"/>
      <c r="AO438" s="2"/>
      <c r="AP438" s="2"/>
      <c r="AQ438" s="2"/>
      <c r="AR438" s="2"/>
      <c r="AS438" s="2"/>
    </row>
    <row r="439" spans="5:45" ht="15.75" customHeight="1">
      <c r="E439" s="2"/>
      <c r="F439" s="2"/>
      <c r="G439" s="2"/>
      <c r="M439" s="2"/>
      <c r="N439" s="2"/>
      <c r="O439" s="2"/>
      <c r="P439" s="2"/>
      <c r="U439" s="2"/>
      <c r="V439" s="2"/>
      <c r="W439" s="2"/>
      <c r="X439" s="2"/>
      <c r="AC439" s="2"/>
      <c r="AI439" s="2"/>
      <c r="AN439" s="2"/>
      <c r="AO439" s="2"/>
      <c r="AP439" s="2"/>
      <c r="AQ439" s="2"/>
      <c r="AR439" s="2"/>
      <c r="AS439" s="2"/>
    </row>
    <row r="440" spans="5:45" ht="15.75" customHeight="1">
      <c r="E440" s="2"/>
      <c r="F440" s="2"/>
      <c r="G440" s="2"/>
      <c r="M440" s="2"/>
      <c r="N440" s="2"/>
      <c r="O440" s="2"/>
      <c r="P440" s="2"/>
      <c r="U440" s="2"/>
      <c r="V440" s="2"/>
      <c r="W440" s="2"/>
      <c r="X440" s="2"/>
      <c r="AC440" s="2"/>
      <c r="AI440" s="2"/>
      <c r="AN440" s="2"/>
      <c r="AO440" s="2"/>
      <c r="AP440" s="2"/>
      <c r="AQ440" s="2"/>
      <c r="AR440" s="2"/>
      <c r="AS440" s="2"/>
    </row>
    <row r="441" spans="5:45" ht="15.75" customHeight="1">
      <c r="E441" s="2"/>
      <c r="F441" s="2"/>
      <c r="G441" s="2"/>
      <c r="M441" s="2"/>
      <c r="N441" s="2"/>
      <c r="O441" s="2"/>
      <c r="P441" s="2"/>
      <c r="U441" s="2"/>
      <c r="V441" s="2"/>
      <c r="W441" s="2"/>
      <c r="X441" s="2"/>
      <c r="AC441" s="2"/>
      <c r="AI441" s="2"/>
      <c r="AN441" s="2"/>
      <c r="AO441" s="2"/>
      <c r="AP441" s="2"/>
      <c r="AQ441" s="2"/>
      <c r="AR441" s="2"/>
      <c r="AS441" s="2"/>
    </row>
    <row r="442" spans="5:45" ht="15.75" customHeight="1">
      <c r="E442" s="2"/>
      <c r="F442" s="2"/>
      <c r="G442" s="2"/>
      <c r="M442" s="2"/>
      <c r="N442" s="2"/>
      <c r="O442" s="2"/>
      <c r="P442" s="2"/>
      <c r="U442" s="2"/>
      <c r="V442" s="2"/>
      <c r="W442" s="2"/>
      <c r="X442" s="2"/>
      <c r="AC442" s="2"/>
      <c r="AI442" s="2"/>
      <c r="AN442" s="2"/>
      <c r="AO442" s="2"/>
      <c r="AP442" s="2"/>
      <c r="AQ442" s="2"/>
      <c r="AR442" s="2"/>
      <c r="AS442" s="2"/>
    </row>
    <row r="443" spans="5:45" ht="15.75" customHeight="1">
      <c r="E443" s="2"/>
      <c r="F443" s="2"/>
      <c r="G443" s="2"/>
      <c r="M443" s="2"/>
      <c r="N443" s="2"/>
      <c r="O443" s="2"/>
      <c r="P443" s="2"/>
      <c r="U443" s="2"/>
      <c r="V443" s="2"/>
      <c r="W443" s="2"/>
      <c r="X443" s="2"/>
      <c r="AC443" s="2"/>
      <c r="AI443" s="2"/>
      <c r="AN443" s="2"/>
      <c r="AO443" s="2"/>
      <c r="AP443" s="2"/>
      <c r="AQ443" s="2"/>
      <c r="AR443" s="2"/>
      <c r="AS443" s="2"/>
    </row>
    <row r="444" spans="5:45" ht="15.75" customHeight="1">
      <c r="E444" s="2"/>
      <c r="F444" s="2"/>
      <c r="G444" s="2"/>
      <c r="M444" s="2"/>
      <c r="N444" s="2"/>
      <c r="O444" s="2"/>
      <c r="P444" s="2"/>
      <c r="U444" s="2"/>
      <c r="V444" s="2"/>
      <c r="W444" s="2"/>
      <c r="X444" s="2"/>
      <c r="AC444" s="2"/>
      <c r="AI444" s="2"/>
      <c r="AN444" s="2"/>
      <c r="AO444" s="2"/>
      <c r="AP444" s="2"/>
      <c r="AQ444" s="2"/>
      <c r="AR444" s="2"/>
      <c r="AS444" s="2"/>
    </row>
    <row r="445" spans="5:45" ht="15.75" customHeight="1">
      <c r="E445" s="2"/>
      <c r="F445" s="2"/>
      <c r="G445" s="2"/>
      <c r="M445" s="2"/>
      <c r="N445" s="2"/>
      <c r="O445" s="2"/>
      <c r="P445" s="2"/>
      <c r="U445" s="2"/>
      <c r="V445" s="2"/>
      <c r="W445" s="2"/>
      <c r="X445" s="2"/>
      <c r="AC445" s="2"/>
      <c r="AI445" s="2"/>
      <c r="AN445" s="2"/>
      <c r="AO445" s="2"/>
      <c r="AP445" s="2"/>
      <c r="AQ445" s="2"/>
      <c r="AR445" s="2"/>
      <c r="AS445" s="2"/>
    </row>
    <row r="446" spans="5:45" ht="15.75" customHeight="1">
      <c r="E446" s="2"/>
      <c r="F446" s="2"/>
      <c r="G446" s="2"/>
      <c r="M446" s="2"/>
      <c r="N446" s="2"/>
      <c r="O446" s="2"/>
      <c r="P446" s="2"/>
      <c r="U446" s="2"/>
      <c r="V446" s="2"/>
      <c r="W446" s="2"/>
      <c r="X446" s="2"/>
      <c r="AC446" s="2"/>
      <c r="AI446" s="2"/>
      <c r="AN446" s="2"/>
      <c r="AO446" s="2"/>
      <c r="AP446" s="2"/>
      <c r="AQ446" s="2"/>
      <c r="AR446" s="2"/>
      <c r="AS446" s="2"/>
    </row>
    <row r="447" spans="5:45" ht="15.75" customHeight="1">
      <c r="E447" s="2"/>
      <c r="F447" s="2"/>
      <c r="G447" s="2"/>
      <c r="M447" s="2"/>
      <c r="N447" s="2"/>
      <c r="O447" s="2"/>
      <c r="P447" s="2"/>
      <c r="U447" s="2"/>
      <c r="V447" s="2"/>
      <c r="W447" s="2"/>
      <c r="X447" s="2"/>
      <c r="AC447" s="2"/>
      <c r="AI447" s="2"/>
      <c r="AN447" s="2"/>
      <c r="AO447" s="2"/>
      <c r="AP447" s="2"/>
      <c r="AQ447" s="2"/>
      <c r="AR447" s="2"/>
      <c r="AS447" s="2"/>
    </row>
    <row r="448" spans="5:45" ht="15.75" customHeight="1">
      <c r="E448" s="2"/>
      <c r="F448" s="2"/>
      <c r="G448" s="2"/>
      <c r="M448" s="2"/>
      <c r="N448" s="2"/>
      <c r="O448" s="2"/>
      <c r="P448" s="2"/>
      <c r="U448" s="2"/>
      <c r="V448" s="2"/>
      <c r="W448" s="2"/>
      <c r="X448" s="2"/>
      <c r="AC448" s="2"/>
      <c r="AI448" s="2"/>
      <c r="AN448" s="2"/>
      <c r="AO448" s="2"/>
      <c r="AP448" s="2"/>
      <c r="AQ448" s="2"/>
      <c r="AR448" s="2"/>
      <c r="AS448" s="2"/>
    </row>
    <row r="449" spans="5:45" ht="15.75" customHeight="1">
      <c r="E449" s="2"/>
      <c r="F449" s="2"/>
      <c r="G449" s="2"/>
      <c r="M449" s="2"/>
      <c r="N449" s="2"/>
      <c r="O449" s="2"/>
      <c r="P449" s="2"/>
      <c r="U449" s="2"/>
      <c r="V449" s="2"/>
      <c r="W449" s="2"/>
      <c r="X449" s="2"/>
      <c r="AC449" s="2"/>
      <c r="AI449" s="2"/>
      <c r="AN449" s="2"/>
      <c r="AO449" s="2"/>
      <c r="AP449" s="2"/>
      <c r="AQ449" s="2"/>
      <c r="AR449" s="2"/>
      <c r="AS449" s="2"/>
    </row>
    <row r="450" spans="5:45" ht="15.75" customHeight="1">
      <c r="E450" s="2"/>
      <c r="F450" s="2"/>
      <c r="G450" s="2"/>
      <c r="M450" s="2"/>
      <c r="N450" s="2"/>
      <c r="O450" s="2"/>
      <c r="P450" s="2"/>
      <c r="U450" s="2"/>
      <c r="V450" s="2"/>
      <c r="W450" s="2"/>
      <c r="X450" s="2"/>
      <c r="AC450" s="2"/>
      <c r="AI450" s="2"/>
      <c r="AN450" s="2"/>
      <c r="AO450" s="2"/>
      <c r="AP450" s="2"/>
      <c r="AQ450" s="2"/>
      <c r="AR450" s="2"/>
      <c r="AS450" s="2"/>
    </row>
    <row r="451" spans="5:45" ht="15.75" customHeight="1">
      <c r="E451" s="2"/>
      <c r="F451" s="2"/>
      <c r="G451" s="2"/>
      <c r="M451" s="2"/>
      <c r="N451" s="2"/>
      <c r="O451" s="2"/>
      <c r="P451" s="2"/>
      <c r="U451" s="2"/>
      <c r="V451" s="2"/>
      <c r="W451" s="2"/>
      <c r="X451" s="2"/>
      <c r="AC451" s="2"/>
      <c r="AI451" s="2"/>
      <c r="AN451" s="2"/>
      <c r="AO451" s="2"/>
      <c r="AP451" s="2"/>
      <c r="AQ451" s="2"/>
      <c r="AR451" s="2"/>
      <c r="AS451" s="2"/>
    </row>
    <row r="452" spans="5:45" ht="15.75" customHeight="1">
      <c r="E452" s="2"/>
      <c r="F452" s="2"/>
      <c r="G452" s="2"/>
      <c r="M452" s="2"/>
      <c r="N452" s="2"/>
      <c r="O452" s="2"/>
      <c r="P452" s="2"/>
      <c r="U452" s="2"/>
      <c r="V452" s="2"/>
      <c r="W452" s="2"/>
      <c r="X452" s="2"/>
      <c r="AC452" s="2"/>
      <c r="AI452" s="2"/>
      <c r="AN452" s="2"/>
      <c r="AO452" s="2"/>
      <c r="AP452" s="2"/>
      <c r="AQ452" s="2"/>
      <c r="AR452" s="2"/>
      <c r="AS452" s="2"/>
    </row>
    <row r="453" spans="5:45" ht="15.75" customHeight="1">
      <c r="E453" s="2"/>
      <c r="F453" s="2"/>
      <c r="G453" s="2"/>
      <c r="M453" s="2"/>
      <c r="N453" s="2"/>
      <c r="O453" s="2"/>
      <c r="P453" s="2"/>
      <c r="U453" s="2"/>
      <c r="V453" s="2"/>
      <c r="W453" s="2"/>
      <c r="X453" s="2"/>
      <c r="AC453" s="2"/>
      <c r="AI453" s="2"/>
      <c r="AN453" s="2"/>
      <c r="AO453" s="2"/>
      <c r="AP453" s="2"/>
      <c r="AQ453" s="2"/>
      <c r="AR453" s="2"/>
      <c r="AS453" s="2"/>
    </row>
    <row r="454" spans="5:45" ht="15.75" customHeight="1">
      <c r="E454" s="2"/>
      <c r="F454" s="2"/>
      <c r="G454" s="2"/>
      <c r="M454" s="2"/>
      <c r="N454" s="2"/>
      <c r="O454" s="2"/>
      <c r="P454" s="2"/>
      <c r="U454" s="2"/>
      <c r="V454" s="2"/>
      <c r="W454" s="2"/>
      <c r="X454" s="2"/>
      <c r="AC454" s="2"/>
      <c r="AI454" s="2"/>
      <c r="AN454" s="2"/>
      <c r="AO454" s="2"/>
      <c r="AP454" s="2"/>
      <c r="AQ454" s="2"/>
      <c r="AR454" s="2"/>
      <c r="AS454" s="2"/>
    </row>
    <row r="455" spans="5:45" ht="15.75" customHeight="1">
      <c r="E455" s="2"/>
      <c r="F455" s="2"/>
      <c r="G455" s="2"/>
      <c r="M455" s="2"/>
      <c r="N455" s="2"/>
      <c r="O455" s="2"/>
      <c r="P455" s="2"/>
      <c r="U455" s="2"/>
      <c r="V455" s="2"/>
      <c r="W455" s="2"/>
      <c r="X455" s="2"/>
      <c r="AC455" s="2"/>
      <c r="AI455" s="2"/>
      <c r="AN455" s="2"/>
      <c r="AO455" s="2"/>
      <c r="AP455" s="2"/>
      <c r="AQ455" s="2"/>
      <c r="AR455" s="2"/>
      <c r="AS455" s="2"/>
    </row>
    <row r="456" spans="5:45" ht="15.75" customHeight="1">
      <c r="E456" s="2"/>
      <c r="F456" s="2"/>
      <c r="G456" s="2"/>
      <c r="M456" s="2"/>
      <c r="N456" s="2"/>
      <c r="O456" s="2"/>
      <c r="P456" s="2"/>
      <c r="U456" s="2"/>
      <c r="V456" s="2"/>
      <c r="W456" s="2"/>
      <c r="X456" s="2"/>
      <c r="AC456" s="2"/>
      <c r="AI456" s="2"/>
      <c r="AN456" s="2"/>
      <c r="AO456" s="2"/>
      <c r="AP456" s="2"/>
      <c r="AQ456" s="2"/>
      <c r="AR456" s="2"/>
      <c r="AS456" s="2"/>
    </row>
    <row r="457" spans="5:45" ht="15.75" customHeight="1">
      <c r="E457" s="2"/>
      <c r="F457" s="2"/>
      <c r="G457" s="2"/>
      <c r="M457" s="2"/>
      <c r="N457" s="2"/>
      <c r="O457" s="2"/>
      <c r="P457" s="2"/>
      <c r="U457" s="2"/>
      <c r="V457" s="2"/>
      <c r="W457" s="2"/>
      <c r="X457" s="2"/>
      <c r="AC457" s="2"/>
      <c r="AI457" s="2"/>
      <c r="AN457" s="2"/>
      <c r="AO457" s="2"/>
      <c r="AP457" s="2"/>
      <c r="AQ457" s="2"/>
      <c r="AR457" s="2"/>
      <c r="AS457" s="2"/>
    </row>
    <row r="458" spans="5:45" ht="15.75" customHeight="1">
      <c r="E458" s="2"/>
      <c r="F458" s="2"/>
      <c r="G458" s="2"/>
      <c r="M458" s="2"/>
      <c r="N458" s="2"/>
      <c r="O458" s="2"/>
      <c r="P458" s="2"/>
      <c r="U458" s="2"/>
      <c r="V458" s="2"/>
      <c r="W458" s="2"/>
      <c r="X458" s="2"/>
      <c r="AC458" s="2"/>
      <c r="AI458" s="2"/>
      <c r="AN458" s="2"/>
      <c r="AO458" s="2"/>
      <c r="AP458" s="2"/>
      <c r="AQ458" s="2"/>
      <c r="AR458" s="2"/>
      <c r="AS458" s="2"/>
    </row>
    <row r="459" spans="5:45" ht="15.75" customHeight="1">
      <c r="E459" s="2"/>
      <c r="F459" s="2"/>
      <c r="G459" s="2"/>
      <c r="M459" s="2"/>
      <c r="N459" s="2"/>
      <c r="O459" s="2"/>
      <c r="P459" s="2"/>
      <c r="U459" s="2"/>
      <c r="V459" s="2"/>
      <c r="W459" s="2"/>
      <c r="X459" s="2"/>
      <c r="AC459" s="2"/>
      <c r="AI459" s="2"/>
      <c r="AN459" s="2"/>
      <c r="AO459" s="2"/>
      <c r="AP459" s="2"/>
      <c r="AQ459" s="2"/>
      <c r="AR459" s="2"/>
      <c r="AS459" s="2"/>
    </row>
    <row r="460" spans="5:45" ht="15.75" customHeight="1">
      <c r="E460" s="2"/>
      <c r="F460" s="2"/>
      <c r="G460" s="2"/>
      <c r="M460" s="2"/>
      <c r="N460" s="2"/>
      <c r="O460" s="2"/>
      <c r="P460" s="2"/>
      <c r="U460" s="2"/>
      <c r="V460" s="2"/>
      <c r="W460" s="2"/>
      <c r="X460" s="2"/>
      <c r="AC460" s="2"/>
      <c r="AI460" s="2"/>
      <c r="AN460" s="2"/>
      <c r="AO460" s="2"/>
      <c r="AP460" s="2"/>
      <c r="AQ460" s="2"/>
      <c r="AR460" s="2"/>
      <c r="AS460" s="2"/>
    </row>
    <row r="461" spans="5:45" ht="15.75" customHeight="1">
      <c r="E461" s="2"/>
      <c r="F461" s="2"/>
      <c r="G461" s="2"/>
      <c r="M461" s="2"/>
      <c r="N461" s="2"/>
      <c r="O461" s="2"/>
      <c r="P461" s="2"/>
      <c r="U461" s="2"/>
      <c r="V461" s="2"/>
      <c r="W461" s="2"/>
      <c r="X461" s="2"/>
      <c r="AC461" s="2"/>
      <c r="AI461" s="2"/>
      <c r="AN461" s="2"/>
      <c r="AO461" s="2"/>
      <c r="AP461" s="2"/>
      <c r="AQ461" s="2"/>
      <c r="AR461" s="2"/>
      <c r="AS461" s="2"/>
    </row>
    <row r="462" spans="5:45" ht="15.75" customHeight="1">
      <c r="E462" s="2"/>
      <c r="F462" s="2"/>
      <c r="G462" s="2"/>
      <c r="M462" s="2"/>
      <c r="N462" s="2"/>
      <c r="O462" s="2"/>
      <c r="P462" s="2"/>
      <c r="U462" s="2"/>
      <c r="V462" s="2"/>
      <c r="W462" s="2"/>
      <c r="X462" s="2"/>
      <c r="AC462" s="2"/>
      <c r="AI462" s="2"/>
      <c r="AN462" s="2"/>
      <c r="AO462" s="2"/>
      <c r="AP462" s="2"/>
      <c r="AQ462" s="2"/>
      <c r="AR462" s="2"/>
      <c r="AS462" s="2"/>
    </row>
    <row r="463" spans="5:45" ht="15.75" customHeight="1">
      <c r="E463" s="2"/>
      <c r="F463" s="2"/>
      <c r="G463" s="2"/>
      <c r="M463" s="2"/>
      <c r="N463" s="2"/>
      <c r="O463" s="2"/>
      <c r="P463" s="2"/>
      <c r="U463" s="2"/>
      <c r="V463" s="2"/>
      <c r="W463" s="2"/>
      <c r="X463" s="2"/>
      <c r="AC463" s="2"/>
      <c r="AI463" s="2"/>
      <c r="AN463" s="2"/>
      <c r="AO463" s="2"/>
      <c r="AP463" s="2"/>
      <c r="AQ463" s="2"/>
      <c r="AR463" s="2"/>
      <c r="AS463" s="2"/>
    </row>
    <row r="464" spans="5:45" ht="15.75" customHeight="1">
      <c r="E464" s="2"/>
      <c r="F464" s="2"/>
      <c r="G464" s="2"/>
      <c r="M464" s="2"/>
      <c r="N464" s="2"/>
      <c r="O464" s="2"/>
      <c r="P464" s="2"/>
      <c r="U464" s="2"/>
      <c r="V464" s="2"/>
      <c r="W464" s="2"/>
      <c r="X464" s="2"/>
      <c r="AC464" s="2"/>
      <c r="AI464" s="2"/>
      <c r="AN464" s="2"/>
      <c r="AO464" s="2"/>
      <c r="AP464" s="2"/>
      <c r="AQ464" s="2"/>
      <c r="AR464" s="2"/>
      <c r="AS464" s="2"/>
    </row>
    <row r="465" spans="5:45" ht="15.75" customHeight="1">
      <c r="E465" s="2"/>
      <c r="F465" s="2"/>
      <c r="G465" s="2"/>
      <c r="M465" s="2"/>
      <c r="N465" s="2"/>
      <c r="O465" s="2"/>
      <c r="P465" s="2"/>
      <c r="U465" s="2"/>
      <c r="V465" s="2"/>
      <c r="W465" s="2"/>
      <c r="X465" s="2"/>
      <c r="AC465" s="2"/>
      <c r="AI465" s="2"/>
      <c r="AN465" s="2"/>
      <c r="AO465" s="2"/>
      <c r="AP465" s="2"/>
      <c r="AQ465" s="2"/>
      <c r="AR465" s="2"/>
      <c r="AS465" s="2"/>
    </row>
    <row r="466" spans="5:45" ht="15.75" customHeight="1">
      <c r="E466" s="2"/>
      <c r="F466" s="2"/>
      <c r="G466" s="2"/>
      <c r="M466" s="2"/>
      <c r="N466" s="2"/>
      <c r="O466" s="2"/>
      <c r="P466" s="2"/>
      <c r="U466" s="2"/>
      <c r="V466" s="2"/>
      <c r="W466" s="2"/>
      <c r="X466" s="2"/>
      <c r="AC466" s="2"/>
      <c r="AI466" s="2"/>
      <c r="AN466" s="2"/>
      <c r="AO466" s="2"/>
      <c r="AP466" s="2"/>
      <c r="AQ466" s="2"/>
      <c r="AR466" s="2"/>
      <c r="AS466" s="2"/>
    </row>
    <row r="467" spans="5:45" ht="15.75" customHeight="1">
      <c r="E467" s="2"/>
      <c r="F467" s="2"/>
      <c r="G467" s="2"/>
      <c r="M467" s="2"/>
      <c r="N467" s="2"/>
      <c r="O467" s="2"/>
      <c r="P467" s="2"/>
      <c r="U467" s="2"/>
      <c r="V467" s="2"/>
      <c r="W467" s="2"/>
      <c r="X467" s="2"/>
      <c r="AC467" s="2"/>
      <c r="AI467" s="2"/>
      <c r="AN467" s="2"/>
      <c r="AO467" s="2"/>
      <c r="AP467" s="2"/>
      <c r="AQ467" s="2"/>
      <c r="AR467" s="2"/>
      <c r="AS467" s="2"/>
    </row>
    <row r="468" spans="5:45" ht="15.75" customHeight="1">
      <c r="E468" s="2"/>
      <c r="F468" s="2"/>
      <c r="G468" s="2"/>
      <c r="M468" s="2"/>
      <c r="N468" s="2"/>
      <c r="O468" s="2"/>
      <c r="P468" s="2"/>
      <c r="U468" s="2"/>
      <c r="V468" s="2"/>
      <c r="W468" s="2"/>
      <c r="X468" s="2"/>
      <c r="AC468" s="2"/>
      <c r="AI468" s="2"/>
      <c r="AN468" s="2"/>
      <c r="AO468" s="2"/>
      <c r="AP468" s="2"/>
      <c r="AQ468" s="2"/>
      <c r="AR468" s="2"/>
      <c r="AS468" s="2"/>
    </row>
    <row r="469" spans="5:45" ht="15.75" customHeight="1">
      <c r="E469" s="2"/>
      <c r="F469" s="2"/>
      <c r="G469" s="2"/>
      <c r="M469" s="2"/>
      <c r="N469" s="2"/>
      <c r="O469" s="2"/>
      <c r="P469" s="2"/>
      <c r="U469" s="2"/>
      <c r="V469" s="2"/>
      <c r="W469" s="2"/>
      <c r="X469" s="2"/>
      <c r="AC469" s="2"/>
      <c r="AI469" s="2"/>
      <c r="AN469" s="2"/>
      <c r="AO469" s="2"/>
      <c r="AP469" s="2"/>
      <c r="AQ469" s="2"/>
      <c r="AR469" s="2"/>
      <c r="AS469" s="2"/>
    </row>
    <row r="470" spans="5:45" ht="15.75" customHeight="1">
      <c r="E470" s="2"/>
      <c r="F470" s="2"/>
      <c r="G470" s="2"/>
      <c r="M470" s="2"/>
      <c r="N470" s="2"/>
      <c r="O470" s="2"/>
      <c r="P470" s="2"/>
      <c r="U470" s="2"/>
      <c r="V470" s="2"/>
      <c r="W470" s="2"/>
      <c r="X470" s="2"/>
      <c r="AC470" s="2"/>
      <c r="AI470" s="2"/>
      <c r="AN470" s="2"/>
      <c r="AO470" s="2"/>
      <c r="AP470" s="2"/>
      <c r="AQ470" s="2"/>
      <c r="AR470" s="2"/>
      <c r="AS470" s="2"/>
    </row>
    <row r="471" spans="5:45" ht="15.75" customHeight="1">
      <c r="E471" s="2"/>
      <c r="F471" s="2"/>
      <c r="G471" s="2"/>
      <c r="M471" s="2"/>
      <c r="N471" s="2"/>
      <c r="O471" s="2"/>
      <c r="P471" s="2"/>
      <c r="U471" s="2"/>
      <c r="V471" s="2"/>
      <c r="W471" s="2"/>
      <c r="X471" s="2"/>
      <c r="AC471" s="2"/>
      <c r="AI471" s="2"/>
      <c r="AN471" s="2"/>
      <c r="AO471" s="2"/>
      <c r="AP471" s="2"/>
      <c r="AQ471" s="2"/>
      <c r="AR471" s="2"/>
      <c r="AS471" s="2"/>
    </row>
    <row r="472" spans="5:45" ht="15.75" customHeight="1">
      <c r="E472" s="2"/>
      <c r="F472" s="2"/>
      <c r="G472" s="2"/>
      <c r="M472" s="2"/>
      <c r="N472" s="2"/>
      <c r="O472" s="2"/>
      <c r="P472" s="2"/>
      <c r="U472" s="2"/>
      <c r="V472" s="2"/>
      <c r="W472" s="2"/>
      <c r="X472" s="2"/>
      <c r="AC472" s="2"/>
      <c r="AI472" s="2"/>
      <c r="AN472" s="2"/>
      <c r="AO472" s="2"/>
      <c r="AP472" s="2"/>
      <c r="AQ472" s="2"/>
      <c r="AR472" s="2"/>
      <c r="AS472" s="2"/>
    </row>
    <row r="473" spans="5:45" ht="15.75" customHeight="1">
      <c r="E473" s="2"/>
      <c r="F473" s="2"/>
      <c r="G473" s="2"/>
      <c r="M473" s="2"/>
      <c r="N473" s="2"/>
      <c r="O473" s="2"/>
      <c r="P473" s="2"/>
      <c r="U473" s="2"/>
      <c r="V473" s="2"/>
      <c r="W473" s="2"/>
      <c r="X473" s="2"/>
      <c r="AC473" s="2"/>
      <c r="AI473" s="2"/>
      <c r="AN473" s="2"/>
      <c r="AO473" s="2"/>
      <c r="AP473" s="2"/>
      <c r="AQ473" s="2"/>
      <c r="AR473" s="2"/>
      <c r="AS473" s="2"/>
    </row>
    <row r="474" spans="5:45" ht="15.75" customHeight="1">
      <c r="E474" s="2"/>
      <c r="F474" s="2"/>
      <c r="G474" s="2"/>
      <c r="M474" s="2"/>
      <c r="N474" s="2"/>
      <c r="O474" s="2"/>
      <c r="P474" s="2"/>
      <c r="U474" s="2"/>
      <c r="V474" s="2"/>
      <c r="W474" s="2"/>
      <c r="X474" s="2"/>
      <c r="AC474" s="2"/>
      <c r="AI474" s="2"/>
      <c r="AN474" s="2"/>
      <c r="AO474" s="2"/>
      <c r="AP474" s="2"/>
      <c r="AQ474" s="2"/>
      <c r="AR474" s="2"/>
      <c r="AS474" s="2"/>
    </row>
    <row r="475" spans="5:45" ht="15.75" customHeight="1">
      <c r="E475" s="2"/>
      <c r="F475" s="2"/>
      <c r="G475" s="2"/>
      <c r="M475" s="2"/>
      <c r="N475" s="2"/>
      <c r="O475" s="2"/>
      <c r="P475" s="2"/>
      <c r="U475" s="2"/>
      <c r="V475" s="2"/>
      <c r="W475" s="2"/>
      <c r="X475" s="2"/>
      <c r="AC475" s="2"/>
      <c r="AI475" s="2"/>
      <c r="AN475" s="2"/>
      <c r="AO475" s="2"/>
      <c r="AP475" s="2"/>
      <c r="AQ475" s="2"/>
      <c r="AR475" s="2"/>
      <c r="AS475" s="2"/>
    </row>
    <row r="476" spans="5:45" ht="15.75" customHeight="1">
      <c r="E476" s="2"/>
      <c r="F476" s="2"/>
      <c r="G476" s="2"/>
      <c r="M476" s="2"/>
      <c r="N476" s="2"/>
      <c r="O476" s="2"/>
      <c r="P476" s="2"/>
      <c r="U476" s="2"/>
      <c r="V476" s="2"/>
      <c r="W476" s="2"/>
      <c r="X476" s="2"/>
      <c r="AC476" s="2"/>
      <c r="AI476" s="2"/>
      <c r="AN476" s="2"/>
      <c r="AO476" s="2"/>
      <c r="AP476" s="2"/>
      <c r="AQ476" s="2"/>
      <c r="AR476" s="2"/>
      <c r="AS476" s="2"/>
    </row>
    <row r="477" spans="5:45" ht="15.75" customHeight="1">
      <c r="E477" s="2"/>
      <c r="F477" s="2"/>
      <c r="G477" s="2"/>
      <c r="M477" s="2"/>
      <c r="N477" s="2"/>
      <c r="O477" s="2"/>
      <c r="P477" s="2"/>
      <c r="U477" s="2"/>
      <c r="V477" s="2"/>
      <c r="W477" s="2"/>
      <c r="X477" s="2"/>
      <c r="AC477" s="2"/>
      <c r="AI477" s="2"/>
      <c r="AN477" s="2"/>
      <c r="AO477" s="2"/>
      <c r="AP477" s="2"/>
      <c r="AQ477" s="2"/>
      <c r="AR477" s="2"/>
      <c r="AS477" s="2"/>
    </row>
    <row r="478" spans="5:45" ht="15.75" customHeight="1">
      <c r="E478" s="2"/>
      <c r="F478" s="2"/>
      <c r="G478" s="2"/>
      <c r="M478" s="2"/>
      <c r="N478" s="2"/>
      <c r="O478" s="2"/>
      <c r="P478" s="2"/>
      <c r="U478" s="2"/>
      <c r="V478" s="2"/>
      <c r="W478" s="2"/>
      <c r="X478" s="2"/>
      <c r="AC478" s="2"/>
      <c r="AI478" s="2"/>
      <c r="AN478" s="2"/>
      <c r="AO478" s="2"/>
      <c r="AP478" s="2"/>
      <c r="AQ478" s="2"/>
      <c r="AR478" s="2"/>
      <c r="AS478" s="2"/>
    </row>
    <row r="479" spans="5:45" ht="15.75" customHeight="1">
      <c r="E479" s="2"/>
      <c r="F479" s="2"/>
      <c r="G479" s="2"/>
      <c r="M479" s="2"/>
      <c r="N479" s="2"/>
      <c r="O479" s="2"/>
      <c r="P479" s="2"/>
      <c r="U479" s="2"/>
      <c r="V479" s="2"/>
      <c r="W479" s="2"/>
      <c r="X479" s="2"/>
      <c r="AC479" s="2"/>
      <c r="AI479" s="2"/>
      <c r="AN479" s="2"/>
      <c r="AO479" s="2"/>
      <c r="AP479" s="2"/>
      <c r="AQ479" s="2"/>
      <c r="AR479" s="2"/>
      <c r="AS479" s="2"/>
    </row>
    <row r="480" spans="5:45" ht="15.75" customHeight="1">
      <c r="E480" s="2"/>
      <c r="F480" s="2"/>
      <c r="G480" s="2"/>
      <c r="M480" s="2"/>
      <c r="N480" s="2"/>
      <c r="O480" s="2"/>
      <c r="P480" s="2"/>
      <c r="U480" s="2"/>
      <c r="V480" s="2"/>
      <c r="W480" s="2"/>
      <c r="X480" s="2"/>
      <c r="AC480" s="2"/>
      <c r="AI480" s="2"/>
      <c r="AN480" s="2"/>
      <c r="AO480" s="2"/>
      <c r="AP480" s="2"/>
      <c r="AQ480" s="2"/>
      <c r="AR480" s="2"/>
      <c r="AS480" s="2"/>
    </row>
    <row r="481" spans="5:45" ht="15.75" customHeight="1">
      <c r="E481" s="2"/>
      <c r="F481" s="2"/>
      <c r="G481" s="2"/>
      <c r="M481" s="2"/>
      <c r="N481" s="2"/>
      <c r="O481" s="2"/>
      <c r="P481" s="2"/>
      <c r="U481" s="2"/>
      <c r="V481" s="2"/>
      <c r="W481" s="2"/>
      <c r="X481" s="2"/>
      <c r="AC481" s="2"/>
      <c r="AI481" s="2"/>
      <c r="AN481" s="2"/>
      <c r="AO481" s="2"/>
      <c r="AP481" s="2"/>
      <c r="AQ481" s="2"/>
      <c r="AR481" s="2"/>
      <c r="AS481" s="2"/>
    </row>
    <row r="482" spans="5:45" ht="15.75" customHeight="1">
      <c r="E482" s="2"/>
      <c r="F482" s="2"/>
      <c r="G482" s="2"/>
      <c r="M482" s="2"/>
      <c r="N482" s="2"/>
      <c r="O482" s="2"/>
      <c r="P482" s="2"/>
      <c r="U482" s="2"/>
      <c r="V482" s="2"/>
      <c r="W482" s="2"/>
      <c r="X482" s="2"/>
      <c r="AC482" s="2"/>
      <c r="AI482" s="2"/>
      <c r="AN482" s="2"/>
      <c r="AO482" s="2"/>
      <c r="AP482" s="2"/>
      <c r="AQ482" s="2"/>
      <c r="AR482" s="2"/>
      <c r="AS482" s="2"/>
    </row>
    <row r="483" spans="5:45" ht="15.75" customHeight="1">
      <c r="E483" s="2"/>
      <c r="F483" s="2"/>
      <c r="G483" s="2"/>
      <c r="M483" s="2"/>
      <c r="N483" s="2"/>
      <c r="O483" s="2"/>
      <c r="P483" s="2"/>
      <c r="U483" s="2"/>
      <c r="V483" s="2"/>
      <c r="W483" s="2"/>
      <c r="X483" s="2"/>
      <c r="AC483" s="2"/>
      <c r="AI483" s="2"/>
      <c r="AN483" s="2"/>
      <c r="AO483" s="2"/>
      <c r="AP483" s="2"/>
      <c r="AQ483" s="2"/>
      <c r="AR483" s="2"/>
      <c r="AS483" s="2"/>
    </row>
    <row r="484" spans="5:45" ht="15.75" customHeight="1">
      <c r="E484" s="2"/>
      <c r="F484" s="2"/>
      <c r="G484" s="2"/>
      <c r="M484" s="2"/>
      <c r="N484" s="2"/>
      <c r="O484" s="2"/>
      <c r="P484" s="2"/>
      <c r="U484" s="2"/>
      <c r="V484" s="2"/>
      <c r="W484" s="2"/>
      <c r="X484" s="2"/>
      <c r="AC484" s="2"/>
      <c r="AI484" s="2"/>
      <c r="AN484" s="2"/>
      <c r="AO484" s="2"/>
      <c r="AP484" s="2"/>
      <c r="AQ484" s="2"/>
      <c r="AR484" s="2"/>
      <c r="AS484" s="2"/>
    </row>
    <row r="485" spans="5:45" ht="15.75" customHeight="1">
      <c r="E485" s="2"/>
      <c r="F485" s="2"/>
      <c r="G485" s="2"/>
      <c r="M485" s="2"/>
      <c r="N485" s="2"/>
      <c r="O485" s="2"/>
      <c r="P485" s="2"/>
      <c r="U485" s="2"/>
      <c r="V485" s="2"/>
      <c r="W485" s="2"/>
      <c r="X485" s="2"/>
      <c r="AC485" s="2"/>
      <c r="AI485" s="2"/>
      <c r="AN485" s="2"/>
      <c r="AO485" s="2"/>
      <c r="AP485" s="2"/>
      <c r="AQ485" s="2"/>
      <c r="AR485" s="2"/>
      <c r="AS485" s="2"/>
    </row>
    <row r="486" spans="5:45" ht="15.75" customHeight="1">
      <c r="E486" s="2"/>
      <c r="F486" s="2"/>
      <c r="G486" s="2"/>
      <c r="M486" s="2"/>
      <c r="N486" s="2"/>
      <c r="O486" s="2"/>
      <c r="P486" s="2"/>
      <c r="U486" s="2"/>
      <c r="V486" s="2"/>
      <c r="W486" s="2"/>
      <c r="X486" s="2"/>
      <c r="AC486" s="2"/>
      <c r="AI486" s="2"/>
      <c r="AN486" s="2"/>
      <c r="AO486" s="2"/>
      <c r="AP486" s="2"/>
      <c r="AQ486" s="2"/>
      <c r="AR486" s="2"/>
      <c r="AS486" s="2"/>
    </row>
    <row r="487" spans="5:45" ht="15.75" customHeight="1">
      <c r="E487" s="2"/>
      <c r="F487" s="2"/>
      <c r="G487" s="2"/>
      <c r="M487" s="2"/>
      <c r="N487" s="2"/>
      <c r="O487" s="2"/>
      <c r="P487" s="2"/>
      <c r="U487" s="2"/>
      <c r="V487" s="2"/>
      <c r="W487" s="2"/>
      <c r="X487" s="2"/>
      <c r="AC487" s="2"/>
      <c r="AI487" s="2"/>
      <c r="AN487" s="2"/>
      <c r="AO487" s="2"/>
      <c r="AP487" s="2"/>
      <c r="AQ487" s="2"/>
      <c r="AR487" s="2"/>
      <c r="AS487" s="2"/>
    </row>
    <row r="488" spans="5:45" ht="15.75" customHeight="1">
      <c r="E488" s="2"/>
      <c r="F488" s="2"/>
      <c r="G488" s="2"/>
      <c r="M488" s="2"/>
      <c r="N488" s="2"/>
      <c r="O488" s="2"/>
      <c r="P488" s="2"/>
      <c r="U488" s="2"/>
      <c r="V488" s="2"/>
      <c r="W488" s="2"/>
      <c r="X488" s="2"/>
      <c r="AC488" s="2"/>
      <c r="AI488" s="2"/>
      <c r="AN488" s="2"/>
      <c r="AO488" s="2"/>
      <c r="AP488" s="2"/>
      <c r="AQ488" s="2"/>
      <c r="AR488" s="2"/>
      <c r="AS488" s="2"/>
    </row>
    <row r="489" spans="5:45" ht="15.75" customHeight="1">
      <c r="E489" s="2"/>
      <c r="F489" s="2"/>
      <c r="G489" s="2"/>
      <c r="M489" s="2"/>
      <c r="N489" s="2"/>
      <c r="O489" s="2"/>
      <c r="P489" s="2"/>
      <c r="U489" s="2"/>
      <c r="V489" s="2"/>
      <c r="W489" s="2"/>
      <c r="X489" s="2"/>
      <c r="AC489" s="2"/>
      <c r="AI489" s="2"/>
      <c r="AN489" s="2"/>
      <c r="AO489" s="2"/>
      <c r="AP489" s="2"/>
      <c r="AQ489" s="2"/>
      <c r="AR489" s="2"/>
      <c r="AS489" s="2"/>
    </row>
    <row r="490" spans="5:45" ht="15.75" customHeight="1">
      <c r="E490" s="2"/>
      <c r="F490" s="2"/>
      <c r="G490" s="2"/>
      <c r="M490" s="2"/>
      <c r="N490" s="2"/>
      <c r="O490" s="2"/>
      <c r="P490" s="2"/>
      <c r="U490" s="2"/>
      <c r="V490" s="2"/>
      <c r="W490" s="2"/>
      <c r="X490" s="2"/>
      <c r="AC490" s="2"/>
      <c r="AI490" s="2"/>
      <c r="AN490" s="2"/>
      <c r="AO490" s="2"/>
      <c r="AP490" s="2"/>
      <c r="AQ490" s="2"/>
      <c r="AR490" s="2"/>
      <c r="AS490" s="2"/>
    </row>
    <row r="491" spans="5:45" ht="15.75" customHeight="1">
      <c r="E491" s="2"/>
      <c r="F491" s="2"/>
      <c r="G491" s="2"/>
      <c r="M491" s="2"/>
      <c r="N491" s="2"/>
      <c r="O491" s="2"/>
      <c r="P491" s="2"/>
      <c r="U491" s="2"/>
      <c r="V491" s="2"/>
      <c r="W491" s="2"/>
      <c r="X491" s="2"/>
      <c r="AC491" s="2"/>
      <c r="AI491" s="2"/>
      <c r="AN491" s="2"/>
      <c r="AO491" s="2"/>
      <c r="AP491" s="2"/>
      <c r="AQ491" s="2"/>
      <c r="AR491" s="2"/>
      <c r="AS491" s="2"/>
    </row>
    <row r="492" spans="5:45" ht="15.75" customHeight="1">
      <c r="E492" s="2"/>
      <c r="F492" s="2"/>
      <c r="G492" s="2"/>
      <c r="M492" s="2"/>
      <c r="N492" s="2"/>
      <c r="O492" s="2"/>
      <c r="P492" s="2"/>
      <c r="U492" s="2"/>
      <c r="V492" s="2"/>
      <c r="W492" s="2"/>
      <c r="X492" s="2"/>
      <c r="AC492" s="2"/>
      <c r="AI492" s="2"/>
      <c r="AN492" s="2"/>
      <c r="AO492" s="2"/>
      <c r="AP492" s="2"/>
      <c r="AQ492" s="2"/>
      <c r="AR492" s="2"/>
      <c r="AS492" s="2"/>
    </row>
    <row r="493" spans="5:45" ht="15.75" customHeight="1">
      <c r="E493" s="2"/>
      <c r="F493" s="2"/>
      <c r="G493" s="2"/>
      <c r="M493" s="2"/>
      <c r="N493" s="2"/>
      <c r="O493" s="2"/>
      <c r="P493" s="2"/>
      <c r="U493" s="2"/>
      <c r="V493" s="2"/>
      <c r="W493" s="2"/>
      <c r="X493" s="2"/>
      <c r="AC493" s="2"/>
      <c r="AI493" s="2"/>
      <c r="AN493" s="2"/>
      <c r="AO493" s="2"/>
      <c r="AP493" s="2"/>
      <c r="AQ493" s="2"/>
      <c r="AR493" s="2"/>
      <c r="AS493" s="2"/>
    </row>
    <row r="494" spans="5:45" ht="15.75" customHeight="1">
      <c r="E494" s="2"/>
      <c r="F494" s="2"/>
      <c r="G494" s="2"/>
      <c r="M494" s="2"/>
      <c r="N494" s="2"/>
      <c r="O494" s="2"/>
      <c r="P494" s="2"/>
      <c r="U494" s="2"/>
      <c r="V494" s="2"/>
      <c r="W494" s="2"/>
      <c r="X494" s="2"/>
      <c r="AC494" s="2"/>
      <c r="AI494" s="2"/>
      <c r="AN494" s="2"/>
      <c r="AO494" s="2"/>
      <c r="AP494" s="2"/>
      <c r="AQ494" s="2"/>
      <c r="AR494" s="2"/>
      <c r="AS494" s="2"/>
    </row>
    <row r="495" spans="5:45" ht="15.75" customHeight="1">
      <c r="E495" s="2"/>
      <c r="F495" s="2"/>
      <c r="G495" s="2"/>
      <c r="M495" s="2"/>
      <c r="N495" s="2"/>
      <c r="O495" s="2"/>
      <c r="P495" s="2"/>
      <c r="U495" s="2"/>
      <c r="V495" s="2"/>
      <c r="W495" s="2"/>
      <c r="X495" s="2"/>
      <c r="AC495" s="2"/>
      <c r="AI495" s="2"/>
      <c r="AN495" s="2"/>
      <c r="AO495" s="2"/>
      <c r="AP495" s="2"/>
      <c r="AQ495" s="2"/>
      <c r="AR495" s="2"/>
      <c r="AS495" s="2"/>
    </row>
    <row r="496" spans="5:45" ht="15.75" customHeight="1">
      <c r="E496" s="2"/>
      <c r="F496" s="2"/>
      <c r="G496" s="2"/>
      <c r="M496" s="2"/>
      <c r="N496" s="2"/>
      <c r="O496" s="2"/>
      <c r="P496" s="2"/>
      <c r="U496" s="2"/>
      <c r="V496" s="2"/>
      <c r="W496" s="2"/>
      <c r="X496" s="2"/>
      <c r="AC496" s="2"/>
      <c r="AI496" s="2"/>
      <c r="AN496" s="2"/>
      <c r="AO496" s="2"/>
      <c r="AP496" s="2"/>
      <c r="AQ496" s="2"/>
      <c r="AR496" s="2"/>
      <c r="AS496" s="2"/>
    </row>
    <row r="497" spans="5:45" ht="15.75" customHeight="1">
      <c r="E497" s="2"/>
      <c r="F497" s="2"/>
      <c r="G497" s="2"/>
      <c r="M497" s="2"/>
      <c r="N497" s="2"/>
      <c r="O497" s="2"/>
      <c r="P497" s="2"/>
      <c r="U497" s="2"/>
      <c r="V497" s="2"/>
      <c r="W497" s="2"/>
      <c r="X497" s="2"/>
      <c r="AC497" s="2"/>
      <c r="AI497" s="2"/>
      <c r="AN497" s="2"/>
      <c r="AO497" s="2"/>
      <c r="AP497" s="2"/>
      <c r="AQ497" s="2"/>
      <c r="AR497" s="2"/>
      <c r="AS497" s="2"/>
    </row>
    <row r="498" spans="5:45" ht="15.75" customHeight="1">
      <c r="E498" s="2"/>
      <c r="F498" s="2"/>
      <c r="G498" s="2"/>
      <c r="M498" s="2"/>
      <c r="N498" s="2"/>
      <c r="O498" s="2"/>
      <c r="P498" s="2"/>
      <c r="U498" s="2"/>
      <c r="V498" s="2"/>
      <c r="W498" s="2"/>
      <c r="X498" s="2"/>
      <c r="AC498" s="2"/>
      <c r="AI498" s="2"/>
      <c r="AN498" s="2"/>
      <c r="AO498" s="2"/>
      <c r="AP498" s="2"/>
      <c r="AQ498" s="2"/>
      <c r="AR498" s="2"/>
      <c r="AS498" s="2"/>
    </row>
    <row r="499" spans="5:45" ht="15.75" customHeight="1">
      <c r="E499" s="2"/>
      <c r="F499" s="2"/>
      <c r="G499" s="2"/>
      <c r="M499" s="2"/>
      <c r="N499" s="2"/>
      <c r="O499" s="2"/>
      <c r="P499" s="2"/>
      <c r="U499" s="2"/>
      <c r="V499" s="2"/>
      <c r="W499" s="2"/>
      <c r="X499" s="2"/>
      <c r="AC499" s="2"/>
      <c r="AI499" s="2"/>
      <c r="AN499" s="2"/>
      <c r="AO499" s="2"/>
      <c r="AP499" s="2"/>
      <c r="AQ499" s="2"/>
      <c r="AR499" s="2"/>
      <c r="AS499" s="2"/>
    </row>
    <row r="500" spans="5:45" ht="15.75" customHeight="1">
      <c r="E500" s="2"/>
      <c r="F500" s="2"/>
      <c r="G500" s="2"/>
      <c r="M500" s="2"/>
      <c r="N500" s="2"/>
      <c r="O500" s="2"/>
      <c r="P500" s="2"/>
      <c r="U500" s="2"/>
      <c r="V500" s="2"/>
      <c r="W500" s="2"/>
      <c r="X500" s="2"/>
      <c r="AC500" s="2"/>
      <c r="AI500" s="2"/>
      <c r="AN500" s="2"/>
      <c r="AO500" s="2"/>
      <c r="AP500" s="2"/>
      <c r="AQ500" s="2"/>
      <c r="AR500" s="2"/>
      <c r="AS500" s="2"/>
    </row>
    <row r="501" spans="5:45" ht="15.75" customHeight="1">
      <c r="E501" s="2"/>
      <c r="F501" s="2"/>
      <c r="G501" s="2"/>
      <c r="M501" s="2"/>
      <c r="N501" s="2"/>
      <c r="O501" s="2"/>
      <c r="P501" s="2"/>
      <c r="U501" s="2"/>
      <c r="V501" s="2"/>
      <c r="W501" s="2"/>
      <c r="X501" s="2"/>
      <c r="AC501" s="2"/>
      <c r="AI501" s="2"/>
      <c r="AN501" s="2"/>
      <c r="AO501" s="2"/>
      <c r="AP501" s="2"/>
      <c r="AQ501" s="2"/>
      <c r="AR501" s="2"/>
      <c r="AS501" s="2"/>
    </row>
    <row r="502" spans="5:45" ht="15.75" customHeight="1">
      <c r="E502" s="2"/>
      <c r="F502" s="2"/>
      <c r="G502" s="2"/>
      <c r="M502" s="2"/>
      <c r="N502" s="2"/>
      <c r="O502" s="2"/>
      <c r="P502" s="2"/>
      <c r="U502" s="2"/>
      <c r="V502" s="2"/>
      <c r="W502" s="2"/>
      <c r="X502" s="2"/>
      <c r="AC502" s="2"/>
      <c r="AI502" s="2"/>
      <c r="AN502" s="2"/>
      <c r="AO502" s="2"/>
      <c r="AP502" s="2"/>
      <c r="AQ502" s="2"/>
      <c r="AR502" s="2"/>
      <c r="AS502" s="2"/>
    </row>
    <row r="503" spans="5:45" ht="15.75" customHeight="1">
      <c r="E503" s="2"/>
      <c r="F503" s="2"/>
      <c r="G503" s="2"/>
      <c r="M503" s="2"/>
      <c r="N503" s="2"/>
      <c r="O503" s="2"/>
      <c r="P503" s="2"/>
      <c r="U503" s="2"/>
      <c r="V503" s="2"/>
      <c r="W503" s="2"/>
      <c r="X503" s="2"/>
      <c r="AC503" s="2"/>
      <c r="AI503" s="2"/>
      <c r="AN503" s="2"/>
      <c r="AO503" s="2"/>
      <c r="AP503" s="2"/>
      <c r="AQ503" s="2"/>
      <c r="AR503" s="2"/>
      <c r="AS503" s="2"/>
    </row>
    <row r="504" spans="5:45" ht="15.75" customHeight="1">
      <c r="E504" s="2"/>
      <c r="F504" s="2"/>
      <c r="G504" s="2"/>
      <c r="M504" s="2"/>
      <c r="N504" s="2"/>
      <c r="O504" s="2"/>
      <c r="P504" s="2"/>
      <c r="U504" s="2"/>
      <c r="V504" s="2"/>
      <c r="W504" s="2"/>
      <c r="X504" s="2"/>
      <c r="AC504" s="2"/>
      <c r="AI504" s="2"/>
      <c r="AN504" s="2"/>
      <c r="AO504" s="2"/>
      <c r="AP504" s="2"/>
      <c r="AQ504" s="2"/>
      <c r="AR504" s="2"/>
      <c r="AS504" s="2"/>
    </row>
    <row r="505" spans="5:45" ht="15.75" customHeight="1">
      <c r="E505" s="2"/>
      <c r="F505" s="2"/>
      <c r="G505" s="2"/>
      <c r="M505" s="2"/>
      <c r="N505" s="2"/>
      <c r="O505" s="2"/>
      <c r="P505" s="2"/>
      <c r="U505" s="2"/>
      <c r="V505" s="2"/>
      <c r="W505" s="2"/>
      <c r="X505" s="2"/>
      <c r="AC505" s="2"/>
      <c r="AI505" s="2"/>
      <c r="AN505" s="2"/>
      <c r="AO505" s="2"/>
      <c r="AP505" s="2"/>
      <c r="AQ505" s="2"/>
      <c r="AR505" s="2"/>
      <c r="AS505" s="2"/>
    </row>
    <row r="506" spans="5:45" ht="15.75" customHeight="1">
      <c r="E506" s="2"/>
      <c r="F506" s="2"/>
      <c r="G506" s="2"/>
      <c r="M506" s="2"/>
      <c r="N506" s="2"/>
      <c r="O506" s="2"/>
      <c r="P506" s="2"/>
      <c r="U506" s="2"/>
      <c r="V506" s="2"/>
      <c r="W506" s="2"/>
      <c r="X506" s="2"/>
      <c r="AC506" s="2"/>
      <c r="AI506" s="2"/>
      <c r="AN506" s="2"/>
      <c r="AO506" s="2"/>
      <c r="AP506" s="2"/>
      <c r="AQ506" s="2"/>
      <c r="AR506" s="2"/>
      <c r="AS506" s="2"/>
    </row>
    <row r="507" spans="5:45" ht="15.75" customHeight="1">
      <c r="E507" s="2"/>
      <c r="F507" s="2"/>
      <c r="G507" s="2"/>
      <c r="M507" s="2"/>
      <c r="N507" s="2"/>
      <c r="O507" s="2"/>
      <c r="P507" s="2"/>
      <c r="U507" s="2"/>
      <c r="V507" s="2"/>
      <c r="W507" s="2"/>
      <c r="X507" s="2"/>
      <c r="AC507" s="2"/>
      <c r="AI507" s="2"/>
      <c r="AN507" s="2"/>
      <c r="AO507" s="2"/>
      <c r="AP507" s="2"/>
      <c r="AQ507" s="2"/>
      <c r="AR507" s="2"/>
      <c r="AS507" s="2"/>
    </row>
    <row r="508" spans="5:45" ht="15.75" customHeight="1">
      <c r="E508" s="2"/>
      <c r="F508" s="2"/>
      <c r="G508" s="2"/>
      <c r="M508" s="2"/>
      <c r="N508" s="2"/>
      <c r="O508" s="2"/>
      <c r="P508" s="2"/>
      <c r="U508" s="2"/>
      <c r="V508" s="2"/>
      <c r="W508" s="2"/>
      <c r="X508" s="2"/>
      <c r="AC508" s="2"/>
      <c r="AI508" s="2"/>
      <c r="AN508" s="2"/>
      <c r="AO508" s="2"/>
      <c r="AP508" s="2"/>
      <c r="AQ508" s="2"/>
      <c r="AR508" s="2"/>
      <c r="AS508" s="2"/>
    </row>
    <row r="509" spans="5:45" ht="15.75" customHeight="1">
      <c r="E509" s="2"/>
      <c r="F509" s="2"/>
      <c r="G509" s="2"/>
      <c r="M509" s="2"/>
      <c r="N509" s="2"/>
      <c r="O509" s="2"/>
      <c r="P509" s="2"/>
      <c r="U509" s="2"/>
      <c r="V509" s="2"/>
      <c r="W509" s="2"/>
      <c r="X509" s="2"/>
      <c r="AC509" s="2"/>
      <c r="AI509" s="2"/>
      <c r="AN509" s="2"/>
      <c r="AO509" s="2"/>
      <c r="AP509" s="2"/>
      <c r="AQ509" s="2"/>
      <c r="AR509" s="2"/>
      <c r="AS509" s="2"/>
    </row>
    <row r="510" spans="5:45" ht="15.75" customHeight="1">
      <c r="E510" s="2"/>
      <c r="F510" s="2"/>
      <c r="G510" s="2"/>
      <c r="M510" s="2"/>
      <c r="N510" s="2"/>
      <c r="O510" s="2"/>
      <c r="P510" s="2"/>
      <c r="U510" s="2"/>
      <c r="V510" s="2"/>
      <c r="W510" s="2"/>
      <c r="X510" s="2"/>
      <c r="AC510" s="2"/>
      <c r="AI510" s="2"/>
      <c r="AN510" s="2"/>
      <c r="AO510" s="2"/>
      <c r="AP510" s="2"/>
      <c r="AQ510" s="2"/>
      <c r="AR510" s="2"/>
      <c r="AS510" s="2"/>
    </row>
    <row r="511" spans="5:45" ht="15.75" customHeight="1">
      <c r="E511" s="2"/>
      <c r="F511" s="2"/>
      <c r="G511" s="2"/>
      <c r="M511" s="2"/>
      <c r="N511" s="2"/>
      <c r="O511" s="2"/>
      <c r="P511" s="2"/>
      <c r="U511" s="2"/>
      <c r="V511" s="2"/>
      <c r="W511" s="2"/>
      <c r="X511" s="2"/>
      <c r="AC511" s="2"/>
      <c r="AI511" s="2"/>
      <c r="AN511" s="2"/>
      <c r="AO511" s="2"/>
      <c r="AP511" s="2"/>
      <c r="AQ511" s="2"/>
      <c r="AR511" s="2"/>
      <c r="AS511" s="2"/>
    </row>
    <row r="512" spans="5:45" ht="15.75" customHeight="1">
      <c r="E512" s="2"/>
      <c r="F512" s="2"/>
      <c r="G512" s="2"/>
      <c r="M512" s="2"/>
      <c r="N512" s="2"/>
      <c r="O512" s="2"/>
      <c r="P512" s="2"/>
      <c r="U512" s="2"/>
      <c r="V512" s="2"/>
      <c r="W512" s="2"/>
      <c r="X512" s="2"/>
      <c r="AC512" s="2"/>
      <c r="AI512" s="2"/>
      <c r="AN512" s="2"/>
      <c r="AO512" s="2"/>
      <c r="AP512" s="2"/>
      <c r="AQ512" s="2"/>
      <c r="AR512" s="2"/>
      <c r="AS512" s="2"/>
    </row>
    <row r="513" spans="5:45" ht="15.75" customHeight="1">
      <c r="E513" s="2"/>
      <c r="F513" s="2"/>
      <c r="G513" s="2"/>
      <c r="M513" s="2"/>
      <c r="N513" s="2"/>
      <c r="O513" s="2"/>
      <c r="P513" s="2"/>
      <c r="U513" s="2"/>
      <c r="V513" s="2"/>
      <c r="W513" s="2"/>
      <c r="X513" s="2"/>
      <c r="AC513" s="2"/>
      <c r="AI513" s="2"/>
      <c r="AN513" s="2"/>
      <c r="AO513" s="2"/>
      <c r="AP513" s="2"/>
      <c r="AQ513" s="2"/>
      <c r="AR513" s="2"/>
      <c r="AS513" s="2"/>
    </row>
    <row r="514" spans="5:45" ht="15.75" customHeight="1">
      <c r="E514" s="2"/>
      <c r="F514" s="2"/>
      <c r="G514" s="2"/>
      <c r="M514" s="2"/>
      <c r="N514" s="2"/>
      <c r="O514" s="2"/>
      <c r="P514" s="2"/>
      <c r="U514" s="2"/>
      <c r="V514" s="2"/>
      <c r="W514" s="2"/>
      <c r="X514" s="2"/>
      <c r="AC514" s="2"/>
      <c r="AI514" s="2"/>
      <c r="AN514" s="2"/>
      <c r="AO514" s="2"/>
      <c r="AP514" s="2"/>
      <c r="AQ514" s="2"/>
      <c r="AR514" s="2"/>
      <c r="AS514" s="2"/>
    </row>
    <row r="515" spans="5:45" ht="15.75" customHeight="1">
      <c r="E515" s="2"/>
      <c r="F515" s="2"/>
      <c r="G515" s="2"/>
      <c r="M515" s="2"/>
      <c r="N515" s="2"/>
      <c r="O515" s="2"/>
      <c r="P515" s="2"/>
      <c r="U515" s="2"/>
      <c r="V515" s="2"/>
      <c r="W515" s="2"/>
      <c r="X515" s="2"/>
      <c r="AC515" s="2"/>
      <c r="AI515" s="2"/>
      <c r="AN515" s="2"/>
      <c r="AO515" s="2"/>
      <c r="AP515" s="2"/>
      <c r="AQ515" s="2"/>
      <c r="AR515" s="2"/>
      <c r="AS515" s="2"/>
    </row>
    <row r="516" spans="5:45" ht="15.75" customHeight="1">
      <c r="E516" s="2"/>
      <c r="F516" s="2"/>
      <c r="G516" s="2"/>
      <c r="M516" s="2"/>
      <c r="N516" s="2"/>
      <c r="O516" s="2"/>
      <c r="P516" s="2"/>
      <c r="U516" s="2"/>
      <c r="V516" s="2"/>
      <c r="W516" s="2"/>
      <c r="X516" s="2"/>
      <c r="AC516" s="2"/>
      <c r="AI516" s="2"/>
      <c r="AN516" s="2"/>
      <c r="AO516" s="2"/>
      <c r="AP516" s="2"/>
      <c r="AQ516" s="2"/>
      <c r="AR516" s="2"/>
      <c r="AS516" s="2"/>
    </row>
    <row r="517" spans="5:45" ht="15.75" customHeight="1">
      <c r="E517" s="2"/>
      <c r="F517" s="2"/>
      <c r="G517" s="2"/>
      <c r="M517" s="2"/>
      <c r="N517" s="2"/>
      <c r="O517" s="2"/>
      <c r="P517" s="2"/>
      <c r="U517" s="2"/>
      <c r="V517" s="2"/>
      <c r="W517" s="2"/>
      <c r="X517" s="2"/>
      <c r="AC517" s="2"/>
      <c r="AI517" s="2"/>
      <c r="AN517" s="2"/>
      <c r="AO517" s="2"/>
      <c r="AP517" s="2"/>
      <c r="AQ517" s="2"/>
      <c r="AR517" s="2"/>
      <c r="AS517" s="2"/>
    </row>
    <row r="518" spans="5:45" ht="15.75" customHeight="1">
      <c r="E518" s="2"/>
      <c r="F518" s="2"/>
      <c r="G518" s="2"/>
      <c r="M518" s="2"/>
      <c r="N518" s="2"/>
      <c r="O518" s="2"/>
      <c r="P518" s="2"/>
      <c r="U518" s="2"/>
      <c r="V518" s="2"/>
      <c r="W518" s="2"/>
      <c r="X518" s="2"/>
      <c r="AC518" s="2"/>
      <c r="AI518" s="2"/>
      <c r="AN518" s="2"/>
      <c r="AO518" s="2"/>
      <c r="AP518" s="2"/>
      <c r="AQ518" s="2"/>
      <c r="AR518" s="2"/>
      <c r="AS518" s="2"/>
    </row>
    <row r="519" spans="5:45" ht="15.75" customHeight="1">
      <c r="E519" s="2"/>
      <c r="F519" s="2"/>
      <c r="G519" s="2"/>
      <c r="M519" s="2"/>
      <c r="N519" s="2"/>
      <c r="O519" s="2"/>
      <c r="P519" s="2"/>
      <c r="U519" s="2"/>
      <c r="V519" s="2"/>
      <c r="W519" s="2"/>
      <c r="X519" s="2"/>
      <c r="AC519" s="2"/>
      <c r="AI519" s="2"/>
      <c r="AN519" s="2"/>
      <c r="AO519" s="2"/>
      <c r="AP519" s="2"/>
      <c r="AQ519" s="2"/>
      <c r="AR519" s="2"/>
      <c r="AS519" s="2"/>
    </row>
    <row r="520" spans="5:45" ht="15.75" customHeight="1">
      <c r="E520" s="2"/>
      <c r="F520" s="2"/>
      <c r="G520" s="2"/>
      <c r="M520" s="2"/>
      <c r="N520" s="2"/>
      <c r="O520" s="2"/>
      <c r="P520" s="2"/>
      <c r="U520" s="2"/>
      <c r="V520" s="2"/>
      <c r="W520" s="2"/>
      <c r="X520" s="2"/>
      <c r="AC520" s="2"/>
      <c r="AI520" s="2"/>
      <c r="AN520" s="2"/>
      <c r="AO520" s="2"/>
      <c r="AP520" s="2"/>
      <c r="AQ520" s="2"/>
      <c r="AR520" s="2"/>
      <c r="AS520" s="2"/>
    </row>
    <row r="521" spans="5:45" ht="15.75" customHeight="1">
      <c r="E521" s="2"/>
      <c r="F521" s="2"/>
      <c r="G521" s="2"/>
      <c r="M521" s="2"/>
      <c r="N521" s="2"/>
      <c r="O521" s="2"/>
      <c r="P521" s="2"/>
      <c r="U521" s="2"/>
      <c r="V521" s="2"/>
      <c r="W521" s="2"/>
      <c r="X521" s="2"/>
      <c r="AC521" s="2"/>
      <c r="AI521" s="2"/>
      <c r="AN521" s="2"/>
      <c r="AO521" s="2"/>
      <c r="AP521" s="2"/>
      <c r="AQ521" s="2"/>
      <c r="AR521" s="2"/>
      <c r="AS521" s="2"/>
    </row>
    <row r="522" spans="5:45" ht="15.75" customHeight="1">
      <c r="E522" s="2"/>
      <c r="F522" s="2"/>
      <c r="G522" s="2"/>
      <c r="M522" s="2"/>
      <c r="N522" s="2"/>
      <c r="O522" s="2"/>
      <c r="P522" s="2"/>
      <c r="U522" s="2"/>
      <c r="V522" s="2"/>
      <c r="W522" s="2"/>
      <c r="X522" s="2"/>
      <c r="AC522" s="2"/>
      <c r="AI522" s="2"/>
      <c r="AN522" s="2"/>
      <c r="AO522" s="2"/>
      <c r="AP522" s="2"/>
      <c r="AQ522" s="2"/>
      <c r="AR522" s="2"/>
      <c r="AS522" s="2"/>
    </row>
    <row r="523" spans="5:45" ht="15.75" customHeight="1">
      <c r="E523" s="2"/>
      <c r="F523" s="2"/>
      <c r="G523" s="2"/>
      <c r="M523" s="2"/>
      <c r="N523" s="2"/>
      <c r="O523" s="2"/>
      <c r="P523" s="2"/>
      <c r="U523" s="2"/>
      <c r="V523" s="2"/>
      <c r="W523" s="2"/>
      <c r="X523" s="2"/>
      <c r="AC523" s="2"/>
      <c r="AI523" s="2"/>
      <c r="AN523" s="2"/>
      <c r="AO523" s="2"/>
      <c r="AP523" s="2"/>
      <c r="AQ523" s="2"/>
      <c r="AR523" s="2"/>
      <c r="AS523" s="2"/>
    </row>
    <row r="524" spans="5:45" ht="15.75" customHeight="1">
      <c r="E524" s="2"/>
      <c r="F524" s="2"/>
      <c r="G524" s="2"/>
      <c r="M524" s="2"/>
      <c r="N524" s="2"/>
      <c r="O524" s="2"/>
      <c r="P524" s="2"/>
      <c r="U524" s="2"/>
      <c r="V524" s="2"/>
      <c r="W524" s="2"/>
      <c r="X524" s="2"/>
      <c r="AC524" s="2"/>
      <c r="AI524" s="2"/>
      <c r="AN524" s="2"/>
      <c r="AO524" s="2"/>
      <c r="AP524" s="2"/>
      <c r="AQ524" s="2"/>
      <c r="AR524" s="2"/>
      <c r="AS524" s="2"/>
    </row>
    <row r="525" spans="5:45" ht="15.75" customHeight="1">
      <c r="E525" s="2"/>
      <c r="F525" s="2"/>
      <c r="G525" s="2"/>
      <c r="M525" s="2"/>
      <c r="N525" s="2"/>
      <c r="O525" s="2"/>
      <c r="P525" s="2"/>
      <c r="U525" s="2"/>
      <c r="V525" s="2"/>
      <c r="W525" s="2"/>
      <c r="X525" s="2"/>
      <c r="AC525" s="2"/>
      <c r="AI525" s="2"/>
      <c r="AN525" s="2"/>
      <c r="AO525" s="2"/>
      <c r="AP525" s="2"/>
      <c r="AQ525" s="2"/>
      <c r="AR525" s="2"/>
      <c r="AS525" s="2"/>
    </row>
    <row r="526" spans="5:45" ht="15.75" customHeight="1">
      <c r="E526" s="2"/>
      <c r="F526" s="2"/>
      <c r="G526" s="2"/>
      <c r="M526" s="2"/>
      <c r="N526" s="2"/>
      <c r="O526" s="2"/>
      <c r="P526" s="2"/>
      <c r="U526" s="2"/>
      <c r="V526" s="2"/>
      <c r="W526" s="2"/>
      <c r="X526" s="2"/>
      <c r="AC526" s="2"/>
      <c r="AI526" s="2"/>
      <c r="AN526" s="2"/>
      <c r="AO526" s="2"/>
      <c r="AP526" s="2"/>
      <c r="AQ526" s="2"/>
      <c r="AR526" s="2"/>
      <c r="AS526" s="2"/>
    </row>
    <row r="527" spans="5:45" ht="15.75" customHeight="1">
      <c r="E527" s="2"/>
      <c r="F527" s="2"/>
      <c r="G527" s="2"/>
      <c r="M527" s="2"/>
      <c r="N527" s="2"/>
      <c r="O527" s="2"/>
      <c r="P527" s="2"/>
      <c r="U527" s="2"/>
      <c r="V527" s="2"/>
      <c r="W527" s="2"/>
      <c r="X527" s="2"/>
      <c r="AC527" s="2"/>
      <c r="AI527" s="2"/>
      <c r="AN527" s="2"/>
      <c r="AO527" s="2"/>
      <c r="AP527" s="2"/>
      <c r="AQ527" s="2"/>
      <c r="AR527" s="2"/>
      <c r="AS527" s="2"/>
    </row>
    <row r="528" spans="5:45" ht="15.75" customHeight="1">
      <c r="E528" s="2"/>
      <c r="F528" s="2"/>
      <c r="G528" s="2"/>
      <c r="M528" s="2"/>
      <c r="N528" s="2"/>
      <c r="O528" s="2"/>
      <c r="P528" s="2"/>
      <c r="U528" s="2"/>
      <c r="V528" s="2"/>
      <c r="W528" s="2"/>
      <c r="X528" s="2"/>
      <c r="AC528" s="2"/>
      <c r="AI528" s="2"/>
      <c r="AN528" s="2"/>
      <c r="AO528" s="2"/>
      <c r="AP528" s="2"/>
      <c r="AQ528" s="2"/>
      <c r="AR528" s="2"/>
      <c r="AS528" s="2"/>
    </row>
    <row r="529" spans="5:45" ht="15.75" customHeight="1">
      <c r="E529" s="2"/>
      <c r="F529" s="2"/>
      <c r="G529" s="2"/>
      <c r="M529" s="2"/>
      <c r="N529" s="2"/>
      <c r="O529" s="2"/>
      <c r="P529" s="2"/>
      <c r="U529" s="2"/>
      <c r="V529" s="2"/>
      <c r="W529" s="2"/>
      <c r="X529" s="2"/>
      <c r="AC529" s="2"/>
      <c r="AI529" s="2"/>
      <c r="AN529" s="2"/>
      <c r="AO529" s="2"/>
      <c r="AP529" s="2"/>
      <c r="AQ529" s="2"/>
      <c r="AR529" s="2"/>
      <c r="AS529" s="2"/>
    </row>
    <row r="530" spans="5:45" ht="15.75" customHeight="1">
      <c r="E530" s="2"/>
      <c r="F530" s="2"/>
      <c r="G530" s="2"/>
      <c r="M530" s="2"/>
      <c r="N530" s="2"/>
      <c r="O530" s="2"/>
      <c r="P530" s="2"/>
      <c r="U530" s="2"/>
      <c r="V530" s="2"/>
      <c r="W530" s="2"/>
      <c r="X530" s="2"/>
      <c r="AC530" s="2"/>
      <c r="AI530" s="2"/>
      <c r="AN530" s="2"/>
      <c r="AO530" s="2"/>
      <c r="AP530" s="2"/>
      <c r="AQ530" s="2"/>
      <c r="AR530" s="2"/>
      <c r="AS530" s="2"/>
    </row>
    <row r="531" spans="5:45" ht="15.75" customHeight="1">
      <c r="E531" s="2"/>
      <c r="F531" s="2"/>
      <c r="G531" s="2"/>
      <c r="M531" s="2"/>
      <c r="N531" s="2"/>
      <c r="O531" s="2"/>
      <c r="P531" s="2"/>
      <c r="U531" s="2"/>
      <c r="V531" s="2"/>
      <c r="W531" s="2"/>
      <c r="X531" s="2"/>
      <c r="AC531" s="2"/>
      <c r="AI531" s="2"/>
      <c r="AN531" s="2"/>
      <c r="AO531" s="2"/>
      <c r="AP531" s="2"/>
      <c r="AQ531" s="2"/>
      <c r="AR531" s="2"/>
      <c r="AS531" s="2"/>
    </row>
    <row r="532" spans="5:45" ht="15.75" customHeight="1">
      <c r="E532" s="2"/>
      <c r="F532" s="2"/>
      <c r="G532" s="2"/>
      <c r="M532" s="2"/>
      <c r="N532" s="2"/>
      <c r="O532" s="2"/>
      <c r="P532" s="2"/>
      <c r="U532" s="2"/>
      <c r="V532" s="2"/>
      <c r="W532" s="2"/>
      <c r="X532" s="2"/>
      <c r="AC532" s="2"/>
      <c r="AI532" s="2"/>
      <c r="AN532" s="2"/>
      <c r="AO532" s="2"/>
      <c r="AP532" s="2"/>
      <c r="AQ532" s="2"/>
      <c r="AR532" s="2"/>
      <c r="AS532" s="2"/>
    </row>
    <row r="533" spans="5:45" ht="15.75" customHeight="1">
      <c r="E533" s="2"/>
      <c r="F533" s="2"/>
      <c r="G533" s="2"/>
      <c r="M533" s="2"/>
      <c r="N533" s="2"/>
      <c r="O533" s="2"/>
      <c r="P533" s="2"/>
      <c r="U533" s="2"/>
      <c r="V533" s="2"/>
      <c r="W533" s="2"/>
      <c r="X533" s="2"/>
      <c r="AC533" s="2"/>
      <c r="AI533" s="2"/>
      <c r="AN533" s="2"/>
      <c r="AO533" s="2"/>
      <c r="AP533" s="2"/>
      <c r="AQ533" s="2"/>
      <c r="AR533" s="2"/>
      <c r="AS533" s="2"/>
    </row>
    <row r="534" spans="5:45" ht="15.75" customHeight="1">
      <c r="E534" s="2"/>
      <c r="F534" s="2"/>
      <c r="G534" s="2"/>
      <c r="M534" s="2"/>
      <c r="N534" s="2"/>
      <c r="O534" s="2"/>
      <c r="P534" s="2"/>
      <c r="U534" s="2"/>
      <c r="V534" s="2"/>
      <c r="W534" s="2"/>
      <c r="X534" s="2"/>
      <c r="AC534" s="2"/>
      <c r="AI534" s="2"/>
      <c r="AN534" s="2"/>
      <c r="AO534" s="2"/>
      <c r="AP534" s="2"/>
      <c r="AQ534" s="2"/>
      <c r="AR534" s="2"/>
      <c r="AS534" s="2"/>
    </row>
    <row r="535" spans="5:45" ht="15.75" customHeight="1">
      <c r="E535" s="2"/>
      <c r="F535" s="2"/>
      <c r="G535" s="2"/>
      <c r="M535" s="2"/>
      <c r="N535" s="2"/>
      <c r="O535" s="2"/>
      <c r="P535" s="2"/>
      <c r="U535" s="2"/>
      <c r="V535" s="2"/>
      <c r="W535" s="2"/>
      <c r="X535" s="2"/>
      <c r="AC535" s="2"/>
      <c r="AI535" s="2"/>
      <c r="AN535" s="2"/>
      <c r="AO535" s="2"/>
      <c r="AP535" s="2"/>
      <c r="AQ535" s="2"/>
      <c r="AR535" s="2"/>
      <c r="AS535" s="2"/>
    </row>
    <row r="536" spans="5:45" ht="15.75" customHeight="1">
      <c r="E536" s="2"/>
      <c r="F536" s="2"/>
      <c r="G536" s="2"/>
      <c r="M536" s="2"/>
      <c r="N536" s="2"/>
      <c r="O536" s="2"/>
      <c r="P536" s="2"/>
      <c r="U536" s="2"/>
      <c r="V536" s="2"/>
      <c r="W536" s="2"/>
      <c r="X536" s="2"/>
      <c r="AC536" s="2"/>
      <c r="AI536" s="2"/>
      <c r="AN536" s="2"/>
      <c r="AO536" s="2"/>
      <c r="AP536" s="2"/>
      <c r="AQ536" s="2"/>
      <c r="AR536" s="2"/>
      <c r="AS536" s="2"/>
    </row>
    <row r="537" spans="5:45" ht="15.75" customHeight="1">
      <c r="E537" s="2"/>
      <c r="F537" s="2"/>
      <c r="G537" s="2"/>
      <c r="M537" s="2"/>
      <c r="N537" s="2"/>
      <c r="O537" s="2"/>
      <c r="P537" s="2"/>
      <c r="U537" s="2"/>
      <c r="V537" s="2"/>
      <c r="W537" s="2"/>
      <c r="X537" s="2"/>
      <c r="AC537" s="2"/>
      <c r="AI537" s="2"/>
      <c r="AN537" s="2"/>
      <c r="AO537" s="2"/>
      <c r="AP537" s="2"/>
      <c r="AQ537" s="2"/>
      <c r="AR537" s="2"/>
      <c r="AS537" s="2"/>
    </row>
    <row r="538" spans="5:45" ht="15.75" customHeight="1">
      <c r="E538" s="2"/>
      <c r="F538" s="2"/>
      <c r="G538" s="2"/>
      <c r="M538" s="2"/>
      <c r="N538" s="2"/>
      <c r="O538" s="2"/>
      <c r="P538" s="2"/>
      <c r="U538" s="2"/>
      <c r="V538" s="2"/>
      <c r="W538" s="2"/>
      <c r="X538" s="2"/>
      <c r="AC538" s="2"/>
      <c r="AI538" s="2"/>
      <c r="AN538" s="2"/>
      <c r="AO538" s="2"/>
      <c r="AP538" s="2"/>
      <c r="AQ538" s="2"/>
      <c r="AR538" s="2"/>
      <c r="AS538" s="2"/>
    </row>
    <row r="539" spans="5:45" ht="15.75" customHeight="1">
      <c r="E539" s="2"/>
      <c r="F539" s="2"/>
      <c r="G539" s="2"/>
      <c r="M539" s="2"/>
      <c r="N539" s="2"/>
      <c r="O539" s="2"/>
      <c r="P539" s="2"/>
      <c r="U539" s="2"/>
      <c r="V539" s="2"/>
      <c r="W539" s="2"/>
      <c r="X539" s="2"/>
      <c r="AC539" s="2"/>
      <c r="AI539" s="2"/>
      <c r="AN539" s="2"/>
      <c r="AO539" s="2"/>
      <c r="AP539" s="2"/>
      <c r="AQ539" s="2"/>
      <c r="AR539" s="2"/>
      <c r="AS539" s="2"/>
    </row>
    <row r="540" spans="5:45" ht="15.75" customHeight="1">
      <c r="E540" s="2"/>
      <c r="F540" s="2"/>
      <c r="G540" s="2"/>
      <c r="M540" s="2"/>
      <c r="N540" s="2"/>
      <c r="O540" s="2"/>
      <c r="P540" s="2"/>
      <c r="U540" s="2"/>
      <c r="V540" s="2"/>
      <c r="W540" s="2"/>
      <c r="X540" s="2"/>
      <c r="AC540" s="2"/>
      <c r="AI540" s="2"/>
      <c r="AN540" s="2"/>
      <c r="AO540" s="2"/>
      <c r="AP540" s="2"/>
      <c r="AQ540" s="2"/>
      <c r="AR540" s="2"/>
      <c r="AS540" s="2"/>
    </row>
    <row r="541" spans="5:45" ht="15.75" customHeight="1">
      <c r="E541" s="2"/>
      <c r="F541" s="2"/>
      <c r="G541" s="2"/>
      <c r="M541" s="2"/>
      <c r="N541" s="2"/>
      <c r="O541" s="2"/>
      <c r="P541" s="2"/>
      <c r="U541" s="2"/>
      <c r="V541" s="2"/>
      <c r="W541" s="2"/>
      <c r="X541" s="2"/>
      <c r="AC541" s="2"/>
      <c r="AI541" s="2"/>
      <c r="AN541" s="2"/>
      <c r="AO541" s="2"/>
      <c r="AP541" s="2"/>
      <c r="AQ541" s="2"/>
      <c r="AR541" s="2"/>
      <c r="AS541" s="2"/>
    </row>
    <row r="542" spans="5:45" ht="15.75" customHeight="1">
      <c r="E542" s="2"/>
      <c r="F542" s="2"/>
      <c r="G542" s="2"/>
      <c r="M542" s="2"/>
      <c r="N542" s="2"/>
      <c r="O542" s="2"/>
      <c r="P542" s="2"/>
      <c r="U542" s="2"/>
      <c r="V542" s="2"/>
      <c r="W542" s="2"/>
      <c r="X542" s="2"/>
      <c r="AC542" s="2"/>
      <c r="AI542" s="2"/>
      <c r="AN542" s="2"/>
      <c r="AO542" s="2"/>
      <c r="AP542" s="2"/>
      <c r="AQ542" s="2"/>
      <c r="AR542" s="2"/>
      <c r="AS542" s="2"/>
    </row>
    <row r="543" spans="5:45" ht="15.75" customHeight="1">
      <c r="E543" s="2"/>
      <c r="F543" s="2"/>
      <c r="G543" s="2"/>
      <c r="M543" s="2"/>
      <c r="N543" s="2"/>
      <c r="O543" s="2"/>
      <c r="P543" s="2"/>
      <c r="U543" s="2"/>
      <c r="V543" s="2"/>
      <c r="W543" s="2"/>
      <c r="X543" s="2"/>
      <c r="AC543" s="2"/>
      <c r="AI543" s="2"/>
      <c r="AN543" s="2"/>
      <c r="AO543" s="2"/>
      <c r="AP543" s="2"/>
      <c r="AQ543" s="2"/>
      <c r="AR543" s="2"/>
      <c r="AS543" s="2"/>
    </row>
    <row r="544" spans="5:45" ht="15.75" customHeight="1">
      <c r="E544" s="2"/>
      <c r="F544" s="2"/>
      <c r="G544" s="2"/>
      <c r="M544" s="2"/>
      <c r="N544" s="2"/>
      <c r="O544" s="2"/>
      <c r="P544" s="2"/>
      <c r="U544" s="2"/>
      <c r="V544" s="2"/>
      <c r="W544" s="2"/>
      <c r="X544" s="2"/>
      <c r="AC544" s="2"/>
      <c r="AI544" s="2"/>
      <c r="AN544" s="2"/>
      <c r="AO544" s="2"/>
      <c r="AP544" s="2"/>
      <c r="AQ544" s="2"/>
      <c r="AR544" s="2"/>
      <c r="AS544" s="2"/>
    </row>
    <row r="545" spans="5:45" ht="15.75" customHeight="1">
      <c r="E545" s="2"/>
      <c r="F545" s="2"/>
      <c r="G545" s="2"/>
      <c r="M545" s="2"/>
      <c r="N545" s="2"/>
      <c r="O545" s="2"/>
      <c r="P545" s="2"/>
      <c r="U545" s="2"/>
      <c r="V545" s="2"/>
      <c r="W545" s="2"/>
      <c r="X545" s="2"/>
      <c r="AC545" s="2"/>
      <c r="AI545" s="2"/>
      <c r="AN545" s="2"/>
      <c r="AO545" s="2"/>
      <c r="AP545" s="2"/>
      <c r="AQ545" s="2"/>
      <c r="AR545" s="2"/>
      <c r="AS545" s="2"/>
    </row>
    <row r="546" spans="5:45" ht="15.75" customHeight="1">
      <c r="E546" s="2"/>
      <c r="F546" s="2"/>
      <c r="G546" s="2"/>
      <c r="M546" s="2"/>
      <c r="N546" s="2"/>
      <c r="O546" s="2"/>
      <c r="P546" s="2"/>
      <c r="U546" s="2"/>
      <c r="V546" s="2"/>
      <c r="W546" s="2"/>
      <c r="X546" s="2"/>
      <c r="AC546" s="2"/>
      <c r="AI546" s="2"/>
      <c r="AN546" s="2"/>
      <c r="AO546" s="2"/>
      <c r="AP546" s="2"/>
      <c r="AQ546" s="2"/>
      <c r="AR546" s="2"/>
      <c r="AS546" s="2"/>
    </row>
    <row r="547" spans="5:45" ht="15.75" customHeight="1">
      <c r="E547" s="2"/>
      <c r="F547" s="2"/>
      <c r="G547" s="2"/>
      <c r="M547" s="2"/>
      <c r="N547" s="2"/>
      <c r="O547" s="2"/>
      <c r="P547" s="2"/>
      <c r="U547" s="2"/>
      <c r="V547" s="2"/>
      <c r="W547" s="2"/>
      <c r="X547" s="2"/>
      <c r="AC547" s="2"/>
      <c r="AI547" s="2"/>
      <c r="AN547" s="2"/>
      <c r="AO547" s="2"/>
      <c r="AP547" s="2"/>
      <c r="AQ547" s="2"/>
      <c r="AR547" s="2"/>
      <c r="AS547" s="2"/>
    </row>
    <row r="548" spans="5:45" ht="15.75" customHeight="1">
      <c r="E548" s="2"/>
      <c r="F548" s="2"/>
      <c r="G548" s="2"/>
      <c r="M548" s="2"/>
      <c r="N548" s="2"/>
      <c r="O548" s="2"/>
      <c r="P548" s="2"/>
      <c r="U548" s="2"/>
      <c r="V548" s="2"/>
      <c r="W548" s="2"/>
      <c r="X548" s="2"/>
      <c r="AC548" s="2"/>
      <c r="AI548" s="2"/>
      <c r="AN548" s="2"/>
      <c r="AO548" s="2"/>
      <c r="AP548" s="2"/>
      <c r="AQ548" s="2"/>
      <c r="AR548" s="2"/>
      <c r="AS548" s="2"/>
    </row>
    <row r="549" spans="5:45" ht="15.75" customHeight="1">
      <c r="E549" s="2"/>
      <c r="F549" s="2"/>
      <c r="G549" s="2"/>
      <c r="M549" s="2"/>
      <c r="N549" s="2"/>
      <c r="O549" s="2"/>
      <c r="P549" s="2"/>
      <c r="U549" s="2"/>
      <c r="V549" s="2"/>
      <c r="W549" s="2"/>
      <c r="X549" s="2"/>
      <c r="AC549" s="2"/>
      <c r="AI549" s="2"/>
      <c r="AN549" s="2"/>
      <c r="AO549" s="2"/>
      <c r="AP549" s="2"/>
      <c r="AQ549" s="2"/>
      <c r="AR549" s="2"/>
      <c r="AS549" s="2"/>
    </row>
    <row r="550" spans="5:45" ht="15.75" customHeight="1">
      <c r="E550" s="2"/>
      <c r="F550" s="2"/>
      <c r="G550" s="2"/>
      <c r="M550" s="2"/>
      <c r="N550" s="2"/>
      <c r="O550" s="2"/>
      <c r="P550" s="2"/>
      <c r="U550" s="2"/>
      <c r="V550" s="2"/>
      <c r="W550" s="2"/>
      <c r="X550" s="2"/>
      <c r="AC550" s="2"/>
      <c r="AI550" s="2"/>
      <c r="AN550" s="2"/>
      <c r="AO550" s="2"/>
      <c r="AP550" s="2"/>
      <c r="AQ550" s="2"/>
      <c r="AR550" s="2"/>
      <c r="AS550" s="2"/>
    </row>
    <row r="551" spans="5:45" ht="15.75" customHeight="1">
      <c r="E551" s="2"/>
      <c r="F551" s="2"/>
      <c r="G551" s="2"/>
      <c r="M551" s="2"/>
      <c r="N551" s="2"/>
      <c r="O551" s="2"/>
      <c r="P551" s="2"/>
      <c r="U551" s="2"/>
      <c r="V551" s="2"/>
      <c r="W551" s="2"/>
      <c r="X551" s="2"/>
      <c r="AC551" s="2"/>
      <c r="AI551" s="2"/>
      <c r="AN551" s="2"/>
      <c r="AO551" s="2"/>
      <c r="AP551" s="2"/>
      <c r="AQ551" s="2"/>
      <c r="AR551" s="2"/>
      <c r="AS551" s="2"/>
    </row>
    <row r="552" spans="5:45" ht="15.75" customHeight="1">
      <c r="E552" s="2"/>
      <c r="F552" s="2"/>
      <c r="G552" s="2"/>
      <c r="M552" s="2"/>
      <c r="N552" s="2"/>
      <c r="O552" s="2"/>
      <c r="P552" s="2"/>
      <c r="U552" s="2"/>
      <c r="V552" s="2"/>
      <c r="W552" s="2"/>
      <c r="X552" s="2"/>
      <c r="AC552" s="2"/>
      <c r="AI552" s="2"/>
      <c r="AN552" s="2"/>
      <c r="AO552" s="2"/>
      <c r="AP552" s="2"/>
      <c r="AQ552" s="2"/>
      <c r="AR552" s="2"/>
      <c r="AS552" s="2"/>
    </row>
    <row r="553" spans="5:45" ht="15.75" customHeight="1">
      <c r="E553" s="2"/>
      <c r="F553" s="2"/>
      <c r="G553" s="2"/>
      <c r="M553" s="2"/>
      <c r="N553" s="2"/>
      <c r="O553" s="2"/>
      <c r="P553" s="2"/>
      <c r="U553" s="2"/>
      <c r="V553" s="2"/>
      <c r="W553" s="2"/>
      <c r="X553" s="2"/>
      <c r="AC553" s="2"/>
      <c r="AI553" s="2"/>
      <c r="AN553" s="2"/>
      <c r="AO553" s="2"/>
      <c r="AP553" s="2"/>
      <c r="AQ553" s="2"/>
      <c r="AR553" s="2"/>
      <c r="AS553" s="2"/>
    </row>
    <row r="554" spans="5:45" ht="15.75" customHeight="1">
      <c r="E554" s="2"/>
      <c r="F554" s="2"/>
      <c r="G554" s="2"/>
      <c r="M554" s="2"/>
      <c r="N554" s="2"/>
      <c r="O554" s="2"/>
      <c r="P554" s="2"/>
      <c r="U554" s="2"/>
      <c r="V554" s="2"/>
      <c r="W554" s="2"/>
      <c r="X554" s="2"/>
      <c r="AC554" s="2"/>
      <c r="AI554" s="2"/>
      <c r="AN554" s="2"/>
      <c r="AO554" s="2"/>
      <c r="AP554" s="2"/>
      <c r="AQ554" s="2"/>
      <c r="AR554" s="2"/>
      <c r="AS554" s="2"/>
    </row>
    <row r="555" spans="5:45" ht="15.75" customHeight="1">
      <c r="E555" s="2"/>
      <c r="F555" s="2"/>
      <c r="G555" s="2"/>
      <c r="M555" s="2"/>
      <c r="N555" s="2"/>
      <c r="O555" s="2"/>
      <c r="P555" s="2"/>
      <c r="U555" s="2"/>
      <c r="V555" s="2"/>
      <c r="W555" s="2"/>
      <c r="X555" s="2"/>
      <c r="AC555" s="2"/>
      <c r="AI555" s="2"/>
      <c r="AN555" s="2"/>
      <c r="AO555" s="2"/>
      <c r="AP555" s="2"/>
      <c r="AQ555" s="2"/>
      <c r="AR555" s="2"/>
      <c r="AS555" s="2"/>
    </row>
    <row r="556" spans="5:45" ht="15.75" customHeight="1">
      <c r="E556" s="2"/>
      <c r="F556" s="2"/>
      <c r="G556" s="2"/>
      <c r="M556" s="2"/>
      <c r="N556" s="2"/>
      <c r="O556" s="2"/>
      <c r="P556" s="2"/>
      <c r="U556" s="2"/>
      <c r="V556" s="2"/>
      <c r="W556" s="2"/>
      <c r="X556" s="2"/>
      <c r="AC556" s="2"/>
      <c r="AI556" s="2"/>
      <c r="AN556" s="2"/>
      <c r="AO556" s="2"/>
      <c r="AP556" s="2"/>
      <c r="AQ556" s="2"/>
      <c r="AR556" s="2"/>
      <c r="AS556" s="2"/>
    </row>
    <row r="557" spans="5:45" ht="15.75" customHeight="1">
      <c r="E557" s="2"/>
      <c r="F557" s="2"/>
      <c r="G557" s="2"/>
      <c r="M557" s="2"/>
      <c r="N557" s="2"/>
      <c r="O557" s="2"/>
      <c r="P557" s="2"/>
      <c r="U557" s="2"/>
      <c r="V557" s="2"/>
      <c r="W557" s="2"/>
      <c r="X557" s="2"/>
      <c r="AC557" s="2"/>
      <c r="AI557" s="2"/>
      <c r="AN557" s="2"/>
      <c r="AO557" s="2"/>
      <c r="AP557" s="2"/>
      <c r="AQ557" s="2"/>
      <c r="AR557" s="2"/>
      <c r="AS557" s="2"/>
    </row>
    <row r="558" spans="5:45" ht="15.75" customHeight="1">
      <c r="E558" s="2"/>
      <c r="F558" s="2"/>
      <c r="G558" s="2"/>
      <c r="M558" s="2"/>
      <c r="N558" s="2"/>
      <c r="O558" s="2"/>
      <c r="P558" s="2"/>
      <c r="U558" s="2"/>
      <c r="V558" s="2"/>
      <c r="W558" s="2"/>
      <c r="X558" s="2"/>
      <c r="AC558" s="2"/>
      <c r="AI558" s="2"/>
      <c r="AN558" s="2"/>
      <c r="AO558" s="2"/>
      <c r="AP558" s="2"/>
      <c r="AQ558" s="2"/>
      <c r="AR558" s="2"/>
      <c r="AS558" s="2"/>
    </row>
    <row r="559" spans="5:45" ht="15.75" customHeight="1">
      <c r="E559" s="2"/>
      <c r="F559" s="2"/>
      <c r="G559" s="2"/>
      <c r="M559" s="2"/>
      <c r="N559" s="2"/>
      <c r="O559" s="2"/>
      <c r="P559" s="2"/>
      <c r="U559" s="2"/>
      <c r="V559" s="2"/>
      <c r="W559" s="2"/>
      <c r="X559" s="2"/>
      <c r="AC559" s="2"/>
      <c r="AI559" s="2"/>
      <c r="AN559" s="2"/>
      <c r="AO559" s="2"/>
      <c r="AP559" s="2"/>
      <c r="AQ559" s="2"/>
      <c r="AR559" s="2"/>
      <c r="AS559" s="2"/>
    </row>
    <row r="560" spans="5:45" ht="15.75" customHeight="1">
      <c r="E560" s="2"/>
      <c r="F560" s="2"/>
      <c r="G560" s="2"/>
      <c r="M560" s="2"/>
      <c r="N560" s="2"/>
      <c r="O560" s="2"/>
      <c r="P560" s="2"/>
      <c r="U560" s="2"/>
      <c r="V560" s="2"/>
      <c r="W560" s="2"/>
      <c r="X560" s="2"/>
      <c r="AC560" s="2"/>
      <c r="AI560" s="2"/>
      <c r="AN560" s="2"/>
      <c r="AO560" s="2"/>
      <c r="AP560" s="2"/>
      <c r="AQ560" s="2"/>
      <c r="AR560" s="2"/>
      <c r="AS560" s="2"/>
    </row>
    <row r="561" spans="5:45" ht="15.75" customHeight="1">
      <c r="E561" s="2"/>
      <c r="F561" s="2"/>
      <c r="G561" s="2"/>
      <c r="M561" s="2"/>
      <c r="N561" s="2"/>
      <c r="O561" s="2"/>
      <c r="P561" s="2"/>
      <c r="U561" s="2"/>
      <c r="V561" s="2"/>
      <c r="W561" s="2"/>
      <c r="X561" s="2"/>
      <c r="AC561" s="2"/>
      <c r="AI561" s="2"/>
      <c r="AN561" s="2"/>
      <c r="AO561" s="2"/>
      <c r="AP561" s="2"/>
      <c r="AQ561" s="2"/>
      <c r="AR561" s="2"/>
      <c r="AS561" s="2"/>
    </row>
    <row r="562" spans="5:45" ht="15.75" customHeight="1">
      <c r="E562" s="2"/>
      <c r="F562" s="2"/>
      <c r="G562" s="2"/>
      <c r="M562" s="2"/>
      <c r="N562" s="2"/>
      <c r="O562" s="2"/>
      <c r="P562" s="2"/>
      <c r="U562" s="2"/>
      <c r="V562" s="2"/>
      <c r="W562" s="2"/>
      <c r="X562" s="2"/>
      <c r="AC562" s="2"/>
      <c r="AI562" s="2"/>
      <c r="AN562" s="2"/>
      <c r="AO562" s="2"/>
      <c r="AP562" s="2"/>
      <c r="AQ562" s="2"/>
      <c r="AR562" s="2"/>
      <c r="AS562" s="2"/>
    </row>
    <row r="563" spans="5:45" ht="15.75" customHeight="1">
      <c r="E563" s="2"/>
      <c r="F563" s="2"/>
      <c r="G563" s="2"/>
      <c r="M563" s="2"/>
      <c r="N563" s="2"/>
      <c r="O563" s="2"/>
      <c r="P563" s="2"/>
      <c r="U563" s="2"/>
      <c r="V563" s="2"/>
      <c r="W563" s="2"/>
      <c r="X563" s="2"/>
      <c r="AC563" s="2"/>
      <c r="AI563" s="2"/>
      <c r="AN563" s="2"/>
      <c r="AO563" s="2"/>
      <c r="AP563" s="2"/>
      <c r="AQ563" s="2"/>
      <c r="AR563" s="2"/>
      <c r="AS563" s="2"/>
    </row>
    <row r="564" spans="5:45" ht="15.75" customHeight="1">
      <c r="E564" s="2"/>
      <c r="F564" s="2"/>
      <c r="G564" s="2"/>
      <c r="M564" s="2"/>
      <c r="N564" s="2"/>
      <c r="O564" s="2"/>
      <c r="P564" s="2"/>
      <c r="U564" s="2"/>
      <c r="V564" s="2"/>
      <c r="W564" s="2"/>
      <c r="X564" s="2"/>
      <c r="AC564" s="2"/>
      <c r="AI564" s="2"/>
      <c r="AN564" s="2"/>
      <c r="AO564" s="2"/>
      <c r="AP564" s="2"/>
      <c r="AQ564" s="2"/>
      <c r="AR564" s="2"/>
      <c r="AS564" s="2"/>
    </row>
    <row r="565" spans="5:45" ht="15.75" customHeight="1">
      <c r="E565" s="2"/>
      <c r="F565" s="2"/>
      <c r="G565" s="2"/>
      <c r="M565" s="2"/>
      <c r="N565" s="2"/>
      <c r="O565" s="2"/>
      <c r="P565" s="2"/>
      <c r="U565" s="2"/>
      <c r="V565" s="2"/>
      <c r="W565" s="2"/>
      <c r="X565" s="2"/>
      <c r="AC565" s="2"/>
      <c r="AI565" s="2"/>
      <c r="AN565" s="2"/>
      <c r="AO565" s="2"/>
      <c r="AP565" s="2"/>
      <c r="AQ565" s="2"/>
      <c r="AR565" s="2"/>
      <c r="AS565" s="2"/>
    </row>
    <row r="566" spans="5:45" ht="15.75" customHeight="1">
      <c r="E566" s="2"/>
      <c r="F566" s="2"/>
      <c r="G566" s="2"/>
      <c r="M566" s="2"/>
      <c r="N566" s="2"/>
      <c r="O566" s="2"/>
      <c r="P566" s="2"/>
      <c r="U566" s="2"/>
      <c r="V566" s="2"/>
      <c r="W566" s="2"/>
      <c r="X566" s="2"/>
      <c r="AC566" s="2"/>
      <c r="AI566" s="2"/>
      <c r="AN566" s="2"/>
      <c r="AO566" s="2"/>
      <c r="AP566" s="2"/>
      <c r="AQ566" s="2"/>
      <c r="AR566" s="2"/>
      <c r="AS566" s="2"/>
    </row>
    <row r="567" spans="5:45" ht="15.75" customHeight="1">
      <c r="E567" s="2"/>
      <c r="F567" s="2"/>
      <c r="G567" s="2"/>
      <c r="M567" s="2"/>
      <c r="N567" s="2"/>
      <c r="O567" s="2"/>
      <c r="P567" s="2"/>
      <c r="U567" s="2"/>
      <c r="V567" s="2"/>
      <c r="W567" s="2"/>
      <c r="X567" s="2"/>
      <c r="AC567" s="2"/>
      <c r="AI567" s="2"/>
      <c r="AN567" s="2"/>
      <c r="AO567" s="2"/>
      <c r="AP567" s="2"/>
      <c r="AQ567" s="2"/>
      <c r="AR567" s="2"/>
      <c r="AS567" s="2"/>
    </row>
    <row r="568" spans="5:45" ht="15.75" customHeight="1">
      <c r="E568" s="2"/>
      <c r="F568" s="2"/>
      <c r="G568" s="2"/>
      <c r="M568" s="2"/>
      <c r="N568" s="2"/>
      <c r="O568" s="2"/>
      <c r="P568" s="2"/>
      <c r="U568" s="2"/>
      <c r="V568" s="2"/>
      <c r="W568" s="2"/>
      <c r="X568" s="2"/>
      <c r="AC568" s="2"/>
      <c r="AI568" s="2"/>
      <c r="AN568" s="2"/>
      <c r="AO568" s="2"/>
      <c r="AP568" s="2"/>
      <c r="AQ568" s="2"/>
      <c r="AR568" s="2"/>
      <c r="AS568" s="2"/>
    </row>
    <row r="569" spans="5:45" ht="15.75" customHeight="1">
      <c r="E569" s="2"/>
      <c r="F569" s="2"/>
      <c r="G569" s="2"/>
      <c r="M569" s="2"/>
      <c r="N569" s="2"/>
      <c r="O569" s="2"/>
      <c r="P569" s="2"/>
      <c r="U569" s="2"/>
      <c r="V569" s="2"/>
      <c r="W569" s="2"/>
      <c r="X569" s="2"/>
      <c r="AC569" s="2"/>
      <c r="AI569" s="2"/>
      <c r="AN569" s="2"/>
      <c r="AO569" s="2"/>
      <c r="AP569" s="2"/>
      <c r="AQ569" s="2"/>
      <c r="AR569" s="2"/>
      <c r="AS569" s="2"/>
    </row>
    <row r="570" spans="5:45" ht="15.75" customHeight="1">
      <c r="E570" s="2"/>
      <c r="F570" s="2"/>
      <c r="G570" s="2"/>
      <c r="M570" s="2"/>
      <c r="N570" s="2"/>
      <c r="O570" s="2"/>
      <c r="P570" s="2"/>
      <c r="U570" s="2"/>
      <c r="V570" s="2"/>
      <c r="W570" s="2"/>
      <c r="X570" s="2"/>
      <c r="AC570" s="2"/>
      <c r="AI570" s="2"/>
      <c r="AN570" s="2"/>
      <c r="AO570" s="2"/>
      <c r="AP570" s="2"/>
      <c r="AQ570" s="2"/>
      <c r="AR570" s="2"/>
      <c r="AS570" s="2"/>
    </row>
    <row r="571" spans="5:45" ht="15.75" customHeight="1">
      <c r="E571" s="2"/>
      <c r="F571" s="2"/>
      <c r="G571" s="2"/>
      <c r="M571" s="2"/>
      <c r="N571" s="2"/>
      <c r="O571" s="2"/>
      <c r="P571" s="2"/>
      <c r="U571" s="2"/>
      <c r="V571" s="2"/>
      <c r="W571" s="2"/>
      <c r="X571" s="2"/>
      <c r="AC571" s="2"/>
      <c r="AI571" s="2"/>
      <c r="AN571" s="2"/>
      <c r="AO571" s="2"/>
      <c r="AP571" s="2"/>
      <c r="AQ571" s="2"/>
      <c r="AR571" s="2"/>
      <c r="AS571" s="2"/>
    </row>
    <row r="572" spans="5:45" ht="15.75" customHeight="1">
      <c r="E572" s="2"/>
      <c r="F572" s="2"/>
      <c r="G572" s="2"/>
      <c r="M572" s="2"/>
      <c r="N572" s="2"/>
      <c r="O572" s="2"/>
      <c r="P572" s="2"/>
      <c r="U572" s="2"/>
      <c r="V572" s="2"/>
      <c r="W572" s="2"/>
      <c r="X572" s="2"/>
      <c r="AC572" s="2"/>
      <c r="AI572" s="2"/>
      <c r="AN572" s="2"/>
      <c r="AO572" s="2"/>
      <c r="AP572" s="2"/>
      <c r="AQ572" s="2"/>
      <c r="AR572" s="2"/>
      <c r="AS572" s="2"/>
    </row>
    <row r="573" spans="5:45" ht="15.75" customHeight="1">
      <c r="E573" s="2"/>
      <c r="F573" s="2"/>
      <c r="G573" s="2"/>
      <c r="M573" s="2"/>
      <c r="N573" s="2"/>
      <c r="O573" s="2"/>
      <c r="P573" s="2"/>
      <c r="U573" s="2"/>
      <c r="V573" s="2"/>
      <c r="W573" s="2"/>
      <c r="X573" s="2"/>
      <c r="AC573" s="2"/>
      <c r="AI573" s="2"/>
      <c r="AN573" s="2"/>
      <c r="AO573" s="2"/>
      <c r="AP573" s="2"/>
      <c r="AQ573" s="2"/>
      <c r="AR573" s="2"/>
      <c r="AS573" s="2"/>
    </row>
    <row r="574" spans="5:45" ht="15.75" customHeight="1">
      <c r="E574" s="2"/>
      <c r="F574" s="2"/>
      <c r="G574" s="2"/>
      <c r="M574" s="2"/>
      <c r="N574" s="2"/>
      <c r="O574" s="2"/>
      <c r="P574" s="2"/>
      <c r="U574" s="2"/>
      <c r="V574" s="2"/>
      <c r="W574" s="2"/>
      <c r="X574" s="2"/>
      <c r="AC574" s="2"/>
      <c r="AI574" s="2"/>
      <c r="AN574" s="2"/>
      <c r="AO574" s="2"/>
      <c r="AP574" s="2"/>
      <c r="AQ574" s="2"/>
      <c r="AR574" s="2"/>
      <c r="AS574" s="2"/>
    </row>
    <row r="575" spans="5:45" ht="15.75" customHeight="1">
      <c r="E575" s="2"/>
      <c r="F575" s="2"/>
      <c r="G575" s="2"/>
      <c r="M575" s="2"/>
      <c r="N575" s="2"/>
      <c r="O575" s="2"/>
      <c r="P575" s="2"/>
      <c r="U575" s="2"/>
      <c r="V575" s="2"/>
      <c r="W575" s="2"/>
      <c r="X575" s="2"/>
      <c r="AC575" s="2"/>
      <c r="AI575" s="2"/>
      <c r="AN575" s="2"/>
      <c r="AO575" s="2"/>
      <c r="AP575" s="2"/>
      <c r="AQ575" s="2"/>
      <c r="AR575" s="2"/>
      <c r="AS575" s="2"/>
    </row>
    <row r="576" spans="5:45" ht="15.75" customHeight="1">
      <c r="E576" s="2"/>
      <c r="F576" s="2"/>
      <c r="G576" s="2"/>
      <c r="M576" s="2"/>
      <c r="N576" s="2"/>
      <c r="O576" s="2"/>
      <c r="P576" s="2"/>
      <c r="U576" s="2"/>
      <c r="V576" s="2"/>
      <c r="W576" s="2"/>
      <c r="X576" s="2"/>
      <c r="AC576" s="2"/>
      <c r="AI576" s="2"/>
      <c r="AN576" s="2"/>
      <c r="AO576" s="2"/>
      <c r="AP576" s="2"/>
      <c r="AQ576" s="2"/>
      <c r="AR576" s="2"/>
      <c r="AS576" s="2"/>
    </row>
    <row r="577" spans="5:45" ht="15.75" customHeight="1">
      <c r="E577" s="2"/>
      <c r="F577" s="2"/>
      <c r="G577" s="2"/>
      <c r="M577" s="2"/>
      <c r="N577" s="2"/>
      <c r="O577" s="2"/>
      <c r="P577" s="2"/>
      <c r="U577" s="2"/>
      <c r="V577" s="2"/>
      <c r="W577" s="2"/>
      <c r="X577" s="2"/>
      <c r="AC577" s="2"/>
      <c r="AI577" s="2"/>
      <c r="AN577" s="2"/>
      <c r="AO577" s="2"/>
      <c r="AP577" s="2"/>
      <c r="AQ577" s="2"/>
      <c r="AR577" s="2"/>
      <c r="AS577" s="2"/>
    </row>
    <row r="578" spans="5:45" ht="15.75" customHeight="1">
      <c r="E578" s="2"/>
      <c r="F578" s="2"/>
      <c r="G578" s="2"/>
      <c r="M578" s="2"/>
      <c r="N578" s="2"/>
      <c r="O578" s="2"/>
      <c r="P578" s="2"/>
      <c r="U578" s="2"/>
      <c r="V578" s="2"/>
      <c r="W578" s="2"/>
      <c r="X578" s="2"/>
      <c r="AC578" s="2"/>
      <c r="AI578" s="2"/>
      <c r="AN578" s="2"/>
      <c r="AO578" s="2"/>
      <c r="AP578" s="2"/>
      <c r="AQ578" s="2"/>
      <c r="AR578" s="2"/>
      <c r="AS578" s="2"/>
    </row>
    <row r="579" spans="5:45" ht="15.75" customHeight="1">
      <c r="E579" s="2"/>
      <c r="F579" s="2"/>
      <c r="G579" s="2"/>
      <c r="M579" s="2"/>
      <c r="N579" s="2"/>
      <c r="O579" s="2"/>
      <c r="P579" s="2"/>
      <c r="U579" s="2"/>
      <c r="V579" s="2"/>
      <c r="W579" s="2"/>
      <c r="X579" s="2"/>
      <c r="AC579" s="2"/>
      <c r="AI579" s="2"/>
      <c r="AN579" s="2"/>
      <c r="AO579" s="2"/>
      <c r="AP579" s="2"/>
      <c r="AQ579" s="2"/>
      <c r="AR579" s="2"/>
      <c r="AS579" s="2"/>
    </row>
    <row r="580" spans="5:45" ht="15.75" customHeight="1">
      <c r="E580" s="2"/>
      <c r="F580" s="2"/>
      <c r="G580" s="2"/>
      <c r="M580" s="2"/>
      <c r="N580" s="2"/>
      <c r="O580" s="2"/>
      <c r="P580" s="2"/>
      <c r="U580" s="2"/>
      <c r="V580" s="2"/>
      <c r="W580" s="2"/>
      <c r="X580" s="2"/>
      <c r="AC580" s="2"/>
      <c r="AI580" s="2"/>
      <c r="AN580" s="2"/>
      <c r="AO580" s="2"/>
      <c r="AP580" s="2"/>
      <c r="AQ580" s="2"/>
      <c r="AR580" s="2"/>
      <c r="AS580" s="2"/>
    </row>
    <row r="581" spans="5:45" ht="15.75" customHeight="1">
      <c r="E581" s="2"/>
      <c r="F581" s="2"/>
      <c r="G581" s="2"/>
      <c r="M581" s="2"/>
      <c r="N581" s="2"/>
      <c r="O581" s="2"/>
      <c r="P581" s="2"/>
      <c r="U581" s="2"/>
      <c r="V581" s="2"/>
      <c r="W581" s="2"/>
      <c r="X581" s="2"/>
      <c r="AC581" s="2"/>
      <c r="AI581" s="2"/>
      <c r="AN581" s="2"/>
      <c r="AO581" s="2"/>
      <c r="AP581" s="2"/>
      <c r="AQ581" s="2"/>
      <c r="AR581" s="2"/>
      <c r="AS581" s="2"/>
    </row>
    <row r="582" spans="5:45" ht="15.75" customHeight="1">
      <c r="E582" s="2"/>
      <c r="F582" s="2"/>
      <c r="G582" s="2"/>
      <c r="M582" s="2"/>
      <c r="N582" s="2"/>
      <c r="O582" s="2"/>
      <c r="P582" s="2"/>
      <c r="U582" s="2"/>
      <c r="V582" s="2"/>
      <c r="W582" s="2"/>
      <c r="X582" s="2"/>
      <c r="AC582" s="2"/>
      <c r="AI582" s="2"/>
      <c r="AN582" s="2"/>
      <c r="AO582" s="2"/>
      <c r="AP582" s="2"/>
      <c r="AQ582" s="2"/>
      <c r="AR582" s="2"/>
      <c r="AS582" s="2"/>
    </row>
    <row r="583" spans="5:45" ht="15.75" customHeight="1">
      <c r="E583" s="2"/>
      <c r="F583" s="2"/>
      <c r="G583" s="2"/>
      <c r="M583" s="2"/>
      <c r="N583" s="2"/>
      <c r="O583" s="2"/>
      <c r="P583" s="2"/>
      <c r="U583" s="2"/>
      <c r="V583" s="2"/>
      <c r="W583" s="2"/>
      <c r="X583" s="2"/>
      <c r="AC583" s="2"/>
      <c r="AI583" s="2"/>
      <c r="AN583" s="2"/>
      <c r="AO583" s="2"/>
      <c r="AP583" s="2"/>
      <c r="AQ583" s="2"/>
      <c r="AR583" s="2"/>
      <c r="AS583" s="2"/>
    </row>
    <row r="584" spans="5:45" ht="15.75" customHeight="1">
      <c r="E584" s="2"/>
      <c r="F584" s="2"/>
      <c r="G584" s="2"/>
      <c r="M584" s="2"/>
      <c r="N584" s="2"/>
      <c r="O584" s="2"/>
      <c r="P584" s="2"/>
      <c r="U584" s="2"/>
      <c r="V584" s="2"/>
      <c r="W584" s="2"/>
      <c r="X584" s="2"/>
      <c r="AC584" s="2"/>
      <c r="AI584" s="2"/>
      <c r="AN584" s="2"/>
      <c r="AO584" s="2"/>
      <c r="AP584" s="2"/>
      <c r="AQ584" s="2"/>
      <c r="AR584" s="2"/>
      <c r="AS584" s="2"/>
    </row>
    <row r="585" spans="5:45" ht="15.75" customHeight="1">
      <c r="E585" s="2"/>
      <c r="F585" s="2"/>
      <c r="G585" s="2"/>
      <c r="M585" s="2"/>
      <c r="N585" s="2"/>
      <c r="O585" s="2"/>
      <c r="P585" s="2"/>
      <c r="U585" s="2"/>
      <c r="V585" s="2"/>
      <c r="W585" s="2"/>
      <c r="X585" s="2"/>
      <c r="AC585" s="2"/>
      <c r="AI585" s="2"/>
      <c r="AN585" s="2"/>
      <c r="AO585" s="2"/>
      <c r="AP585" s="2"/>
      <c r="AQ585" s="2"/>
      <c r="AR585" s="2"/>
      <c r="AS585" s="2"/>
    </row>
    <row r="586" spans="5:45" ht="15.75" customHeight="1">
      <c r="E586" s="2"/>
      <c r="F586" s="2"/>
      <c r="G586" s="2"/>
      <c r="M586" s="2"/>
      <c r="N586" s="2"/>
      <c r="O586" s="2"/>
      <c r="P586" s="2"/>
      <c r="U586" s="2"/>
      <c r="V586" s="2"/>
      <c r="W586" s="2"/>
      <c r="X586" s="2"/>
      <c r="AC586" s="2"/>
      <c r="AI586" s="2"/>
      <c r="AN586" s="2"/>
      <c r="AO586" s="2"/>
      <c r="AP586" s="2"/>
      <c r="AQ586" s="2"/>
      <c r="AR586" s="2"/>
      <c r="AS586" s="2"/>
    </row>
    <row r="587" spans="5:45" ht="15.75" customHeight="1">
      <c r="E587" s="2"/>
      <c r="F587" s="2"/>
      <c r="G587" s="2"/>
      <c r="M587" s="2"/>
      <c r="N587" s="2"/>
      <c r="O587" s="2"/>
      <c r="P587" s="2"/>
      <c r="U587" s="2"/>
      <c r="V587" s="2"/>
      <c r="W587" s="2"/>
      <c r="X587" s="2"/>
      <c r="AC587" s="2"/>
      <c r="AI587" s="2"/>
      <c r="AN587" s="2"/>
      <c r="AO587" s="2"/>
      <c r="AP587" s="2"/>
      <c r="AQ587" s="2"/>
      <c r="AR587" s="2"/>
      <c r="AS587" s="2"/>
    </row>
    <row r="588" spans="5:45" ht="15.75" customHeight="1">
      <c r="E588" s="2"/>
      <c r="F588" s="2"/>
      <c r="G588" s="2"/>
      <c r="M588" s="2"/>
      <c r="N588" s="2"/>
      <c r="O588" s="2"/>
      <c r="P588" s="2"/>
      <c r="U588" s="2"/>
      <c r="V588" s="2"/>
      <c r="W588" s="2"/>
      <c r="X588" s="2"/>
      <c r="AC588" s="2"/>
      <c r="AI588" s="2"/>
      <c r="AN588" s="2"/>
      <c r="AO588" s="2"/>
      <c r="AP588" s="2"/>
      <c r="AQ588" s="2"/>
      <c r="AR588" s="2"/>
      <c r="AS588" s="2"/>
    </row>
    <row r="589" spans="5:45" ht="15.75" customHeight="1">
      <c r="E589" s="2"/>
      <c r="F589" s="2"/>
      <c r="G589" s="2"/>
      <c r="M589" s="2"/>
      <c r="N589" s="2"/>
      <c r="O589" s="2"/>
      <c r="P589" s="2"/>
      <c r="U589" s="2"/>
      <c r="V589" s="2"/>
      <c r="W589" s="2"/>
      <c r="X589" s="2"/>
      <c r="AC589" s="2"/>
      <c r="AI589" s="2"/>
      <c r="AN589" s="2"/>
      <c r="AO589" s="2"/>
      <c r="AP589" s="2"/>
      <c r="AQ589" s="2"/>
      <c r="AR589" s="2"/>
      <c r="AS589" s="2"/>
    </row>
    <row r="590" spans="5:45" ht="15.75" customHeight="1">
      <c r="E590" s="2"/>
      <c r="F590" s="2"/>
      <c r="G590" s="2"/>
      <c r="M590" s="2"/>
      <c r="N590" s="2"/>
      <c r="O590" s="2"/>
      <c r="P590" s="2"/>
      <c r="U590" s="2"/>
      <c r="V590" s="2"/>
      <c r="W590" s="2"/>
      <c r="X590" s="2"/>
      <c r="AC590" s="2"/>
      <c r="AI590" s="2"/>
      <c r="AN590" s="2"/>
      <c r="AO590" s="2"/>
      <c r="AP590" s="2"/>
      <c r="AQ590" s="2"/>
      <c r="AR590" s="2"/>
      <c r="AS590" s="2"/>
    </row>
    <row r="591" spans="5:45" ht="15.75" customHeight="1">
      <c r="E591" s="2"/>
      <c r="F591" s="2"/>
      <c r="G591" s="2"/>
      <c r="M591" s="2"/>
      <c r="N591" s="2"/>
      <c r="O591" s="2"/>
      <c r="P591" s="2"/>
      <c r="U591" s="2"/>
      <c r="V591" s="2"/>
      <c r="W591" s="2"/>
      <c r="X591" s="2"/>
      <c r="AC591" s="2"/>
      <c r="AI591" s="2"/>
      <c r="AN591" s="2"/>
      <c r="AO591" s="2"/>
      <c r="AP591" s="2"/>
      <c r="AQ591" s="2"/>
      <c r="AR591" s="2"/>
      <c r="AS591" s="2"/>
    </row>
    <row r="592" spans="5:45" ht="15.75" customHeight="1">
      <c r="E592" s="2"/>
      <c r="F592" s="2"/>
      <c r="G592" s="2"/>
      <c r="M592" s="2"/>
      <c r="N592" s="2"/>
      <c r="O592" s="2"/>
      <c r="P592" s="2"/>
      <c r="U592" s="2"/>
      <c r="V592" s="2"/>
      <c r="W592" s="2"/>
      <c r="X592" s="2"/>
      <c r="AC592" s="2"/>
      <c r="AI592" s="2"/>
      <c r="AN592" s="2"/>
      <c r="AO592" s="2"/>
      <c r="AP592" s="2"/>
      <c r="AQ592" s="2"/>
      <c r="AR592" s="2"/>
      <c r="AS592" s="2"/>
    </row>
    <row r="593" spans="5:45" ht="15.75" customHeight="1">
      <c r="E593" s="2"/>
      <c r="F593" s="2"/>
      <c r="G593" s="2"/>
      <c r="M593" s="2"/>
      <c r="N593" s="2"/>
      <c r="O593" s="2"/>
      <c r="P593" s="2"/>
      <c r="U593" s="2"/>
      <c r="V593" s="2"/>
      <c r="W593" s="2"/>
      <c r="X593" s="2"/>
      <c r="AC593" s="2"/>
      <c r="AI593" s="2"/>
      <c r="AN593" s="2"/>
      <c r="AO593" s="2"/>
      <c r="AP593" s="2"/>
      <c r="AQ593" s="2"/>
      <c r="AR593" s="2"/>
      <c r="AS593" s="2"/>
    </row>
    <row r="594" spans="5:45" ht="15.75" customHeight="1">
      <c r="E594" s="2"/>
      <c r="F594" s="2"/>
      <c r="G594" s="2"/>
      <c r="M594" s="2"/>
      <c r="N594" s="2"/>
      <c r="O594" s="2"/>
      <c r="P594" s="2"/>
      <c r="U594" s="2"/>
      <c r="V594" s="2"/>
      <c r="W594" s="2"/>
      <c r="X594" s="2"/>
      <c r="AC594" s="2"/>
      <c r="AI594" s="2"/>
      <c r="AN594" s="2"/>
      <c r="AO594" s="2"/>
      <c r="AP594" s="2"/>
      <c r="AQ594" s="2"/>
      <c r="AR594" s="2"/>
      <c r="AS594" s="2"/>
    </row>
    <row r="595" spans="5:45" ht="15.75" customHeight="1">
      <c r="E595" s="2"/>
      <c r="F595" s="2"/>
      <c r="G595" s="2"/>
      <c r="M595" s="2"/>
      <c r="N595" s="2"/>
      <c r="O595" s="2"/>
      <c r="P595" s="2"/>
      <c r="U595" s="2"/>
      <c r="V595" s="2"/>
      <c r="W595" s="2"/>
      <c r="X595" s="2"/>
      <c r="AC595" s="2"/>
      <c r="AI595" s="2"/>
      <c r="AN595" s="2"/>
      <c r="AO595" s="2"/>
      <c r="AP595" s="2"/>
      <c r="AQ595" s="2"/>
      <c r="AR595" s="2"/>
      <c r="AS595" s="2"/>
    </row>
    <row r="596" spans="5:45" ht="15.75" customHeight="1">
      <c r="E596" s="2"/>
      <c r="F596" s="2"/>
      <c r="G596" s="2"/>
      <c r="M596" s="2"/>
      <c r="N596" s="2"/>
      <c r="O596" s="2"/>
      <c r="P596" s="2"/>
      <c r="U596" s="2"/>
      <c r="V596" s="2"/>
      <c r="W596" s="2"/>
      <c r="X596" s="2"/>
      <c r="AC596" s="2"/>
      <c r="AI596" s="2"/>
      <c r="AN596" s="2"/>
      <c r="AO596" s="2"/>
      <c r="AP596" s="2"/>
      <c r="AQ596" s="2"/>
      <c r="AR596" s="2"/>
      <c r="AS596" s="2"/>
    </row>
    <row r="597" spans="5:45" ht="15.75" customHeight="1">
      <c r="E597" s="2"/>
      <c r="F597" s="2"/>
      <c r="G597" s="2"/>
      <c r="M597" s="2"/>
      <c r="N597" s="2"/>
      <c r="O597" s="2"/>
      <c r="P597" s="2"/>
      <c r="U597" s="2"/>
      <c r="V597" s="2"/>
      <c r="W597" s="2"/>
      <c r="X597" s="2"/>
      <c r="AC597" s="2"/>
      <c r="AI597" s="2"/>
      <c r="AN597" s="2"/>
      <c r="AO597" s="2"/>
      <c r="AP597" s="2"/>
      <c r="AQ597" s="2"/>
      <c r="AR597" s="2"/>
      <c r="AS597" s="2"/>
    </row>
    <row r="598" spans="5:45" ht="15.75" customHeight="1">
      <c r="E598" s="2"/>
      <c r="F598" s="2"/>
      <c r="G598" s="2"/>
      <c r="M598" s="2"/>
      <c r="N598" s="2"/>
      <c r="O598" s="2"/>
      <c r="P598" s="2"/>
      <c r="U598" s="2"/>
      <c r="V598" s="2"/>
      <c r="W598" s="2"/>
      <c r="X598" s="2"/>
      <c r="AC598" s="2"/>
      <c r="AI598" s="2"/>
      <c r="AN598" s="2"/>
      <c r="AO598" s="2"/>
      <c r="AP598" s="2"/>
      <c r="AQ598" s="2"/>
      <c r="AR598" s="2"/>
      <c r="AS598" s="2"/>
    </row>
    <row r="599" spans="5:45" ht="15.75" customHeight="1">
      <c r="E599" s="2"/>
      <c r="F599" s="2"/>
      <c r="G599" s="2"/>
      <c r="M599" s="2"/>
      <c r="N599" s="2"/>
      <c r="O599" s="2"/>
      <c r="P599" s="2"/>
      <c r="U599" s="2"/>
      <c r="V599" s="2"/>
      <c r="W599" s="2"/>
      <c r="X599" s="2"/>
      <c r="AC599" s="2"/>
      <c r="AI599" s="2"/>
      <c r="AN599" s="2"/>
      <c r="AO599" s="2"/>
      <c r="AP599" s="2"/>
      <c r="AQ599" s="2"/>
      <c r="AR599" s="2"/>
      <c r="AS599" s="2"/>
    </row>
    <row r="600" spans="5:45" ht="15.75" customHeight="1">
      <c r="E600" s="2"/>
      <c r="F600" s="2"/>
      <c r="G600" s="2"/>
      <c r="M600" s="2"/>
      <c r="N600" s="2"/>
      <c r="O600" s="2"/>
      <c r="P600" s="2"/>
      <c r="U600" s="2"/>
      <c r="V600" s="2"/>
      <c r="W600" s="2"/>
      <c r="X600" s="2"/>
      <c r="AC600" s="2"/>
      <c r="AI600" s="2"/>
      <c r="AN600" s="2"/>
      <c r="AO600" s="2"/>
      <c r="AP600" s="2"/>
      <c r="AQ600" s="2"/>
      <c r="AR600" s="2"/>
      <c r="AS600" s="2"/>
    </row>
    <row r="601" spans="5:45" ht="15.75" customHeight="1">
      <c r="E601" s="2"/>
      <c r="F601" s="2"/>
      <c r="G601" s="2"/>
      <c r="M601" s="2"/>
      <c r="N601" s="2"/>
      <c r="O601" s="2"/>
      <c r="P601" s="2"/>
      <c r="U601" s="2"/>
      <c r="V601" s="2"/>
      <c r="W601" s="2"/>
      <c r="X601" s="2"/>
      <c r="AC601" s="2"/>
      <c r="AI601" s="2"/>
      <c r="AN601" s="2"/>
      <c r="AO601" s="2"/>
      <c r="AP601" s="2"/>
      <c r="AQ601" s="2"/>
      <c r="AR601" s="2"/>
      <c r="AS601" s="2"/>
    </row>
    <row r="602" spans="5:45" ht="15.75" customHeight="1">
      <c r="E602" s="2"/>
      <c r="F602" s="2"/>
      <c r="G602" s="2"/>
      <c r="M602" s="2"/>
      <c r="N602" s="2"/>
      <c r="O602" s="2"/>
      <c r="P602" s="2"/>
      <c r="U602" s="2"/>
      <c r="V602" s="2"/>
      <c r="W602" s="2"/>
      <c r="X602" s="2"/>
      <c r="AC602" s="2"/>
      <c r="AI602" s="2"/>
      <c r="AN602" s="2"/>
      <c r="AO602" s="2"/>
      <c r="AP602" s="2"/>
      <c r="AQ602" s="2"/>
      <c r="AR602" s="2"/>
      <c r="AS602" s="2"/>
    </row>
    <row r="603" spans="5:45" ht="15.75" customHeight="1">
      <c r="E603" s="2"/>
      <c r="F603" s="2"/>
      <c r="G603" s="2"/>
      <c r="M603" s="2"/>
      <c r="N603" s="2"/>
      <c r="O603" s="2"/>
      <c r="P603" s="2"/>
      <c r="U603" s="2"/>
      <c r="V603" s="2"/>
      <c r="W603" s="2"/>
      <c r="X603" s="2"/>
      <c r="AC603" s="2"/>
      <c r="AI603" s="2"/>
      <c r="AN603" s="2"/>
      <c r="AO603" s="2"/>
      <c r="AP603" s="2"/>
      <c r="AQ603" s="2"/>
      <c r="AR603" s="2"/>
      <c r="AS603" s="2"/>
    </row>
    <row r="604" spans="5:45" ht="15.75" customHeight="1">
      <c r="E604" s="2"/>
      <c r="F604" s="2"/>
      <c r="G604" s="2"/>
      <c r="M604" s="2"/>
      <c r="N604" s="2"/>
      <c r="O604" s="2"/>
      <c r="P604" s="2"/>
      <c r="U604" s="2"/>
      <c r="V604" s="2"/>
      <c r="W604" s="2"/>
      <c r="X604" s="2"/>
      <c r="AC604" s="2"/>
      <c r="AI604" s="2"/>
      <c r="AN604" s="2"/>
      <c r="AO604" s="2"/>
      <c r="AP604" s="2"/>
      <c r="AQ604" s="2"/>
      <c r="AR604" s="2"/>
      <c r="AS604" s="2"/>
    </row>
    <row r="605" spans="5:45" ht="15.75" customHeight="1">
      <c r="E605" s="2"/>
      <c r="F605" s="2"/>
      <c r="G605" s="2"/>
      <c r="M605" s="2"/>
      <c r="N605" s="2"/>
      <c r="O605" s="2"/>
      <c r="P605" s="2"/>
      <c r="U605" s="2"/>
      <c r="V605" s="2"/>
      <c r="W605" s="2"/>
      <c r="X605" s="2"/>
      <c r="AC605" s="2"/>
      <c r="AI605" s="2"/>
      <c r="AN605" s="2"/>
      <c r="AO605" s="2"/>
      <c r="AP605" s="2"/>
      <c r="AQ605" s="2"/>
      <c r="AR605" s="2"/>
      <c r="AS605" s="2"/>
    </row>
    <row r="606" spans="5:45" ht="15.75" customHeight="1">
      <c r="E606" s="2"/>
      <c r="F606" s="2"/>
      <c r="G606" s="2"/>
      <c r="M606" s="2"/>
      <c r="N606" s="2"/>
      <c r="O606" s="2"/>
      <c r="P606" s="2"/>
      <c r="U606" s="2"/>
      <c r="V606" s="2"/>
      <c r="W606" s="2"/>
      <c r="X606" s="2"/>
      <c r="AC606" s="2"/>
      <c r="AI606" s="2"/>
      <c r="AN606" s="2"/>
      <c r="AO606" s="2"/>
      <c r="AP606" s="2"/>
      <c r="AQ606" s="2"/>
      <c r="AR606" s="2"/>
      <c r="AS606" s="2"/>
    </row>
    <row r="607" spans="5:45" ht="15.75" customHeight="1">
      <c r="E607" s="2"/>
      <c r="F607" s="2"/>
      <c r="G607" s="2"/>
      <c r="M607" s="2"/>
      <c r="N607" s="2"/>
      <c r="O607" s="2"/>
      <c r="P607" s="2"/>
      <c r="U607" s="2"/>
      <c r="V607" s="2"/>
      <c r="W607" s="2"/>
      <c r="X607" s="2"/>
      <c r="AC607" s="2"/>
      <c r="AI607" s="2"/>
      <c r="AN607" s="2"/>
      <c r="AO607" s="2"/>
      <c r="AP607" s="2"/>
      <c r="AQ607" s="2"/>
      <c r="AR607" s="2"/>
      <c r="AS607" s="2"/>
    </row>
    <row r="608" spans="5:45" ht="15.75" customHeight="1">
      <c r="E608" s="2"/>
      <c r="F608" s="2"/>
      <c r="G608" s="2"/>
      <c r="M608" s="2"/>
      <c r="N608" s="2"/>
      <c r="O608" s="2"/>
      <c r="P608" s="2"/>
      <c r="U608" s="2"/>
      <c r="V608" s="2"/>
      <c r="W608" s="2"/>
      <c r="X608" s="2"/>
      <c r="AC608" s="2"/>
      <c r="AI608" s="2"/>
      <c r="AN608" s="2"/>
      <c r="AO608" s="2"/>
      <c r="AP608" s="2"/>
      <c r="AQ608" s="2"/>
      <c r="AR608" s="2"/>
      <c r="AS608" s="2"/>
    </row>
    <row r="609" spans="5:45" ht="15.75" customHeight="1">
      <c r="E609" s="2"/>
      <c r="F609" s="2"/>
      <c r="G609" s="2"/>
      <c r="M609" s="2"/>
      <c r="N609" s="2"/>
      <c r="O609" s="2"/>
      <c r="P609" s="2"/>
      <c r="U609" s="2"/>
      <c r="V609" s="2"/>
      <c r="W609" s="2"/>
      <c r="X609" s="2"/>
      <c r="AC609" s="2"/>
      <c r="AI609" s="2"/>
      <c r="AN609" s="2"/>
      <c r="AO609" s="2"/>
      <c r="AP609" s="2"/>
      <c r="AQ609" s="2"/>
      <c r="AR609" s="2"/>
      <c r="AS609" s="2"/>
    </row>
    <row r="610" spans="5:45" ht="15.75" customHeight="1">
      <c r="E610" s="2"/>
      <c r="F610" s="2"/>
      <c r="G610" s="2"/>
      <c r="M610" s="2"/>
      <c r="N610" s="2"/>
      <c r="O610" s="2"/>
      <c r="P610" s="2"/>
      <c r="U610" s="2"/>
      <c r="V610" s="2"/>
      <c r="W610" s="2"/>
      <c r="X610" s="2"/>
      <c r="AC610" s="2"/>
      <c r="AI610" s="2"/>
      <c r="AN610" s="2"/>
      <c r="AO610" s="2"/>
      <c r="AP610" s="2"/>
      <c r="AQ610" s="2"/>
      <c r="AR610" s="2"/>
      <c r="AS610" s="2"/>
    </row>
    <row r="611" spans="5:45" ht="15.75" customHeight="1">
      <c r="E611" s="2"/>
      <c r="F611" s="2"/>
      <c r="G611" s="2"/>
      <c r="M611" s="2"/>
      <c r="N611" s="2"/>
      <c r="O611" s="2"/>
      <c r="P611" s="2"/>
      <c r="U611" s="2"/>
      <c r="V611" s="2"/>
      <c r="W611" s="2"/>
      <c r="X611" s="2"/>
      <c r="AC611" s="2"/>
      <c r="AI611" s="2"/>
      <c r="AN611" s="2"/>
      <c r="AO611" s="2"/>
      <c r="AP611" s="2"/>
      <c r="AQ611" s="2"/>
      <c r="AR611" s="2"/>
      <c r="AS611" s="2"/>
    </row>
    <row r="612" spans="5:45" ht="15.75" customHeight="1">
      <c r="E612" s="2"/>
      <c r="F612" s="2"/>
      <c r="G612" s="2"/>
      <c r="M612" s="2"/>
      <c r="N612" s="2"/>
      <c r="O612" s="2"/>
      <c r="P612" s="2"/>
      <c r="U612" s="2"/>
      <c r="V612" s="2"/>
      <c r="W612" s="2"/>
      <c r="X612" s="2"/>
      <c r="AC612" s="2"/>
      <c r="AI612" s="2"/>
      <c r="AN612" s="2"/>
      <c r="AO612" s="2"/>
      <c r="AP612" s="2"/>
      <c r="AQ612" s="2"/>
      <c r="AR612" s="2"/>
      <c r="AS612" s="2"/>
    </row>
    <row r="613" spans="5:45" ht="15.75" customHeight="1">
      <c r="E613" s="2"/>
      <c r="F613" s="2"/>
      <c r="G613" s="2"/>
      <c r="M613" s="2"/>
      <c r="N613" s="2"/>
      <c r="O613" s="2"/>
      <c r="P613" s="2"/>
      <c r="U613" s="2"/>
      <c r="V613" s="2"/>
      <c r="W613" s="2"/>
      <c r="X613" s="2"/>
      <c r="AC613" s="2"/>
      <c r="AI613" s="2"/>
      <c r="AN613" s="2"/>
      <c r="AO613" s="2"/>
      <c r="AP613" s="2"/>
      <c r="AQ613" s="2"/>
      <c r="AR613" s="2"/>
      <c r="AS613" s="2"/>
    </row>
    <row r="614" spans="5:45" ht="15.75" customHeight="1">
      <c r="E614" s="2"/>
      <c r="F614" s="2"/>
      <c r="G614" s="2"/>
      <c r="M614" s="2"/>
      <c r="N614" s="2"/>
      <c r="O614" s="2"/>
      <c r="P614" s="2"/>
      <c r="U614" s="2"/>
      <c r="V614" s="2"/>
      <c r="W614" s="2"/>
      <c r="X614" s="2"/>
      <c r="AC614" s="2"/>
      <c r="AI614" s="2"/>
      <c r="AN614" s="2"/>
      <c r="AO614" s="2"/>
      <c r="AP614" s="2"/>
      <c r="AQ614" s="2"/>
      <c r="AR614" s="2"/>
      <c r="AS614" s="2"/>
    </row>
    <row r="615" spans="5:45" ht="15.75" customHeight="1">
      <c r="E615" s="2"/>
      <c r="F615" s="2"/>
      <c r="G615" s="2"/>
      <c r="M615" s="2"/>
      <c r="N615" s="2"/>
      <c r="O615" s="2"/>
      <c r="P615" s="2"/>
      <c r="U615" s="2"/>
      <c r="V615" s="2"/>
      <c r="W615" s="2"/>
      <c r="X615" s="2"/>
      <c r="AC615" s="2"/>
      <c r="AI615" s="2"/>
      <c r="AN615" s="2"/>
      <c r="AO615" s="2"/>
      <c r="AP615" s="2"/>
      <c r="AQ615" s="2"/>
      <c r="AR615" s="2"/>
      <c r="AS615" s="2"/>
    </row>
    <row r="616" spans="5:45" ht="15.75" customHeight="1">
      <c r="E616" s="2"/>
      <c r="F616" s="2"/>
      <c r="G616" s="2"/>
      <c r="M616" s="2"/>
      <c r="N616" s="2"/>
      <c r="O616" s="2"/>
      <c r="P616" s="2"/>
      <c r="U616" s="2"/>
      <c r="V616" s="2"/>
      <c r="W616" s="2"/>
      <c r="X616" s="2"/>
      <c r="AC616" s="2"/>
      <c r="AI616" s="2"/>
      <c r="AN616" s="2"/>
      <c r="AO616" s="2"/>
      <c r="AP616" s="2"/>
      <c r="AQ616" s="2"/>
      <c r="AR616" s="2"/>
      <c r="AS616" s="2"/>
    </row>
    <row r="617" spans="5:45" ht="15.75" customHeight="1">
      <c r="E617" s="2"/>
      <c r="F617" s="2"/>
      <c r="G617" s="2"/>
      <c r="M617" s="2"/>
      <c r="N617" s="2"/>
      <c r="O617" s="2"/>
      <c r="P617" s="2"/>
      <c r="U617" s="2"/>
      <c r="V617" s="2"/>
      <c r="W617" s="2"/>
      <c r="X617" s="2"/>
      <c r="AC617" s="2"/>
      <c r="AI617" s="2"/>
      <c r="AN617" s="2"/>
      <c r="AO617" s="2"/>
      <c r="AP617" s="2"/>
      <c r="AQ617" s="2"/>
      <c r="AR617" s="2"/>
      <c r="AS617" s="2"/>
    </row>
    <row r="618" spans="5:45" ht="15.75" customHeight="1">
      <c r="E618" s="2"/>
      <c r="F618" s="2"/>
      <c r="G618" s="2"/>
      <c r="M618" s="2"/>
      <c r="N618" s="2"/>
      <c r="O618" s="2"/>
      <c r="P618" s="2"/>
      <c r="U618" s="2"/>
      <c r="V618" s="2"/>
      <c r="W618" s="2"/>
      <c r="X618" s="2"/>
      <c r="AC618" s="2"/>
      <c r="AI618" s="2"/>
      <c r="AN618" s="2"/>
      <c r="AO618" s="2"/>
      <c r="AP618" s="2"/>
      <c r="AQ618" s="2"/>
      <c r="AR618" s="2"/>
      <c r="AS618" s="2"/>
    </row>
    <row r="619" spans="5:45" ht="15.75" customHeight="1">
      <c r="E619" s="2"/>
      <c r="F619" s="2"/>
      <c r="G619" s="2"/>
      <c r="M619" s="2"/>
      <c r="N619" s="2"/>
      <c r="O619" s="2"/>
      <c r="P619" s="2"/>
      <c r="U619" s="2"/>
      <c r="V619" s="2"/>
      <c r="W619" s="2"/>
      <c r="X619" s="2"/>
      <c r="AC619" s="2"/>
      <c r="AI619" s="2"/>
      <c r="AN619" s="2"/>
      <c r="AO619" s="2"/>
      <c r="AP619" s="2"/>
      <c r="AQ619" s="2"/>
      <c r="AR619" s="2"/>
      <c r="AS619" s="2"/>
    </row>
    <row r="620" spans="5:45" ht="15.75" customHeight="1">
      <c r="E620" s="2"/>
      <c r="F620" s="2"/>
      <c r="G620" s="2"/>
      <c r="M620" s="2"/>
      <c r="N620" s="2"/>
      <c r="O620" s="2"/>
      <c r="P620" s="2"/>
      <c r="U620" s="2"/>
      <c r="V620" s="2"/>
      <c r="W620" s="2"/>
      <c r="X620" s="2"/>
      <c r="AC620" s="2"/>
      <c r="AI620" s="2"/>
      <c r="AN620" s="2"/>
      <c r="AO620" s="2"/>
      <c r="AP620" s="2"/>
      <c r="AQ620" s="2"/>
      <c r="AR620" s="2"/>
      <c r="AS620" s="2"/>
    </row>
    <row r="621" spans="5:45" ht="15.75" customHeight="1">
      <c r="E621" s="2"/>
      <c r="F621" s="2"/>
      <c r="G621" s="2"/>
      <c r="M621" s="2"/>
      <c r="N621" s="2"/>
      <c r="O621" s="2"/>
      <c r="P621" s="2"/>
      <c r="U621" s="2"/>
      <c r="V621" s="2"/>
      <c r="W621" s="2"/>
      <c r="X621" s="2"/>
      <c r="AC621" s="2"/>
      <c r="AI621" s="2"/>
      <c r="AN621" s="2"/>
      <c r="AO621" s="2"/>
      <c r="AP621" s="2"/>
      <c r="AQ621" s="2"/>
      <c r="AR621" s="2"/>
      <c r="AS621" s="2"/>
    </row>
    <row r="622" spans="5:45" ht="15.75" customHeight="1">
      <c r="E622" s="2"/>
      <c r="F622" s="2"/>
      <c r="G622" s="2"/>
      <c r="M622" s="2"/>
      <c r="N622" s="2"/>
      <c r="O622" s="2"/>
      <c r="P622" s="2"/>
      <c r="U622" s="2"/>
      <c r="V622" s="2"/>
      <c r="W622" s="2"/>
      <c r="X622" s="2"/>
      <c r="AC622" s="2"/>
      <c r="AI622" s="2"/>
      <c r="AN622" s="2"/>
      <c r="AO622" s="2"/>
      <c r="AP622" s="2"/>
      <c r="AQ622" s="2"/>
      <c r="AR622" s="2"/>
      <c r="AS622" s="2"/>
    </row>
    <row r="623" spans="5:45" ht="15.75" customHeight="1">
      <c r="E623" s="2"/>
      <c r="F623" s="2"/>
      <c r="G623" s="2"/>
      <c r="M623" s="2"/>
      <c r="N623" s="2"/>
      <c r="O623" s="2"/>
      <c r="P623" s="2"/>
      <c r="U623" s="2"/>
      <c r="V623" s="2"/>
      <c r="W623" s="2"/>
      <c r="X623" s="2"/>
      <c r="AC623" s="2"/>
      <c r="AI623" s="2"/>
      <c r="AN623" s="2"/>
      <c r="AO623" s="2"/>
      <c r="AP623" s="2"/>
      <c r="AQ623" s="2"/>
      <c r="AR623" s="2"/>
      <c r="AS623" s="2"/>
    </row>
    <row r="624" spans="5:45" ht="15.75" customHeight="1">
      <c r="E624" s="2"/>
      <c r="F624" s="2"/>
      <c r="G624" s="2"/>
      <c r="M624" s="2"/>
      <c r="N624" s="2"/>
      <c r="O624" s="2"/>
      <c r="P624" s="2"/>
      <c r="U624" s="2"/>
      <c r="V624" s="2"/>
      <c r="W624" s="2"/>
      <c r="X624" s="2"/>
      <c r="AC624" s="2"/>
      <c r="AI624" s="2"/>
      <c r="AN624" s="2"/>
      <c r="AO624" s="2"/>
      <c r="AP624" s="2"/>
      <c r="AQ624" s="2"/>
      <c r="AR624" s="2"/>
      <c r="AS624" s="2"/>
    </row>
    <row r="625" spans="5:45" ht="15.75" customHeight="1">
      <c r="E625" s="2"/>
      <c r="F625" s="2"/>
      <c r="G625" s="2"/>
      <c r="M625" s="2"/>
      <c r="N625" s="2"/>
      <c r="O625" s="2"/>
      <c r="P625" s="2"/>
      <c r="U625" s="2"/>
      <c r="V625" s="2"/>
      <c r="W625" s="2"/>
      <c r="X625" s="2"/>
      <c r="AC625" s="2"/>
      <c r="AI625" s="2"/>
      <c r="AN625" s="2"/>
      <c r="AO625" s="2"/>
      <c r="AP625" s="2"/>
      <c r="AQ625" s="2"/>
      <c r="AR625" s="2"/>
      <c r="AS625" s="2"/>
    </row>
    <row r="626" spans="5:45" ht="15.75" customHeight="1">
      <c r="E626" s="2"/>
      <c r="F626" s="2"/>
      <c r="G626" s="2"/>
      <c r="M626" s="2"/>
      <c r="N626" s="2"/>
      <c r="O626" s="2"/>
      <c r="P626" s="2"/>
      <c r="U626" s="2"/>
      <c r="V626" s="2"/>
      <c r="W626" s="2"/>
      <c r="X626" s="2"/>
      <c r="AC626" s="2"/>
      <c r="AI626" s="2"/>
      <c r="AN626" s="2"/>
      <c r="AO626" s="2"/>
      <c r="AP626" s="2"/>
      <c r="AQ626" s="2"/>
      <c r="AR626" s="2"/>
      <c r="AS626" s="2"/>
    </row>
    <row r="627" spans="5:45" ht="15.75" customHeight="1">
      <c r="E627" s="2"/>
      <c r="F627" s="2"/>
      <c r="G627" s="2"/>
      <c r="M627" s="2"/>
      <c r="N627" s="2"/>
      <c r="O627" s="2"/>
      <c r="P627" s="2"/>
      <c r="U627" s="2"/>
      <c r="V627" s="2"/>
      <c r="W627" s="2"/>
      <c r="X627" s="2"/>
      <c r="AC627" s="2"/>
      <c r="AI627" s="2"/>
      <c r="AN627" s="2"/>
      <c r="AO627" s="2"/>
      <c r="AP627" s="2"/>
      <c r="AQ627" s="2"/>
      <c r="AR627" s="2"/>
      <c r="AS627" s="2"/>
    </row>
    <row r="628" spans="5:45" ht="15.75" customHeight="1">
      <c r="E628" s="2"/>
      <c r="F628" s="2"/>
      <c r="G628" s="2"/>
      <c r="M628" s="2"/>
      <c r="N628" s="2"/>
      <c r="O628" s="2"/>
      <c r="P628" s="2"/>
      <c r="U628" s="2"/>
      <c r="V628" s="2"/>
      <c r="W628" s="2"/>
      <c r="X628" s="2"/>
      <c r="AC628" s="2"/>
      <c r="AI628" s="2"/>
      <c r="AN628" s="2"/>
      <c r="AO628" s="2"/>
      <c r="AP628" s="2"/>
      <c r="AQ628" s="2"/>
      <c r="AR628" s="2"/>
      <c r="AS628" s="2"/>
    </row>
    <row r="629" spans="5:45" ht="15.75" customHeight="1">
      <c r="E629" s="2"/>
      <c r="F629" s="2"/>
      <c r="G629" s="2"/>
      <c r="M629" s="2"/>
      <c r="N629" s="2"/>
      <c r="O629" s="2"/>
      <c r="P629" s="2"/>
      <c r="U629" s="2"/>
      <c r="V629" s="2"/>
      <c r="W629" s="2"/>
      <c r="X629" s="2"/>
      <c r="AC629" s="2"/>
      <c r="AI629" s="2"/>
      <c r="AN629" s="2"/>
      <c r="AO629" s="2"/>
      <c r="AP629" s="2"/>
      <c r="AQ629" s="2"/>
      <c r="AR629" s="2"/>
      <c r="AS629" s="2"/>
    </row>
    <row r="630" spans="5:45" ht="15.75" customHeight="1">
      <c r="E630" s="2"/>
      <c r="F630" s="2"/>
      <c r="G630" s="2"/>
      <c r="M630" s="2"/>
      <c r="N630" s="2"/>
      <c r="O630" s="2"/>
      <c r="P630" s="2"/>
      <c r="U630" s="2"/>
      <c r="V630" s="2"/>
      <c r="W630" s="2"/>
      <c r="X630" s="2"/>
      <c r="AC630" s="2"/>
      <c r="AI630" s="2"/>
      <c r="AN630" s="2"/>
      <c r="AO630" s="2"/>
      <c r="AP630" s="2"/>
      <c r="AQ630" s="2"/>
      <c r="AR630" s="2"/>
      <c r="AS630" s="2"/>
    </row>
    <row r="631" spans="5:45" ht="15.75" customHeight="1">
      <c r="E631" s="2"/>
      <c r="F631" s="2"/>
      <c r="G631" s="2"/>
      <c r="M631" s="2"/>
      <c r="N631" s="2"/>
      <c r="O631" s="2"/>
      <c r="P631" s="2"/>
      <c r="U631" s="2"/>
      <c r="V631" s="2"/>
      <c r="W631" s="2"/>
      <c r="X631" s="2"/>
      <c r="AC631" s="2"/>
      <c r="AI631" s="2"/>
      <c r="AN631" s="2"/>
      <c r="AO631" s="2"/>
      <c r="AP631" s="2"/>
      <c r="AQ631" s="2"/>
      <c r="AR631" s="2"/>
      <c r="AS631" s="2"/>
    </row>
    <row r="632" spans="5:45" ht="15.75" customHeight="1">
      <c r="E632" s="2"/>
      <c r="F632" s="2"/>
      <c r="G632" s="2"/>
      <c r="M632" s="2"/>
      <c r="N632" s="2"/>
      <c r="O632" s="2"/>
      <c r="P632" s="2"/>
      <c r="U632" s="2"/>
      <c r="V632" s="2"/>
      <c r="W632" s="2"/>
      <c r="X632" s="2"/>
      <c r="AC632" s="2"/>
      <c r="AI632" s="2"/>
      <c r="AN632" s="2"/>
      <c r="AO632" s="2"/>
      <c r="AP632" s="2"/>
      <c r="AQ632" s="2"/>
      <c r="AR632" s="2"/>
      <c r="AS632" s="2"/>
    </row>
    <row r="633" spans="5:45" ht="15.75" customHeight="1">
      <c r="E633" s="2"/>
      <c r="F633" s="2"/>
      <c r="G633" s="2"/>
      <c r="M633" s="2"/>
      <c r="N633" s="2"/>
      <c r="O633" s="2"/>
      <c r="P633" s="2"/>
      <c r="U633" s="2"/>
      <c r="V633" s="2"/>
      <c r="W633" s="2"/>
      <c r="X633" s="2"/>
      <c r="AC633" s="2"/>
      <c r="AI633" s="2"/>
      <c r="AN633" s="2"/>
      <c r="AO633" s="2"/>
      <c r="AP633" s="2"/>
      <c r="AQ633" s="2"/>
      <c r="AR633" s="2"/>
      <c r="AS633" s="2"/>
    </row>
    <row r="634" spans="5:45" ht="15.75" customHeight="1">
      <c r="E634" s="2"/>
      <c r="F634" s="2"/>
      <c r="G634" s="2"/>
      <c r="M634" s="2"/>
      <c r="N634" s="2"/>
      <c r="O634" s="2"/>
      <c r="P634" s="2"/>
      <c r="U634" s="2"/>
      <c r="V634" s="2"/>
      <c r="W634" s="2"/>
      <c r="X634" s="2"/>
      <c r="AC634" s="2"/>
      <c r="AI634" s="2"/>
      <c r="AN634" s="2"/>
      <c r="AO634" s="2"/>
      <c r="AP634" s="2"/>
      <c r="AQ634" s="2"/>
      <c r="AR634" s="2"/>
      <c r="AS634" s="2"/>
    </row>
    <row r="635" spans="5:45" ht="15.75" customHeight="1">
      <c r="E635" s="2"/>
      <c r="F635" s="2"/>
      <c r="G635" s="2"/>
      <c r="M635" s="2"/>
      <c r="N635" s="2"/>
      <c r="O635" s="2"/>
      <c r="P635" s="2"/>
      <c r="U635" s="2"/>
      <c r="V635" s="2"/>
      <c r="W635" s="2"/>
      <c r="X635" s="2"/>
      <c r="AC635" s="2"/>
      <c r="AI635" s="2"/>
      <c r="AN635" s="2"/>
      <c r="AO635" s="2"/>
      <c r="AP635" s="2"/>
      <c r="AQ635" s="2"/>
      <c r="AR635" s="2"/>
      <c r="AS635" s="2"/>
    </row>
    <row r="636" spans="5:45" ht="15.75" customHeight="1">
      <c r="E636" s="2"/>
      <c r="F636" s="2"/>
      <c r="G636" s="2"/>
      <c r="M636" s="2"/>
      <c r="N636" s="2"/>
      <c r="O636" s="2"/>
      <c r="P636" s="2"/>
      <c r="U636" s="2"/>
      <c r="V636" s="2"/>
      <c r="W636" s="2"/>
      <c r="X636" s="2"/>
      <c r="AC636" s="2"/>
      <c r="AI636" s="2"/>
      <c r="AN636" s="2"/>
      <c r="AO636" s="2"/>
      <c r="AP636" s="2"/>
      <c r="AQ636" s="2"/>
      <c r="AR636" s="2"/>
      <c r="AS636" s="2"/>
    </row>
    <row r="637" spans="5:45" ht="15.75" customHeight="1">
      <c r="E637" s="2"/>
      <c r="F637" s="2"/>
      <c r="G637" s="2"/>
      <c r="M637" s="2"/>
      <c r="N637" s="2"/>
      <c r="O637" s="2"/>
      <c r="P637" s="2"/>
      <c r="U637" s="2"/>
      <c r="V637" s="2"/>
      <c r="W637" s="2"/>
      <c r="X637" s="2"/>
      <c r="AC637" s="2"/>
      <c r="AI637" s="2"/>
      <c r="AN637" s="2"/>
      <c r="AO637" s="2"/>
      <c r="AP637" s="2"/>
      <c r="AQ637" s="2"/>
      <c r="AR637" s="2"/>
      <c r="AS637" s="2"/>
    </row>
    <row r="638" spans="5:45" ht="15.75" customHeight="1">
      <c r="E638" s="2"/>
      <c r="F638" s="2"/>
      <c r="G638" s="2"/>
      <c r="M638" s="2"/>
      <c r="N638" s="2"/>
      <c r="O638" s="2"/>
      <c r="P638" s="2"/>
      <c r="U638" s="2"/>
      <c r="V638" s="2"/>
      <c r="W638" s="2"/>
      <c r="X638" s="2"/>
      <c r="AC638" s="2"/>
      <c r="AI638" s="2"/>
      <c r="AN638" s="2"/>
      <c r="AO638" s="2"/>
      <c r="AP638" s="2"/>
      <c r="AQ638" s="2"/>
      <c r="AR638" s="2"/>
      <c r="AS638" s="2"/>
    </row>
    <row r="639" spans="5:45" ht="15.75" customHeight="1">
      <c r="E639" s="2"/>
      <c r="F639" s="2"/>
      <c r="G639" s="2"/>
      <c r="M639" s="2"/>
      <c r="N639" s="2"/>
      <c r="O639" s="2"/>
      <c r="P639" s="2"/>
      <c r="U639" s="2"/>
      <c r="V639" s="2"/>
      <c r="W639" s="2"/>
      <c r="X639" s="2"/>
      <c r="AC639" s="2"/>
      <c r="AI639" s="2"/>
      <c r="AN639" s="2"/>
      <c r="AO639" s="2"/>
      <c r="AP639" s="2"/>
      <c r="AQ639" s="2"/>
      <c r="AR639" s="2"/>
      <c r="AS639" s="2"/>
    </row>
    <row r="640" spans="5:45" ht="15.75" customHeight="1">
      <c r="E640" s="2"/>
      <c r="F640" s="2"/>
      <c r="G640" s="2"/>
      <c r="M640" s="2"/>
      <c r="N640" s="2"/>
      <c r="O640" s="2"/>
      <c r="P640" s="2"/>
      <c r="U640" s="2"/>
      <c r="V640" s="2"/>
      <c r="W640" s="2"/>
      <c r="X640" s="2"/>
      <c r="AC640" s="2"/>
      <c r="AI640" s="2"/>
      <c r="AN640" s="2"/>
      <c r="AO640" s="2"/>
      <c r="AP640" s="2"/>
      <c r="AQ640" s="2"/>
      <c r="AR640" s="2"/>
      <c r="AS640" s="2"/>
    </row>
    <row r="641" spans="5:45" ht="15.75" customHeight="1">
      <c r="E641" s="2"/>
      <c r="F641" s="2"/>
      <c r="G641" s="2"/>
      <c r="M641" s="2"/>
      <c r="N641" s="2"/>
      <c r="O641" s="2"/>
      <c r="P641" s="2"/>
      <c r="U641" s="2"/>
      <c r="V641" s="2"/>
      <c r="W641" s="2"/>
      <c r="X641" s="2"/>
      <c r="AC641" s="2"/>
      <c r="AI641" s="2"/>
      <c r="AN641" s="2"/>
      <c r="AO641" s="2"/>
      <c r="AP641" s="2"/>
      <c r="AQ641" s="2"/>
      <c r="AR641" s="2"/>
      <c r="AS641" s="2"/>
    </row>
    <row r="642" spans="5:45" ht="15.75" customHeight="1">
      <c r="E642" s="2"/>
      <c r="F642" s="2"/>
      <c r="G642" s="2"/>
      <c r="M642" s="2"/>
      <c r="N642" s="2"/>
      <c r="O642" s="2"/>
      <c r="P642" s="2"/>
      <c r="U642" s="2"/>
      <c r="V642" s="2"/>
      <c r="W642" s="2"/>
      <c r="X642" s="2"/>
      <c r="AC642" s="2"/>
      <c r="AI642" s="2"/>
      <c r="AN642" s="2"/>
      <c r="AO642" s="2"/>
      <c r="AP642" s="2"/>
      <c r="AQ642" s="2"/>
      <c r="AR642" s="2"/>
      <c r="AS642" s="2"/>
    </row>
    <row r="643" spans="5:45" ht="15.75" customHeight="1">
      <c r="E643" s="2"/>
      <c r="F643" s="2"/>
      <c r="G643" s="2"/>
      <c r="M643" s="2"/>
      <c r="N643" s="2"/>
      <c r="O643" s="2"/>
      <c r="P643" s="2"/>
      <c r="U643" s="2"/>
      <c r="V643" s="2"/>
      <c r="W643" s="2"/>
      <c r="X643" s="2"/>
      <c r="AC643" s="2"/>
      <c r="AI643" s="2"/>
      <c r="AN643" s="2"/>
      <c r="AO643" s="2"/>
      <c r="AP643" s="2"/>
      <c r="AQ643" s="2"/>
      <c r="AR643" s="2"/>
      <c r="AS643" s="2"/>
    </row>
    <row r="644" spans="5:45" ht="15.75" customHeight="1">
      <c r="E644" s="2"/>
      <c r="F644" s="2"/>
      <c r="G644" s="2"/>
      <c r="M644" s="2"/>
      <c r="N644" s="2"/>
      <c r="O644" s="2"/>
      <c r="P644" s="2"/>
      <c r="U644" s="2"/>
      <c r="V644" s="2"/>
      <c r="W644" s="2"/>
      <c r="X644" s="2"/>
      <c r="AC644" s="2"/>
      <c r="AI644" s="2"/>
      <c r="AN644" s="2"/>
      <c r="AO644" s="2"/>
      <c r="AP644" s="2"/>
      <c r="AQ644" s="2"/>
      <c r="AR644" s="2"/>
      <c r="AS644" s="2"/>
    </row>
    <row r="645" spans="5:45" ht="15.75" customHeight="1">
      <c r="E645" s="2"/>
      <c r="F645" s="2"/>
      <c r="G645" s="2"/>
      <c r="M645" s="2"/>
      <c r="N645" s="2"/>
      <c r="O645" s="2"/>
      <c r="P645" s="2"/>
      <c r="U645" s="2"/>
      <c r="V645" s="2"/>
      <c r="W645" s="2"/>
      <c r="X645" s="2"/>
      <c r="AC645" s="2"/>
      <c r="AI645" s="2"/>
      <c r="AN645" s="2"/>
      <c r="AO645" s="2"/>
      <c r="AP645" s="2"/>
      <c r="AQ645" s="2"/>
      <c r="AR645" s="2"/>
      <c r="AS645" s="2"/>
    </row>
    <row r="646" spans="5:45" ht="15.75" customHeight="1">
      <c r="E646" s="2"/>
      <c r="F646" s="2"/>
      <c r="G646" s="2"/>
      <c r="M646" s="2"/>
      <c r="N646" s="2"/>
      <c r="O646" s="2"/>
      <c r="P646" s="2"/>
      <c r="U646" s="2"/>
      <c r="V646" s="2"/>
      <c r="W646" s="2"/>
      <c r="X646" s="2"/>
      <c r="AC646" s="2"/>
      <c r="AI646" s="2"/>
      <c r="AN646" s="2"/>
      <c r="AO646" s="2"/>
      <c r="AP646" s="2"/>
      <c r="AQ646" s="2"/>
      <c r="AR646" s="2"/>
      <c r="AS646" s="2"/>
    </row>
    <row r="647" spans="5:45" ht="15.75" customHeight="1">
      <c r="E647" s="2"/>
      <c r="F647" s="2"/>
      <c r="G647" s="2"/>
      <c r="M647" s="2"/>
      <c r="N647" s="2"/>
      <c r="O647" s="2"/>
      <c r="P647" s="2"/>
      <c r="U647" s="2"/>
      <c r="V647" s="2"/>
      <c r="W647" s="2"/>
      <c r="X647" s="2"/>
      <c r="AC647" s="2"/>
      <c r="AI647" s="2"/>
      <c r="AN647" s="2"/>
      <c r="AO647" s="2"/>
      <c r="AP647" s="2"/>
      <c r="AQ647" s="2"/>
      <c r="AR647" s="2"/>
      <c r="AS647" s="2"/>
    </row>
    <row r="648" spans="5:45" ht="15.75" customHeight="1">
      <c r="E648" s="2"/>
      <c r="F648" s="2"/>
      <c r="G648" s="2"/>
      <c r="M648" s="2"/>
      <c r="N648" s="2"/>
      <c r="O648" s="2"/>
      <c r="P648" s="2"/>
      <c r="U648" s="2"/>
      <c r="V648" s="2"/>
      <c r="W648" s="2"/>
      <c r="X648" s="2"/>
      <c r="AC648" s="2"/>
      <c r="AI648" s="2"/>
      <c r="AN648" s="2"/>
      <c r="AO648" s="2"/>
      <c r="AP648" s="2"/>
      <c r="AQ648" s="2"/>
      <c r="AR648" s="2"/>
      <c r="AS648" s="2"/>
    </row>
    <row r="649" spans="5:45" ht="15.75" customHeight="1">
      <c r="E649" s="2"/>
      <c r="F649" s="2"/>
      <c r="G649" s="2"/>
      <c r="M649" s="2"/>
      <c r="N649" s="2"/>
      <c r="O649" s="2"/>
      <c r="P649" s="2"/>
      <c r="U649" s="2"/>
      <c r="V649" s="2"/>
      <c r="W649" s="2"/>
      <c r="X649" s="2"/>
      <c r="AC649" s="2"/>
      <c r="AI649" s="2"/>
      <c r="AN649" s="2"/>
      <c r="AO649" s="2"/>
      <c r="AP649" s="2"/>
      <c r="AQ649" s="2"/>
      <c r="AR649" s="2"/>
      <c r="AS649" s="2"/>
    </row>
    <row r="650" spans="5:45" ht="15.75" customHeight="1">
      <c r="E650" s="2"/>
      <c r="F650" s="2"/>
      <c r="G650" s="2"/>
      <c r="M650" s="2"/>
      <c r="N650" s="2"/>
      <c r="O650" s="2"/>
      <c r="P650" s="2"/>
      <c r="U650" s="2"/>
      <c r="V650" s="2"/>
      <c r="W650" s="2"/>
      <c r="X650" s="2"/>
      <c r="AC650" s="2"/>
      <c r="AI650" s="2"/>
      <c r="AN650" s="2"/>
      <c r="AO650" s="2"/>
      <c r="AP650" s="2"/>
      <c r="AQ650" s="2"/>
      <c r="AR650" s="2"/>
      <c r="AS650" s="2"/>
    </row>
    <row r="651" spans="5:45" ht="15.75" customHeight="1">
      <c r="E651" s="2"/>
      <c r="F651" s="2"/>
      <c r="G651" s="2"/>
      <c r="M651" s="2"/>
      <c r="N651" s="2"/>
      <c r="O651" s="2"/>
      <c r="P651" s="2"/>
      <c r="U651" s="2"/>
      <c r="V651" s="2"/>
      <c r="W651" s="2"/>
      <c r="X651" s="2"/>
      <c r="AC651" s="2"/>
      <c r="AI651" s="2"/>
      <c r="AN651" s="2"/>
      <c r="AO651" s="2"/>
      <c r="AP651" s="2"/>
      <c r="AQ651" s="2"/>
      <c r="AR651" s="2"/>
      <c r="AS651" s="2"/>
    </row>
    <row r="652" spans="5:45" ht="15.75" customHeight="1">
      <c r="E652" s="2"/>
      <c r="F652" s="2"/>
      <c r="G652" s="2"/>
      <c r="M652" s="2"/>
      <c r="N652" s="2"/>
      <c r="O652" s="2"/>
      <c r="P652" s="2"/>
      <c r="U652" s="2"/>
      <c r="V652" s="2"/>
      <c r="W652" s="2"/>
      <c r="X652" s="2"/>
      <c r="AC652" s="2"/>
      <c r="AI652" s="2"/>
      <c r="AN652" s="2"/>
      <c r="AO652" s="2"/>
      <c r="AP652" s="2"/>
      <c r="AQ652" s="2"/>
      <c r="AR652" s="2"/>
      <c r="AS652" s="2"/>
    </row>
    <row r="653" spans="5:45" ht="15.75" customHeight="1">
      <c r="E653" s="2"/>
      <c r="F653" s="2"/>
      <c r="G653" s="2"/>
      <c r="M653" s="2"/>
      <c r="N653" s="2"/>
      <c r="O653" s="2"/>
      <c r="P653" s="2"/>
      <c r="U653" s="2"/>
      <c r="V653" s="2"/>
      <c r="W653" s="2"/>
      <c r="X653" s="2"/>
      <c r="AC653" s="2"/>
      <c r="AI653" s="2"/>
      <c r="AN653" s="2"/>
      <c r="AO653" s="2"/>
      <c r="AP653" s="2"/>
      <c r="AQ653" s="2"/>
      <c r="AR653" s="2"/>
      <c r="AS653" s="2"/>
    </row>
    <row r="654" spans="5:45" ht="15.75" customHeight="1">
      <c r="E654" s="2"/>
      <c r="F654" s="2"/>
      <c r="G654" s="2"/>
      <c r="M654" s="2"/>
      <c r="N654" s="2"/>
      <c r="O654" s="2"/>
      <c r="P654" s="2"/>
      <c r="U654" s="2"/>
      <c r="V654" s="2"/>
      <c r="W654" s="2"/>
      <c r="X654" s="2"/>
      <c r="AC654" s="2"/>
      <c r="AI654" s="2"/>
      <c r="AN654" s="2"/>
      <c r="AO654" s="2"/>
      <c r="AP654" s="2"/>
      <c r="AQ654" s="2"/>
      <c r="AR654" s="2"/>
      <c r="AS654" s="2"/>
    </row>
    <row r="655" spans="5:45" ht="15.75" customHeight="1">
      <c r="E655" s="2"/>
      <c r="F655" s="2"/>
      <c r="G655" s="2"/>
      <c r="M655" s="2"/>
      <c r="N655" s="2"/>
      <c r="O655" s="2"/>
      <c r="P655" s="2"/>
      <c r="U655" s="2"/>
      <c r="V655" s="2"/>
      <c r="W655" s="2"/>
      <c r="X655" s="2"/>
      <c r="AC655" s="2"/>
      <c r="AI655" s="2"/>
      <c r="AN655" s="2"/>
      <c r="AO655" s="2"/>
      <c r="AP655" s="2"/>
      <c r="AQ655" s="2"/>
      <c r="AR655" s="2"/>
      <c r="AS655" s="2"/>
    </row>
    <row r="656" spans="5:45" ht="15.75" customHeight="1">
      <c r="E656" s="2"/>
      <c r="F656" s="2"/>
      <c r="G656" s="2"/>
      <c r="M656" s="2"/>
      <c r="N656" s="2"/>
      <c r="O656" s="2"/>
      <c r="P656" s="2"/>
      <c r="U656" s="2"/>
      <c r="V656" s="2"/>
      <c r="W656" s="2"/>
      <c r="X656" s="2"/>
      <c r="AC656" s="2"/>
      <c r="AI656" s="2"/>
      <c r="AN656" s="2"/>
      <c r="AO656" s="2"/>
      <c r="AP656" s="2"/>
      <c r="AQ656" s="2"/>
      <c r="AR656" s="2"/>
      <c r="AS656" s="2"/>
    </row>
    <row r="657" spans="5:45" ht="15.75" customHeight="1">
      <c r="E657" s="2"/>
      <c r="F657" s="2"/>
      <c r="G657" s="2"/>
      <c r="M657" s="2"/>
      <c r="N657" s="2"/>
      <c r="O657" s="2"/>
      <c r="P657" s="2"/>
      <c r="U657" s="2"/>
      <c r="V657" s="2"/>
      <c r="W657" s="2"/>
      <c r="X657" s="2"/>
      <c r="AC657" s="2"/>
      <c r="AI657" s="2"/>
      <c r="AN657" s="2"/>
      <c r="AO657" s="2"/>
      <c r="AP657" s="2"/>
      <c r="AQ657" s="2"/>
      <c r="AR657" s="2"/>
      <c r="AS657" s="2"/>
    </row>
    <row r="658" spans="5:45" ht="15.75" customHeight="1">
      <c r="E658" s="2"/>
      <c r="F658" s="2"/>
      <c r="G658" s="2"/>
      <c r="M658" s="2"/>
      <c r="N658" s="2"/>
      <c r="O658" s="2"/>
      <c r="P658" s="2"/>
      <c r="U658" s="2"/>
      <c r="V658" s="2"/>
      <c r="W658" s="2"/>
      <c r="X658" s="2"/>
      <c r="AC658" s="2"/>
      <c r="AI658" s="2"/>
      <c r="AN658" s="2"/>
      <c r="AO658" s="2"/>
      <c r="AP658" s="2"/>
      <c r="AQ658" s="2"/>
      <c r="AR658" s="2"/>
      <c r="AS658" s="2"/>
    </row>
    <row r="659" spans="5:45" ht="15.75" customHeight="1">
      <c r="E659" s="2"/>
      <c r="F659" s="2"/>
      <c r="G659" s="2"/>
      <c r="M659" s="2"/>
      <c r="N659" s="2"/>
      <c r="O659" s="2"/>
      <c r="P659" s="2"/>
      <c r="U659" s="2"/>
      <c r="V659" s="2"/>
      <c r="W659" s="2"/>
      <c r="X659" s="2"/>
      <c r="AC659" s="2"/>
      <c r="AI659" s="2"/>
      <c r="AN659" s="2"/>
      <c r="AO659" s="2"/>
      <c r="AP659" s="2"/>
      <c r="AQ659" s="2"/>
      <c r="AR659" s="2"/>
      <c r="AS659" s="2"/>
    </row>
    <row r="660" spans="5:45" ht="15.75" customHeight="1">
      <c r="E660" s="2"/>
      <c r="F660" s="2"/>
      <c r="G660" s="2"/>
      <c r="M660" s="2"/>
      <c r="N660" s="2"/>
      <c r="O660" s="2"/>
      <c r="P660" s="2"/>
      <c r="U660" s="2"/>
      <c r="V660" s="2"/>
      <c r="W660" s="2"/>
      <c r="X660" s="2"/>
      <c r="AC660" s="2"/>
      <c r="AI660" s="2"/>
      <c r="AN660" s="2"/>
      <c r="AO660" s="2"/>
      <c r="AP660" s="2"/>
      <c r="AQ660" s="2"/>
      <c r="AR660" s="2"/>
      <c r="AS660" s="2"/>
    </row>
    <row r="661" spans="5:45" ht="15.75" customHeight="1">
      <c r="E661" s="2"/>
      <c r="F661" s="2"/>
      <c r="G661" s="2"/>
      <c r="M661" s="2"/>
      <c r="N661" s="2"/>
      <c r="O661" s="2"/>
      <c r="P661" s="2"/>
      <c r="U661" s="2"/>
      <c r="V661" s="2"/>
      <c r="W661" s="2"/>
      <c r="X661" s="2"/>
      <c r="AC661" s="2"/>
      <c r="AI661" s="2"/>
      <c r="AN661" s="2"/>
      <c r="AO661" s="2"/>
      <c r="AP661" s="2"/>
      <c r="AQ661" s="2"/>
      <c r="AR661" s="2"/>
      <c r="AS661" s="2"/>
    </row>
    <row r="662" spans="5:45" ht="15.75" customHeight="1">
      <c r="E662" s="2"/>
      <c r="F662" s="2"/>
      <c r="G662" s="2"/>
      <c r="M662" s="2"/>
      <c r="N662" s="2"/>
      <c r="O662" s="2"/>
      <c r="P662" s="2"/>
      <c r="U662" s="2"/>
      <c r="V662" s="2"/>
      <c r="W662" s="2"/>
      <c r="X662" s="2"/>
      <c r="AC662" s="2"/>
      <c r="AI662" s="2"/>
      <c r="AN662" s="2"/>
      <c r="AO662" s="2"/>
      <c r="AP662" s="2"/>
      <c r="AQ662" s="2"/>
      <c r="AR662" s="2"/>
      <c r="AS662" s="2"/>
    </row>
    <row r="663" spans="5:45" ht="15.75" customHeight="1">
      <c r="E663" s="2"/>
      <c r="F663" s="2"/>
      <c r="G663" s="2"/>
      <c r="M663" s="2"/>
      <c r="N663" s="2"/>
      <c r="O663" s="2"/>
      <c r="P663" s="2"/>
      <c r="U663" s="2"/>
      <c r="V663" s="2"/>
      <c r="W663" s="2"/>
      <c r="X663" s="2"/>
      <c r="AC663" s="2"/>
      <c r="AI663" s="2"/>
      <c r="AN663" s="2"/>
      <c r="AO663" s="2"/>
      <c r="AP663" s="2"/>
      <c r="AQ663" s="2"/>
      <c r="AR663" s="2"/>
      <c r="AS663" s="2"/>
    </row>
    <row r="664" spans="5:45" ht="15.75" customHeight="1">
      <c r="E664" s="2"/>
      <c r="F664" s="2"/>
      <c r="G664" s="2"/>
      <c r="M664" s="2"/>
      <c r="N664" s="2"/>
      <c r="O664" s="2"/>
      <c r="P664" s="2"/>
      <c r="U664" s="2"/>
      <c r="V664" s="2"/>
      <c r="W664" s="2"/>
      <c r="X664" s="2"/>
      <c r="AC664" s="2"/>
      <c r="AI664" s="2"/>
      <c r="AN664" s="2"/>
      <c r="AO664" s="2"/>
      <c r="AP664" s="2"/>
      <c r="AQ664" s="2"/>
      <c r="AR664" s="2"/>
      <c r="AS664" s="2"/>
    </row>
    <row r="665" spans="5:45" ht="15.75" customHeight="1">
      <c r="E665" s="2"/>
      <c r="F665" s="2"/>
      <c r="G665" s="2"/>
      <c r="M665" s="2"/>
      <c r="N665" s="2"/>
      <c r="O665" s="2"/>
      <c r="P665" s="2"/>
      <c r="U665" s="2"/>
      <c r="V665" s="2"/>
      <c r="W665" s="2"/>
      <c r="X665" s="2"/>
      <c r="AC665" s="2"/>
      <c r="AI665" s="2"/>
      <c r="AN665" s="2"/>
      <c r="AO665" s="2"/>
      <c r="AP665" s="2"/>
      <c r="AQ665" s="2"/>
      <c r="AR665" s="2"/>
      <c r="AS665" s="2"/>
    </row>
    <row r="666" spans="5:45" ht="15.75" customHeight="1">
      <c r="E666" s="2"/>
      <c r="F666" s="2"/>
      <c r="G666" s="2"/>
      <c r="M666" s="2"/>
      <c r="N666" s="2"/>
      <c r="O666" s="2"/>
      <c r="P666" s="2"/>
      <c r="U666" s="2"/>
      <c r="V666" s="2"/>
      <c r="W666" s="2"/>
      <c r="X666" s="2"/>
      <c r="AC666" s="2"/>
      <c r="AI666" s="2"/>
      <c r="AN666" s="2"/>
      <c r="AO666" s="2"/>
      <c r="AP666" s="2"/>
      <c r="AQ666" s="2"/>
      <c r="AR666" s="2"/>
      <c r="AS666" s="2"/>
    </row>
    <row r="667" spans="5:45" ht="15.75" customHeight="1">
      <c r="E667" s="2"/>
      <c r="F667" s="2"/>
      <c r="G667" s="2"/>
      <c r="M667" s="2"/>
      <c r="N667" s="2"/>
      <c r="O667" s="2"/>
      <c r="P667" s="2"/>
      <c r="U667" s="2"/>
      <c r="V667" s="2"/>
      <c r="W667" s="2"/>
      <c r="X667" s="2"/>
      <c r="AC667" s="2"/>
      <c r="AI667" s="2"/>
      <c r="AN667" s="2"/>
      <c r="AO667" s="2"/>
      <c r="AP667" s="2"/>
      <c r="AQ667" s="2"/>
      <c r="AR667" s="2"/>
      <c r="AS667" s="2"/>
    </row>
    <row r="668" spans="5:45" ht="15.75" customHeight="1">
      <c r="E668" s="2"/>
      <c r="F668" s="2"/>
      <c r="G668" s="2"/>
      <c r="M668" s="2"/>
      <c r="N668" s="2"/>
      <c r="O668" s="2"/>
      <c r="P668" s="2"/>
      <c r="U668" s="2"/>
      <c r="V668" s="2"/>
      <c r="W668" s="2"/>
      <c r="X668" s="2"/>
      <c r="AC668" s="2"/>
      <c r="AI668" s="2"/>
      <c r="AN668" s="2"/>
      <c r="AO668" s="2"/>
      <c r="AP668" s="2"/>
      <c r="AQ668" s="2"/>
      <c r="AR668" s="2"/>
      <c r="AS668" s="2"/>
    </row>
    <row r="669" spans="5:45" ht="15.75" customHeight="1">
      <c r="E669" s="2"/>
      <c r="F669" s="2"/>
      <c r="G669" s="2"/>
      <c r="M669" s="2"/>
      <c r="N669" s="2"/>
      <c r="O669" s="2"/>
      <c r="P669" s="2"/>
      <c r="U669" s="2"/>
      <c r="V669" s="2"/>
      <c r="W669" s="2"/>
      <c r="X669" s="2"/>
      <c r="AC669" s="2"/>
      <c r="AI669" s="2"/>
      <c r="AN669" s="2"/>
      <c r="AO669" s="2"/>
      <c r="AP669" s="2"/>
      <c r="AQ669" s="2"/>
      <c r="AR669" s="2"/>
      <c r="AS669" s="2"/>
    </row>
    <row r="670" spans="5:45" ht="15.75" customHeight="1">
      <c r="E670" s="2"/>
      <c r="F670" s="2"/>
      <c r="G670" s="2"/>
      <c r="M670" s="2"/>
      <c r="N670" s="2"/>
      <c r="O670" s="2"/>
      <c r="P670" s="2"/>
      <c r="U670" s="2"/>
      <c r="V670" s="2"/>
      <c r="W670" s="2"/>
      <c r="X670" s="2"/>
      <c r="AC670" s="2"/>
      <c r="AI670" s="2"/>
      <c r="AN670" s="2"/>
      <c r="AO670" s="2"/>
      <c r="AP670" s="2"/>
      <c r="AQ670" s="2"/>
      <c r="AR670" s="2"/>
      <c r="AS670" s="2"/>
    </row>
    <row r="671" spans="5:45" ht="15.75" customHeight="1">
      <c r="E671" s="2"/>
      <c r="F671" s="2"/>
      <c r="G671" s="2"/>
      <c r="M671" s="2"/>
      <c r="N671" s="2"/>
      <c r="O671" s="2"/>
      <c r="P671" s="2"/>
      <c r="U671" s="2"/>
      <c r="V671" s="2"/>
      <c r="W671" s="2"/>
      <c r="X671" s="2"/>
      <c r="AC671" s="2"/>
      <c r="AI671" s="2"/>
      <c r="AN671" s="2"/>
      <c r="AO671" s="2"/>
      <c r="AP671" s="2"/>
      <c r="AQ671" s="2"/>
      <c r="AR671" s="2"/>
      <c r="AS671" s="2"/>
    </row>
    <row r="672" spans="5:45" ht="15.75" customHeight="1">
      <c r="E672" s="2"/>
      <c r="F672" s="2"/>
      <c r="G672" s="2"/>
      <c r="M672" s="2"/>
      <c r="N672" s="2"/>
      <c r="O672" s="2"/>
      <c r="P672" s="2"/>
      <c r="U672" s="2"/>
      <c r="V672" s="2"/>
      <c r="W672" s="2"/>
      <c r="X672" s="2"/>
      <c r="AC672" s="2"/>
      <c r="AI672" s="2"/>
      <c r="AN672" s="2"/>
      <c r="AO672" s="2"/>
      <c r="AP672" s="2"/>
      <c r="AQ672" s="2"/>
      <c r="AR672" s="2"/>
      <c r="AS672" s="2"/>
    </row>
    <row r="673" spans="5:45" ht="15.75" customHeight="1">
      <c r="E673" s="2"/>
      <c r="F673" s="2"/>
      <c r="G673" s="2"/>
      <c r="M673" s="2"/>
      <c r="N673" s="2"/>
      <c r="O673" s="2"/>
      <c r="P673" s="2"/>
      <c r="U673" s="2"/>
      <c r="V673" s="2"/>
      <c r="W673" s="2"/>
      <c r="X673" s="2"/>
      <c r="AC673" s="2"/>
      <c r="AI673" s="2"/>
      <c r="AN673" s="2"/>
      <c r="AO673" s="2"/>
      <c r="AP673" s="2"/>
      <c r="AQ673" s="2"/>
      <c r="AR673" s="2"/>
      <c r="AS673" s="2"/>
    </row>
    <row r="674" spans="5:45" ht="15.75" customHeight="1">
      <c r="E674" s="2"/>
      <c r="F674" s="2"/>
      <c r="G674" s="2"/>
      <c r="M674" s="2"/>
      <c r="N674" s="2"/>
      <c r="O674" s="2"/>
      <c r="P674" s="2"/>
      <c r="U674" s="2"/>
      <c r="V674" s="2"/>
      <c r="W674" s="2"/>
      <c r="X674" s="2"/>
      <c r="AC674" s="2"/>
      <c r="AI674" s="2"/>
      <c r="AN674" s="2"/>
      <c r="AO674" s="2"/>
      <c r="AP674" s="2"/>
      <c r="AQ674" s="2"/>
      <c r="AR674" s="2"/>
      <c r="AS674" s="2"/>
    </row>
    <row r="675" spans="5:45" ht="15.75" customHeight="1">
      <c r="E675" s="2"/>
      <c r="F675" s="2"/>
      <c r="G675" s="2"/>
      <c r="M675" s="2"/>
      <c r="N675" s="2"/>
      <c r="O675" s="2"/>
      <c r="P675" s="2"/>
      <c r="U675" s="2"/>
      <c r="V675" s="2"/>
      <c r="W675" s="2"/>
      <c r="X675" s="2"/>
      <c r="AC675" s="2"/>
      <c r="AI675" s="2"/>
      <c r="AN675" s="2"/>
      <c r="AO675" s="2"/>
      <c r="AP675" s="2"/>
      <c r="AQ675" s="2"/>
      <c r="AR675" s="2"/>
      <c r="AS675" s="2"/>
    </row>
    <row r="676" spans="5:45" ht="15.75" customHeight="1">
      <c r="E676" s="2"/>
      <c r="F676" s="2"/>
      <c r="G676" s="2"/>
      <c r="M676" s="2"/>
      <c r="N676" s="2"/>
      <c r="O676" s="2"/>
      <c r="P676" s="2"/>
      <c r="U676" s="2"/>
      <c r="V676" s="2"/>
      <c r="W676" s="2"/>
      <c r="X676" s="2"/>
      <c r="AC676" s="2"/>
      <c r="AI676" s="2"/>
      <c r="AN676" s="2"/>
      <c r="AO676" s="2"/>
      <c r="AP676" s="2"/>
      <c r="AQ676" s="2"/>
      <c r="AR676" s="2"/>
      <c r="AS676" s="2"/>
    </row>
    <row r="677" spans="5:45" ht="15.75" customHeight="1">
      <c r="E677" s="2"/>
      <c r="F677" s="2"/>
      <c r="G677" s="2"/>
      <c r="M677" s="2"/>
      <c r="N677" s="2"/>
      <c r="O677" s="2"/>
      <c r="P677" s="2"/>
      <c r="U677" s="2"/>
      <c r="V677" s="2"/>
      <c r="W677" s="2"/>
      <c r="X677" s="2"/>
      <c r="AC677" s="2"/>
      <c r="AI677" s="2"/>
      <c r="AN677" s="2"/>
      <c r="AO677" s="2"/>
      <c r="AP677" s="2"/>
      <c r="AQ677" s="2"/>
      <c r="AR677" s="2"/>
      <c r="AS677" s="2"/>
    </row>
    <row r="678" spans="5:45" ht="15.75" customHeight="1">
      <c r="E678" s="2"/>
      <c r="F678" s="2"/>
      <c r="G678" s="2"/>
      <c r="M678" s="2"/>
      <c r="N678" s="2"/>
      <c r="O678" s="2"/>
      <c r="P678" s="2"/>
      <c r="U678" s="2"/>
      <c r="V678" s="2"/>
      <c r="W678" s="2"/>
      <c r="X678" s="2"/>
      <c r="AC678" s="2"/>
      <c r="AI678" s="2"/>
      <c r="AN678" s="2"/>
      <c r="AO678" s="2"/>
      <c r="AP678" s="2"/>
      <c r="AQ678" s="2"/>
      <c r="AR678" s="2"/>
      <c r="AS678" s="2"/>
    </row>
    <row r="679" spans="5:45" ht="15.75" customHeight="1">
      <c r="E679" s="2"/>
      <c r="F679" s="2"/>
      <c r="G679" s="2"/>
      <c r="M679" s="2"/>
      <c r="N679" s="2"/>
      <c r="O679" s="2"/>
      <c r="P679" s="2"/>
      <c r="U679" s="2"/>
      <c r="V679" s="2"/>
      <c r="W679" s="2"/>
      <c r="X679" s="2"/>
      <c r="AC679" s="2"/>
      <c r="AI679" s="2"/>
      <c r="AN679" s="2"/>
      <c r="AO679" s="2"/>
      <c r="AP679" s="2"/>
      <c r="AQ679" s="2"/>
      <c r="AR679" s="2"/>
      <c r="AS679" s="2"/>
    </row>
    <row r="680" spans="5:45" ht="15.75" customHeight="1">
      <c r="E680" s="2"/>
      <c r="F680" s="2"/>
      <c r="G680" s="2"/>
      <c r="M680" s="2"/>
      <c r="N680" s="2"/>
      <c r="O680" s="2"/>
      <c r="P680" s="2"/>
      <c r="U680" s="2"/>
      <c r="V680" s="2"/>
      <c r="W680" s="2"/>
      <c r="X680" s="2"/>
      <c r="AC680" s="2"/>
      <c r="AI680" s="2"/>
      <c r="AN680" s="2"/>
      <c r="AO680" s="2"/>
      <c r="AP680" s="2"/>
      <c r="AQ680" s="2"/>
      <c r="AR680" s="2"/>
      <c r="AS680" s="2"/>
    </row>
    <row r="681" spans="5:45" ht="15.75" customHeight="1">
      <c r="E681" s="2"/>
      <c r="F681" s="2"/>
      <c r="G681" s="2"/>
      <c r="M681" s="2"/>
      <c r="N681" s="2"/>
      <c r="O681" s="2"/>
      <c r="P681" s="2"/>
      <c r="U681" s="2"/>
      <c r="V681" s="2"/>
      <c r="W681" s="2"/>
      <c r="X681" s="2"/>
      <c r="AC681" s="2"/>
      <c r="AI681" s="2"/>
      <c r="AN681" s="2"/>
      <c r="AO681" s="2"/>
      <c r="AP681" s="2"/>
      <c r="AQ681" s="2"/>
      <c r="AR681" s="2"/>
      <c r="AS681" s="2"/>
    </row>
    <row r="682" spans="5:45" ht="15.75" customHeight="1">
      <c r="E682" s="2"/>
      <c r="F682" s="2"/>
      <c r="G682" s="2"/>
      <c r="M682" s="2"/>
      <c r="N682" s="2"/>
      <c r="O682" s="2"/>
      <c r="P682" s="2"/>
      <c r="U682" s="2"/>
      <c r="V682" s="2"/>
      <c r="W682" s="2"/>
      <c r="X682" s="2"/>
      <c r="AC682" s="2"/>
      <c r="AI682" s="2"/>
      <c r="AN682" s="2"/>
      <c r="AO682" s="2"/>
      <c r="AP682" s="2"/>
      <c r="AQ682" s="2"/>
      <c r="AR682" s="2"/>
      <c r="AS682" s="2"/>
    </row>
    <row r="683" spans="5:45" ht="15.75" customHeight="1">
      <c r="E683" s="2"/>
      <c r="F683" s="2"/>
      <c r="G683" s="2"/>
      <c r="M683" s="2"/>
      <c r="N683" s="2"/>
      <c r="O683" s="2"/>
      <c r="P683" s="2"/>
      <c r="U683" s="2"/>
      <c r="V683" s="2"/>
      <c r="W683" s="2"/>
      <c r="X683" s="2"/>
      <c r="AC683" s="2"/>
      <c r="AI683" s="2"/>
      <c r="AN683" s="2"/>
      <c r="AO683" s="2"/>
      <c r="AP683" s="2"/>
      <c r="AQ683" s="2"/>
      <c r="AR683" s="2"/>
      <c r="AS683" s="2"/>
    </row>
    <row r="684" spans="5:45" ht="15.75" customHeight="1">
      <c r="E684" s="2"/>
      <c r="F684" s="2"/>
      <c r="G684" s="2"/>
      <c r="M684" s="2"/>
      <c r="N684" s="2"/>
      <c r="O684" s="2"/>
      <c r="P684" s="2"/>
      <c r="U684" s="2"/>
      <c r="V684" s="2"/>
      <c r="W684" s="2"/>
      <c r="X684" s="2"/>
      <c r="AC684" s="2"/>
      <c r="AI684" s="2"/>
      <c r="AN684" s="2"/>
      <c r="AO684" s="2"/>
      <c r="AP684" s="2"/>
      <c r="AQ684" s="2"/>
      <c r="AR684" s="2"/>
      <c r="AS684" s="2"/>
    </row>
    <row r="685" spans="5:45" ht="15.75" customHeight="1">
      <c r="E685" s="2"/>
      <c r="F685" s="2"/>
      <c r="G685" s="2"/>
      <c r="M685" s="2"/>
      <c r="N685" s="2"/>
      <c r="O685" s="2"/>
      <c r="P685" s="2"/>
      <c r="U685" s="2"/>
      <c r="V685" s="2"/>
      <c r="W685" s="2"/>
      <c r="X685" s="2"/>
      <c r="AC685" s="2"/>
      <c r="AI685" s="2"/>
      <c r="AN685" s="2"/>
      <c r="AO685" s="2"/>
      <c r="AP685" s="2"/>
      <c r="AQ685" s="2"/>
      <c r="AR685" s="2"/>
      <c r="AS685" s="2"/>
    </row>
    <row r="686" spans="5:45" ht="15.75" customHeight="1">
      <c r="E686" s="2"/>
      <c r="F686" s="2"/>
      <c r="G686" s="2"/>
      <c r="M686" s="2"/>
      <c r="N686" s="2"/>
      <c r="O686" s="2"/>
      <c r="P686" s="2"/>
      <c r="U686" s="2"/>
      <c r="V686" s="2"/>
      <c r="W686" s="2"/>
      <c r="X686" s="2"/>
      <c r="AC686" s="2"/>
      <c r="AI686" s="2"/>
      <c r="AN686" s="2"/>
      <c r="AO686" s="2"/>
      <c r="AP686" s="2"/>
      <c r="AQ686" s="2"/>
      <c r="AR686" s="2"/>
      <c r="AS686" s="2"/>
    </row>
    <row r="687" spans="5:45" ht="15.75" customHeight="1">
      <c r="E687" s="2"/>
      <c r="F687" s="2"/>
      <c r="G687" s="2"/>
      <c r="M687" s="2"/>
      <c r="N687" s="2"/>
      <c r="O687" s="2"/>
      <c r="P687" s="2"/>
      <c r="U687" s="2"/>
      <c r="V687" s="2"/>
      <c r="W687" s="2"/>
      <c r="X687" s="2"/>
      <c r="AC687" s="2"/>
      <c r="AI687" s="2"/>
      <c r="AN687" s="2"/>
      <c r="AO687" s="2"/>
      <c r="AP687" s="2"/>
      <c r="AQ687" s="2"/>
      <c r="AR687" s="2"/>
      <c r="AS687" s="2"/>
    </row>
    <row r="688" spans="5:45" ht="15.75" customHeight="1">
      <c r="E688" s="2"/>
      <c r="F688" s="2"/>
      <c r="G688" s="2"/>
      <c r="M688" s="2"/>
      <c r="N688" s="2"/>
      <c r="O688" s="2"/>
      <c r="P688" s="2"/>
      <c r="U688" s="2"/>
      <c r="V688" s="2"/>
      <c r="W688" s="2"/>
      <c r="X688" s="2"/>
      <c r="AC688" s="2"/>
      <c r="AI688" s="2"/>
      <c r="AN688" s="2"/>
      <c r="AO688" s="2"/>
      <c r="AP688" s="2"/>
      <c r="AQ688" s="2"/>
      <c r="AR688" s="2"/>
      <c r="AS688" s="2"/>
    </row>
    <row r="689" spans="5:45" ht="15.75" customHeight="1">
      <c r="E689" s="2"/>
      <c r="F689" s="2"/>
      <c r="G689" s="2"/>
      <c r="M689" s="2"/>
      <c r="N689" s="2"/>
      <c r="O689" s="2"/>
      <c r="P689" s="2"/>
      <c r="U689" s="2"/>
      <c r="V689" s="2"/>
      <c r="W689" s="2"/>
      <c r="X689" s="2"/>
      <c r="AC689" s="2"/>
      <c r="AI689" s="2"/>
      <c r="AN689" s="2"/>
      <c r="AO689" s="2"/>
      <c r="AP689" s="2"/>
      <c r="AQ689" s="2"/>
      <c r="AR689" s="2"/>
      <c r="AS689" s="2"/>
    </row>
    <row r="690" spans="5:45" ht="15.75" customHeight="1">
      <c r="E690" s="2"/>
      <c r="F690" s="2"/>
      <c r="G690" s="2"/>
      <c r="M690" s="2"/>
      <c r="N690" s="2"/>
      <c r="O690" s="2"/>
      <c r="P690" s="2"/>
      <c r="U690" s="2"/>
      <c r="V690" s="2"/>
      <c r="W690" s="2"/>
      <c r="X690" s="2"/>
      <c r="AC690" s="2"/>
      <c r="AI690" s="2"/>
      <c r="AN690" s="2"/>
      <c r="AO690" s="2"/>
      <c r="AP690" s="2"/>
      <c r="AQ690" s="2"/>
      <c r="AR690" s="2"/>
      <c r="AS690" s="2"/>
    </row>
    <row r="691" spans="5:45" ht="15.75" customHeight="1">
      <c r="E691" s="2"/>
      <c r="F691" s="2"/>
      <c r="G691" s="2"/>
      <c r="M691" s="2"/>
      <c r="N691" s="2"/>
      <c r="O691" s="2"/>
      <c r="P691" s="2"/>
      <c r="U691" s="2"/>
      <c r="V691" s="2"/>
      <c r="W691" s="2"/>
      <c r="X691" s="2"/>
      <c r="AC691" s="2"/>
      <c r="AI691" s="2"/>
      <c r="AN691" s="2"/>
      <c r="AO691" s="2"/>
      <c r="AP691" s="2"/>
      <c r="AQ691" s="2"/>
      <c r="AR691" s="2"/>
      <c r="AS691" s="2"/>
    </row>
    <row r="692" spans="5:45" ht="15.75" customHeight="1">
      <c r="E692" s="2"/>
      <c r="F692" s="2"/>
      <c r="G692" s="2"/>
      <c r="M692" s="2"/>
      <c r="N692" s="2"/>
      <c r="O692" s="2"/>
      <c r="P692" s="2"/>
      <c r="U692" s="2"/>
      <c r="V692" s="2"/>
      <c r="W692" s="2"/>
      <c r="X692" s="2"/>
      <c r="AC692" s="2"/>
      <c r="AI692" s="2"/>
      <c r="AN692" s="2"/>
      <c r="AO692" s="2"/>
      <c r="AP692" s="2"/>
      <c r="AQ692" s="2"/>
      <c r="AR692" s="2"/>
      <c r="AS692" s="2"/>
    </row>
    <row r="693" spans="5:45" ht="15.75" customHeight="1">
      <c r="E693" s="2"/>
      <c r="F693" s="2"/>
      <c r="G693" s="2"/>
      <c r="M693" s="2"/>
      <c r="N693" s="2"/>
      <c r="O693" s="2"/>
      <c r="P693" s="2"/>
      <c r="U693" s="2"/>
      <c r="V693" s="2"/>
      <c r="W693" s="2"/>
      <c r="X693" s="2"/>
      <c r="AC693" s="2"/>
      <c r="AI693" s="2"/>
      <c r="AN693" s="2"/>
      <c r="AO693" s="2"/>
      <c r="AP693" s="2"/>
      <c r="AQ693" s="2"/>
      <c r="AR693" s="2"/>
      <c r="AS693" s="2"/>
    </row>
    <row r="694" spans="5:45" ht="15.75" customHeight="1">
      <c r="E694" s="2"/>
      <c r="F694" s="2"/>
      <c r="G694" s="2"/>
      <c r="M694" s="2"/>
      <c r="N694" s="2"/>
      <c r="O694" s="2"/>
      <c r="P694" s="2"/>
      <c r="U694" s="2"/>
      <c r="V694" s="2"/>
      <c r="W694" s="2"/>
      <c r="X694" s="2"/>
      <c r="AC694" s="2"/>
      <c r="AI694" s="2"/>
      <c r="AN694" s="2"/>
      <c r="AO694" s="2"/>
      <c r="AP694" s="2"/>
      <c r="AQ694" s="2"/>
      <c r="AR694" s="2"/>
      <c r="AS694" s="2"/>
    </row>
    <row r="695" spans="5:45" ht="15.75" customHeight="1">
      <c r="E695" s="2"/>
      <c r="F695" s="2"/>
      <c r="G695" s="2"/>
      <c r="M695" s="2"/>
      <c r="N695" s="2"/>
      <c r="O695" s="2"/>
      <c r="P695" s="2"/>
      <c r="U695" s="2"/>
      <c r="V695" s="2"/>
      <c r="W695" s="2"/>
      <c r="X695" s="2"/>
      <c r="AC695" s="2"/>
      <c r="AI695" s="2"/>
      <c r="AN695" s="2"/>
      <c r="AO695" s="2"/>
      <c r="AP695" s="2"/>
      <c r="AQ695" s="2"/>
      <c r="AR695" s="2"/>
      <c r="AS695" s="2"/>
    </row>
    <row r="696" spans="5:45" ht="15.75" customHeight="1">
      <c r="E696" s="2"/>
      <c r="F696" s="2"/>
      <c r="G696" s="2"/>
      <c r="M696" s="2"/>
      <c r="N696" s="2"/>
      <c r="O696" s="2"/>
      <c r="P696" s="2"/>
      <c r="U696" s="2"/>
      <c r="V696" s="2"/>
      <c r="W696" s="2"/>
      <c r="X696" s="2"/>
      <c r="AC696" s="2"/>
      <c r="AI696" s="2"/>
      <c r="AN696" s="2"/>
      <c r="AO696" s="2"/>
      <c r="AP696" s="2"/>
      <c r="AQ696" s="2"/>
      <c r="AR696" s="2"/>
      <c r="AS696" s="2"/>
    </row>
    <row r="697" spans="5:45" ht="15.75" customHeight="1">
      <c r="E697" s="2"/>
      <c r="F697" s="2"/>
      <c r="G697" s="2"/>
      <c r="M697" s="2"/>
      <c r="N697" s="2"/>
      <c r="O697" s="2"/>
      <c r="P697" s="2"/>
      <c r="U697" s="2"/>
      <c r="V697" s="2"/>
      <c r="W697" s="2"/>
      <c r="X697" s="2"/>
      <c r="AC697" s="2"/>
      <c r="AI697" s="2"/>
      <c r="AN697" s="2"/>
      <c r="AO697" s="2"/>
      <c r="AP697" s="2"/>
      <c r="AQ697" s="2"/>
      <c r="AR697" s="2"/>
      <c r="AS697" s="2"/>
    </row>
    <row r="698" spans="5:45" ht="15.75" customHeight="1">
      <c r="E698" s="2"/>
      <c r="F698" s="2"/>
      <c r="G698" s="2"/>
      <c r="M698" s="2"/>
      <c r="N698" s="2"/>
      <c r="O698" s="2"/>
      <c r="P698" s="2"/>
      <c r="U698" s="2"/>
      <c r="V698" s="2"/>
      <c r="W698" s="2"/>
      <c r="X698" s="2"/>
      <c r="AC698" s="2"/>
      <c r="AI698" s="2"/>
      <c r="AN698" s="2"/>
      <c r="AO698" s="2"/>
      <c r="AP698" s="2"/>
      <c r="AQ698" s="2"/>
      <c r="AR698" s="2"/>
      <c r="AS698" s="2"/>
    </row>
    <row r="699" spans="5:45" ht="15.75" customHeight="1">
      <c r="E699" s="2"/>
      <c r="F699" s="2"/>
      <c r="G699" s="2"/>
      <c r="M699" s="2"/>
      <c r="N699" s="2"/>
      <c r="O699" s="2"/>
      <c r="P699" s="2"/>
      <c r="U699" s="2"/>
      <c r="V699" s="2"/>
      <c r="W699" s="2"/>
      <c r="X699" s="2"/>
      <c r="AC699" s="2"/>
      <c r="AI699" s="2"/>
      <c r="AN699" s="2"/>
      <c r="AO699" s="2"/>
      <c r="AP699" s="2"/>
      <c r="AQ699" s="2"/>
      <c r="AR699" s="2"/>
      <c r="AS699" s="2"/>
    </row>
    <row r="700" spans="5:45" ht="15.75" customHeight="1">
      <c r="E700" s="2"/>
      <c r="F700" s="2"/>
      <c r="G700" s="2"/>
      <c r="M700" s="2"/>
      <c r="N700" s="2"/>
      <c r="O700" s="2"/>
      <c r="P700" s="2"/>
      <c r="U700" s="2"/>
      <c r="V700" s="2"/>
      <c r="W700" s="2"/>
      <c r="X700" s="2"/>
      <c r="AC700" s="2"/>
      <c r="AI700" s="2"/>
      <c r="AN700" s="2"/>
      <c r="AO700" s="2"/>
      <c r="AP700" s="2"/>
      <c r="AQ700" s="2"/>
      <c r="AR700" s="2"/>
      <c r="AS700" s="2"/>
    </row>
    <row r="701" spans="5:45" ht="15.75" customHeight="1">
      <c r="E701" s="2"/>
      <c r="F701" s="2"/>
      <c r="G701" s="2"/>
      <c r="M701" s="2"/>
      <c r="N701" s="2"/>
      <c r="O701" s="2"/>
      <c r="P701" s="2"/>
      <c r="U701" s="2"/>
      <c r="V701" s="2"/>
      <c r="W701" s="2"/>
      <c r="X701" s="2"/>
      <c r="AC701" s="2"/>
      <c r="AI701" s="2"/>
      <c r="AN701" s="2"/>
      <c r="AO701" s="2"/>
      <c r="AP701" s="2"/>
      <c r="AQ701" s="2"/>
      <c r="AR701" s="2"/>
      <c r="AS701" s="2"/>
    </row>
    <row r="702" spans="5:45" ht="15.75" customHeight="1">
      <c r="E702" s="2"/>
      <c r="F702" s="2"/>
      <c r="G702" s="2"/>
      <c r="M702" s="2"/>
      <c r="N702" s="2"/>
      <c r="O702" s="2"/>
      <c r="P702" s="2"/>
      <c r="U702" s="2"/>
      <c r="V702" s="2"/>
      <c r="W702" s="2"/>
      <c r="X702" s="2"/>
      <c r="AC702" s="2"/>
      <c r="AI702" s="2"/>
      <c r="AN702" s="2"/>
      <c r="AO702" s="2"/>
      <c r="AP702" s="2"/>
      <c r="AQ702" s="2"/>
      <c r="AR702" s="2"/>
      <c r="AS702" s="2"/>
    </row>
    <row r="703" spans="5:45" ht="15.75" customHeight="1">
      <c r="E703" s="2"/>
      <c r="F703" s="2"/>
      <c r="G703" s="2"/>
      <c r="M703" s="2"/>
      <c r="N703" s="2"/>
      <c r="O703" s="2"/>
      <c r="P703" s="2"/>
      <c r="U703" s="2"/>
      <c r="V703" s="2"/>
      <c r="W703" s="2"/>
      <c r="X703" s="2"/>
      <c r="AC703" s="2"/>
      <c r="AI703" s="2"/>
      <c r="AN703" s="2"/>
      <c r="AO703" s="2"/>
      <c r="AP703" s="2"/>
      <c r="AQ703" s="2"/>
      <c r="AR703" s="2"/>
      <c r="AS703" s="2"/>
    </row>
    <row r="704" spans="5:45" ht="15.75" customHeight="1">
      <c r="E704" s="2"/>
      <c r="F704" s="2"/>
      <c r="G704" s="2"/>
      <c r="M704" s="2"/>
      <c r="N704" s="2"/>
      <c r="O704" s="2"/>
      <c r="P704" s="2"/>
      <c r="U704" s="2"/>
      <c r="V704" s="2"/>
      <c r="W704" s="2"/>
      <c r="X704" s="2"/>
      <c r="AC704" s="2"/>
      <c r="AI704" s="2"/>
      <c r="AN704" s="2"/>
      <c r="AO704" s="2"/>
      <c r="AP704" s="2"/>
      <c r="AQ704" s="2"/>
      <c r="AR704" s="2"/>
      <c r="AS704" s="2"/>
    </row>
    <row r="705" spans="5:45" ht="15.75" customHeight="1">
      <c r="E705" s="2"/>
      <c r="F705" s="2"/>
      <c r="G705" s="2"/>
      <c r="M705" s="2"/>
      <c r="N705" s="2"/>
      <c r="O705" s="2"/>
      <c r="P705" s="2"/>
      <c r="U705" s="2"/>
      <c r="V705" s="2"/>
      <c r="W705" s="2"/>
      <c r="X705" s="2"/>
      <c r="AC705" s="2"/>
      <c r="AI705" s="2"/>
      <c r="AN705" s="2"/>
      <c r="AO705" s="2"/>
      <c r="AP705" s="2"/>
      <c r="AQ705" s="2"/>
      <c r="AR705" s="2"/>
      <c r="AS705" s="2"/>
    </row>
    <row r="706" spans="5:45" ht="15.75" customHeight="1">
      <c r="E706" s="2"/>
      <c r="F706" s="2"/>
      <c r="G706" s="2"/>
      <c r="M706" s="2"/>
      <c r="N706" s="2"/>
      <c r="O706" s="2"/>
      <c r="P706" s="2"/>
      <c r="U706" s="2"/>
      <c r="V706" s="2"/>
      <c r="W706" s="2"/>
      <c r="X706" s="2"/>
      <c r="AC706" s="2"/>
      <c r="AI706" s="2"/>
      <c r="AN706" s="2"/>
      <c r="AO706" s="2"/>
      <c r="AP706" s="2"/>
      <c r="AQ706" s="2"/>
      <c r="AR706" s="2"/>
      <c r="AS706" s="2"/>
    </row>
    <row r="707" spans="5:45" ht="15.75" customHeight="1">
      <c r="E707" s="2"/>
      <c r="F707" s="2"/>
      <c r="G707" s="2"/>
      <c r="M707" s="2"/>
      <c r="N707" s="2"/>
      <c r="O707" s="2"/>
      <c r="P707" s="2"/>
      <c r="U707" s="2"/>
      <c r="V707" s="2"/>
      <c r="W707" s="2"/>
      <c r="X707" s="2"/>
      <c r="AC707" s="2"/>
      <c r="AI707" s="2"/>
      <c r="AN707" s="2"/>
      <c r="AO707" s="2"/>
      <c r="AP707" s="2"/>
      <c r="AQ707" s="2"/>
      <c r="AR707" s="2"/>
      <c r="AS707" s="2"/>
    </row>
    <row r="708" spans="5:45" ht="15.75" customHeight="1">
      <c r="E708" s="2"/>
      <c r="F708" s="2"/>
      <c r="G708" s="2"/>
      <c r="M708" s="2"/>
      <c r="N708" s="2"/>
      <c r="O708" s="2"/>
      <c r="P708" s="2"/>
      <c r="U708" s="2"/>
      <c r="V708" s="2"/>
      <c r="W708" s="2"/>
      <c r="X708" s="2"/>
      <c r="AC708" s="2"/>
      <c r="AI708" s="2"/>
      <c r="AN708" s="2"/>
      <c r="AO708" s="2"/>
      <c r="AP708" s="2"/>
      <c r="AQ708" s="2"/>
      <c r="AR708" s="2"/>
      <c r="AS708" s="2"/>
    </row>
    <row r="709" spans="5:45" ht="15.75" customHeight="1">
      <c r="E709" s="2"/>
      <c r="F709" s="2"/>
      <c r="G709" s="2"/>
      <c r="M709" s="2"/>
      <c r="N709" s="2"/>
      <c r="O709" s="2"/>
      <c r="P709" s="2"/>
      <c r="U709" s="2"/>
      <c r="V709" s="2"/>
      <c r="W709" s="2"/>
      <c r="X709" s="2"/>
      <c r="AC709" s="2"/>
      <c r="AI709" s="2"/>
      <c r="AN709" s="2"/>
      <c r="AO709" s="2"/>
      <c r="AP709" s="2"/>
      <c r="AQ709" s="2"/>
      <c r="AR709" s="2"/>
      <c r="AS709" s="2"/>
    </row>
    <row r="710" spans="5:45" ht="15.75" customHeight="1">
      <c r="E710" s="2"/>
      <c r="F710" s="2"/>
      <c r="G710" s="2"/>
      <c r="M710" s="2"/>
      <c r="N710" s="2"/>
      <c r="O710" s="2"/>
      <c r="P710" s="2"/>
      <c r="U710" s="2"/>
      <c r="V710" s="2"/>
      <c r="W710" s="2"/>
      <c r="X710" s="2"/>
      <c r="AC710" s="2"/>
      <c r="AI710" s="2"/>
      <c r="AN710" s="2"/>
      <c r="AO710" s="2"/>
      <c r="AP710" s="2"/>
      <c r="AQ710" s="2"/>
      <c r="AR710" s="2"/>
      <c r="AS710" s="2"/>
    </row>
    <row r="711" spans="5:45" ht="15.75" customHeight="1">
      <c r="E711" s="2"/>
      <c r="F711" s="2"/>
      <c r="G711" s="2"/>
      <c r="M711" s="2"/>
      <c r="N711" s="2"/>
      <c r="O711" s="2"/>
      <c r="P711" s="2"/>
      <c r="U711" s="2"/>
      <c r="V711" s="2"/>
      <c r="W711" s="2"/>
      <c r="X711" s="2"/>
      <c r="AC711" s="2"/>
      <c r="AI711" s="2"/>
      <c r="AN711" s="2"/>
      <c r="AO711" s="2"/>
      <c r="AP711" s="2"/>
      <c r="AQ711" s="2"/>
      <c r="AR711" s="2"/>
      <c r="AS711" s="2"/>
    </row>
    <row r="712" spans="5:45" ht="15.75" customHeight="1">
      <c r="E712" s="2"/>
      <c r="F712" s="2"/>
      <c r="G712" s="2"/>
      <c r="M712" s="2"/>
      <c r="N712" s="2"/>
      <c r="O712" s="2"/>
      <c r="P712" s="2"/>
      <c r="U712" s="2"/>
      <c r="V712" s="2"/>
      <c r="W712" s="2"/>
      <c r="X712" s="2"/>
      <c r="AC712" s="2"/>
      <c r="AI712" s="2"/>
      <c r="AN712" s="2"/>
      <c r="AO712" s="2"/>
      <c r="AP712" s="2"/>
      <c r="AQ712" s="2"/>
      <c r="AR712" s="2"/>
      <c r="AS712" s="2"/>
    </row>
    <row r="713" spans="5:45" ht="15.75" customHeight="1">
      <c r="E713" s="2"/>
      <c r="F713" s="2"/>
      <c r="G713" s="2"/>
      <c r="M713" s="2"/>
      <c r="N713" s="2"/>
      <c r="O713" s="2"/>
      <c r="P713" s="2"/>
      <c r="U713" s="2"/>
      <c r="V713" s="2"/>
      <c r="W713" s="2"/>
      <c r="X713" s="2"/>
      <c r="AC713" s="2"/>
      <c r="AI713" s="2"/>
      <c r="AN713" s="2"/>
      <c r="AO713" s="2"/>
      <c r="AP713" s="2"/>
      <c r="AQ713" s="2"/>
      <c r="AR713" s="2"/>
      <c r="AS713" s="2"/>
    </row>
    <row r="714" spans="5:45" ht="15.75" customHeight="1">
      <c r="E714" s="2"/>
      <c r="F714" s="2"/>
      <c r="G714" s="2"/>
      <c r="M714" s="2"/>
      <c r="N714" s="2"/>
      <c r="O714" s="2"/>
      <c r="P714" s="2"/>
      <c r="U714" s="2"/>
      <c r="V714" s="2"/>
      <c r="W714" s="2"/>
      <c r="X714" s="2"/>
      <c r="AC714" s="2"/>
      <c r="AI714" s="2"/>
      <c r="AN714" s="2"/>
      <c r="AO714" s="2"/>
      <c r="AP714" s="2"/>
      <c r="AQ714" s="2"/>
      <c r="AR714" s="2"/>
      <c r="AS714" s="2"/>
    </row>
    <row r="715" spans="5:45" ht="15.75" customHeight="1">
      <c r="E715" s="2"/>
      <c r="F715" s="2"/>
      <c r="G715" s="2"/>
      <c r="M715" s="2"/>
      <c r="N715" s="2"/>
      <c r="O715" s="2"/>
      <c r="P715" s="2"/>
      <c r="U715" s="2"/>
      <c r="V715" s="2"/>
      <c r="W715" s="2"/>
      <c r="X715" s="2"/>
      <c r="AC715" s="2"/>
      <c r="AI715" s="2"/>
      <c r="AN715" s="2"/>
      <c r="AO715" s="2"/>
      <c r="AP715" s="2"/>
      <c r="AQ715" s="2"/>
      <c r="AR715" s="2"/>
      <c r="AS715" s="2"/>
    </row>
    <row r="716" spans="5:45" ht="15.75" customHeight="1">
      <c r="E716" s="2"/>
      <c r="F716" s="2"/>
      <c r="G716" s="2"/>
      <c r="M716" s="2"/>
      <c r="N716" s="2"/>
      <c r="O716" s="2"/>
      <c r="P716" s="2"/>
      <c r="U716" s="2"/>
      <c r="V716" s="2"/>
      <c r="W716" s="2"/>
      <c r="X716" s="2"/>
      <c r="AC716" s="2"/>
      <c r="AI716" s="2"/>
      <c r="AN716" s="2"/>
      <c r="AO716" s="2"/>
      <c r="AP716" s="2"/>
      <c r="AQ716" s="2"/>
      <c r="AR716" s="2"/>
      <c r="AS716" s="2"/>
    </row>
    <row r="717" spans="5:45" ht="15.75" customHeight="1">
      <c r="E717" s="2"/>
      <c r="F717" s="2"/>
      <c r="G717" s="2"/>
      <c r="M717" s="2"/>
      <c r="N717" s="2"/>
      <c r="O717" s="2"/>
      <c r="P717" s="2"/>
      <c r="U717" s="2"/>
      <c r="V717" s="2"/>
      <c r="W717" s="2"/>
      <c r="X717" s="2"/>
      <c r="AC717" s="2"/>
      <c r="AI717" s="2"/>
      <c r="AN717" s="2"/>
      <c r="AO717" s="2"/>
      <c r="AP717" s="2"/>
      <c r="AQ717" s="2"/>
      <c r="AR717" s="2"/>
      <c r="AS717" s="2"/>
    </row>
    <row r="718" spans="5:45" ht="15.75" customHeight="1">
      <c r="E718" s="2"/>
      <c r="F718" s="2"/>
      <c r="G718" s="2"/>
      <c r="M718" s="2"/>
      <c r="N718" s="2"/>
      <c r="O718" s="2"/>
      <c r="P718" s="2"/>
      <c r="U718" s="2"/>
      <c r="V718" s="2"/>
      <c r="W718" s="2"/>
      <c r="X718" s="2"/>
      <c r="AC718" s="2"/>
      <c r="AI718" s="2"/>
      <c r="AN718" s="2"/>
      <c r="AO718" s="2"/>
      <c r="AP718" s="2"/>
      <c r="AQ718" s="2"/>
      <c r="AR718" s="2"/>
      <c r="AS718" s="2"/>
    </row>
    <row r="719" spans="5:45" ht="15.75" customHeight="1">
      <c r="E719" s="2"/>
      <c r="F719" s="2"/>
      <c r="G719" s="2"/>
      <c r="M719" s="2"/>
      <c r="N719" s="2"/>
      <c r="O719" s="2"/>
      <c r="P719" s="2"/>
      <c r="U719" s="2"/>
      <c r="V719" s="2"/>
      <c r="W719" s="2"/>
      <c r="X719" s="2"/>
      <c r="AC719" s="2"/>
      <c r="AI719" s="2"/>
      <c r="AN719" s="2"/>
      <c r="AO719" s="2"/>
      <c r="AP719" s="2"/>
      <c r="AQ719" s="2"/>
      <c r="AR719" s="2"/>
      <c r="AS719" s="2"/>
    </row>
    <row r="720" spans="5:45" ht="15.75" customHeight="1">
      <c r="E720" s="2"/>
      <c r="F720" s="2"/>
      <c r="G720" s="2"/>
      <c r="M720" s="2"/>
      <c r="N720" s="2"/>
      <c r="O720" s="2"/>
      <c r="P720" s="2"/>
      <c r="U720" s="2"/>
      <c r="V720" s="2"/>
      <c r="W720" s="2"/>
      <c r="X720" s="2"/>
      <c r="AC720" s="2"/>
      <c r="AI720" s="2"/>
      <c r="AN720" s="2"/>
      <c r="AO720" s="2"/>
      <c r="AP720" s="2"/>
      <c r="AQ720" s="2"/>
      <c r="AR720" s="2"/>
      <c r="AS720" s="2"/>
    </row>
    <row r="721" spans="5:45" ht="15.75" customHeight="1">
      <c r="E721" s="2"/>
      <c r="F721" s="2"/>
      <c r="G721" s="2"/>
      <c r="M721" s="2"/>
      <c r="N721" s="2"/>
      <c r="O721" s="2"/>
      <c r="P721" s="2"/>
      <c r="U721" s="2"/>
      <c r="V721" s="2"/>
      <c r="W721" s="2"/>
      <c r="X721" s="2"/>
      <c r="AC721" s="2"/>
      <c r="AI721" s="2"/>
      <c r="AN721" s="2"/>
      <c r="AO721" s="2"/>
      <c r="AP721" s="2"/>
      <c r="AQ721" s="2"/>
      <c r="AR721" s="2"/>
      <c r="AS721" s="2"/>
    </row>
    <row r="722" spans="5:45" ht="15.75" customHeight="1">
      <c r="E722" s="2"/>
      <c r="F722" s="2"/>
      <c r="G722" s="2"/>
      <c r="M722" s="2"/>
      <c r="N722" s="2"/>
      <c r="O722" s="2"/>
      <c r="P722" s="2"/>
      <c r="U722" s="2"/>
      <c r="V722" s="2"/>
      <c r="W722" s="2"/>
      <c r="X722" s="2"/>
      <c r="AC722" s="2"/>
      <c r="AI722" s="2"/>
      <c r="AN722" s="2"/>
      <c r="AO722" s="2"/>
      <c r="AP722" s="2"/>
      <c r="AQ722" s="2"/>
      <c r="AR722" s="2"/>
      <c r="AS722" s="2"/>
    </row>
    <row r="723" spans="5:45" ht="15.75" customHeight="1">
      <c r="E723" s="2"/>
      <c r="F723" s="2"/>
      <c r="G723" s="2"/>
      <c r="M723" s="2"/>
      <c r="N723" s="2"/>
      <c r="O723" s="2"/>
      <c r="P723" s="2"/>
      <c r="U723" s="2"/>
      <c r="V723" s="2"/>
      <c r="W723" s="2"/>
      <c r="X723" s="2"/>
      <c r="AC723" s="2"/>
      <c r="AI723" s="2"/>
      <c r="AN723" s="2"/>
      <c r="AO723" s="2"/>
      <c r="AP723" s="2"/>
      <c r="AQ723" s="2"/>
      <c r="AR723" s="2"/>
      <c r="AS723" s="2"/>
    </row>
    <row r="724" spans="5:45" ht="15.75" customHeight="1">
      <c r="E724" s="2"/>
      <c r="F724" s="2"/>
      <c r="G724" s="2"/>
      <c r="M724" s="2"/>
      <c r="N724" s="2"/>
      <c r="O724" s="2"/>
      <c r="P724" s="2"/>
      <c r="U724" s="2"/>
      <c r="V724" s="2"/>
      <c r="W724" s="2"/>
      <c r="X724" s="2"/>
      <c r="AC724" s="2"/>
      <c r="AI724" s="2"/>
      <c r="AN724" s="2"/>
      <c r="AO724" s="2"/>
      <c r="AP724" s="2"/>
      <c r="AQ724" s="2"/>
      <c r="AR724" s="2"/>
      <c r="AS724" s="2"/>
    </row>
    <row r="725" spans="5:45" ht="15.75" customHeight="1">
      <c r="E725" s="2"/>
      <c r="F725" s="2"/>
      <c r="G725" s="2"/>
      <c r="M725" s="2"/>
      <c r="N725" s="2"/>
      <c r="O725" s="2"/>
      <c r="P725" s="2"/>
      <c r="U725" s="2"/>
      <c r="V725" s="2"/>
      <c r="W725" s="2"/>
      <c r="X725" s="2"/>
      <c r="AC725" s="2"/>
      <c r="AI725" s="2"/>
      <c r="AN725" s="2"/>
      <c r="AO725" s="2"/>
      <c r="AP725" s="2"/>
      <c r="AQ725" s="2"/>
      <c r="AR725" s="2"/>
      <c r="AS725" s="2"/>
    </row>
    <row r="726" spans="5:45" ht="15.75" customHeight="1">
      <c r="E726" s="2"/>
      <c r="F726" s="2"/>
      <c r="G726" s="2"/>
      <c r="M726" s="2"/>
      <c r="N726" s="2"/>
      <c r="O726" s="2"/>
      <c r="P726" s="2"/>
      <c r="U726" s="2"/>
      <c r="V726" s="2"/>
      <c r="W726" s="2"/>
      <c r="X726" s="2"/>
      <c r="AC726" s="2"/>
      <c r="AI726" s="2"/>
      <c r="AN726" s="2"/>
      <c r="AO726" s="2"/>
      <c r="AP726" s="2"/>
      <c r="AQ726" s="2"/>
      <c r="AR726" s="2"/>
      <c r="AS726" s="2"/>
    </row>
    <row r="727" spans="5:45" ht="15.75" customHeight="1">
      <c r="E727" s="2"/>
      <c r="F727" s="2"/>
      <c r="G727" s="2"/>
      <c r="M727" s="2"/>
      <c r="N727" s="2"/>
      <c r="O727" s="2"/>
      <c r="P727" s="2"/>
      <c r="U727" s="2"/>
      <c r="V727" s="2"/>
      <c r="W727" s="2"/>
      <c r="X727" s="2"/>
      <c r="AC727" s="2"/>
      <c r="AI727" s="2"/>
      <c r="AN727" s="2"/>
      <c r="AO727" s="2"/>
      <c r="AP727" s="2"/>
      <c r="AQ727" s="2"/>
      <c r="AR727" s="2"/>
      <c r="AS727" s="2"/>
    </row>
    <row r="728" spans="5:45" ht="15.75" customHeight="1">
      <c r="E728" s="2"/>
      <c r="F728" s="2"/>
      <c r="G728" s="2"/>
      <c r="M728" s="2"/>
      <c r="N728" s="2"/>
      <c r="O728" s="2"/>
      <c r="P728" s="2"/>
      <c r="U728" s="2"/>
      <c r="V728" s="2"/>
      <c r="W728" s="2"/>
      <c r="X728" s="2"/>
      <c r="AC728" s="2"/>
      <c r="AI728" s="2"/>
      <c r="AN728" s="2"/>
      <c r="AO728" s="2"/>
      <c r="AP728" s="2"/>
      <c r="AQ728" s="2"/>
      <c r="AR728" s="2"/>
      <c r="AS728" s="2"/>
    </row>
    <row r="729" spans="5:45" ht="15.75" customHeight="1">
      <c r="E729" s="2"/>
      <c r="F729" s="2"/>
      <c r="G729" s="2"/>
      <c r="M729" s="2"/>
      <c r="N729" s="2"/>
      <c r="O729" s="2"/>
      <c r="P729" s="2"/>
      <c r="U729" s="2"/>
      <c r="V729" s="2"/>
      <c r="W729" s="2"/>
      <c r="X729" s="2"/>
      <c r="AC729" s="2"/>
      <c r="AI729" s="2"/>
      <c r="AN729" s="2"/>
      <c r="AO729" s="2"/>
      <c r="AP729" s="2"/>
      <c r="AQ729" s="2"/>
      <c r="AR729" s="2"/>
      <c r="AS729" s="2"/>
    </row>
    <row r="730" spans="5:45" ht="15.75" customHeight="1">
      <c r="E730" s="2"/>
      <c r="F730" s="2"/>
      <c r="G730" s="2"/>
      <c r="M730" s="2"/>
      <c r="N730" s="2"/>
      <c r="O730" s="2"/>
      <c r="P730" s="2"/>
      <c r="U730" s="2"/>
      <c r="V730" s="2"/>
      <c r="W730" s="2"/>
      <c r="X730" s="2"/>
      <c r="AC730" s="2"/>
      <c r="AI730" s="2"/>
      <c r="AN730" s="2"/>
      <c r="AO730" s="2"/>
      <c r="AP730" s="2"/>
      <c r="AQ730" s="2"/>
      <c r="AR730" s="2"/>
      <c r="AS730" s="2"/>
    </row>
    <row r="731" spans="5:45" ht="15.75" customHeight="1">
      <c r="E731" s="2"/>
      <c r="F731" s="2"/>
      <c r="G731" s="2"/>
      <c r="M731" s="2"/>
      <c r="N731" s="2"/>
      <c r="O731" s="2"/>
      <c r="P731" s="2"/>
      <c r="U731" s="2"/>
      <c r="V731" s="2"/>
      <c r="W731" s="2"/>
      <c r="X731" s="2"/>
      <c r="AC731" s="2"/>
      <c r="AI731" s="2"/>
      <c r="AN731" s="2"/>
      <c r="AO731" s="2"/>
      <c r="AP731" s="2"/>
      <c r="AQ731" s="2"/>
      <c r="AR731" s="2"/>
      <c r="AS731" s="2"/>
    </row>
    <row r="732" spans="5:45" ht="15.75" customHeight="1">
      <c r="E732" s="2"/>
      <c r="F732" s="2"/>
      <c r="G732" s="2"/>
      <c r="M732" s="2"/>
      <c r="N732" s="2"/>
      <c r="O732" s="2"/>
      <c r="P732" s="2"/>
      <c r="U732" s="2"/>
      <c r="V732" s="2"/>
      <c r="W732" s="2"/>
      <c r="X732" s="2"/>
      <c r="AC732" s="2"/>
      <c r="AI732" s="2"/>
      <c r="AN732" s="2"/>
      <c r="AO732" s="2"/>
      <c r="AP732" s="2"/>
      <c r="AQ732" s="2"/>
      <c r="AR732" s="2"/>
      <c r="AS732" s="2"/>
    </row>
    <row r="733" spans="5:45" ht="15.75" customHeight="1">
      <c r="E733" s="2"/>
      <c r="F733" s="2"/>
      <c r="G733" s="2"/>
      <c r="M733" s="2"/>
      <c r="N733" s="2"/>
      <c r="O733" s="2"/>
      <c r="P733" s="2"/>
      <c r="U733" s="2"/>
      <c r="V733" s="2"/>
      <c r="W733" s="2"/>
      <c r="X733" s="2"/>
      <c r="AC733" s="2"/>
      <c r="AI733" s="2"/>
      <c r="AN733" s="2"/>
      <c r="AO733" s="2"/>
      <c r="AP733" s="2"/>
      <c r="AQ733" s="2"/>
      <c r="AR733" s="2"/>
      <c r="AS733" s="2"/>
    </row>
    <row r="734" spans="5:45" ht="15.75" customHeight="1">
      <c r="E734" s="2"/>
      <c r="F734" s="2"/>
      <c r="G734" s="2"/>
      <c r="M734" s="2"/>
      <c r="N734" s="2"/>
      <c r="O734" s="2"/>
      <c r="P734" s="2"/>
      <c r="U734" s="2"/>
      <c r="V734" s="2"/>
      <c r="W734" s="2"/>
      <c r="X734" s="2"/>
      <c r="AC734" s="2"/>
      <c r="AI734" s="2"/>
      <c r="AN734" s="2"/>
      <c r="AO734" s="2"/>
      <c r="AP734" s="2"/>
      <c r="AQ734" s="2"/>
      <c r="AR734" s="2"/>
      <c r="AS734" s="2"/>
    </row>
    <row r="735" spans="5:45" ht="15.75" customHeight="1">
      <c r="E735" s="2"/>
      <c r="F735" s="2"/>
      <c r="G735" s="2"/>
      <c r="M735" s="2"/>
      <c r="N735" s="2"/>
      <c r="O735" s="2"/>
      <c r="P735" s="2"/>
      <c r="U735" s="2"/>
      <c r="V735" s="2"/>
      <c r="W735" s="2"/>
      <c r="X735" s="2"/>
      <c r="AC735" s="2"/>
      <c r="AI735" s="2"/>
      <c r="AN735" s="2"/>
      <c r="AO735" s="2"/>
      <c r="AP735" s="2"/>
      <c r="AQ735" s="2"/>
      <c r="AR735" s="2"/>
      <c r="AS735" s="2"/>
    </row>
    <row r="736" spans="5:45" ht="15.75" customHeight="1">
      <c r="E736" s="2"/>
      <c r="F736" s="2"/>
      <c r="G736" s="2"/>
      <c r="M736" s="2"/>
      <c r="N736" s="2"/>
      <c r="O736" s="2"/>
      <c r="P736" s="2"/>
      <c r="U736" s="2"/>
      <c r="V736" s="2"/>
      <c r="W736" s="2"/>
      <c r="X736" s="2"/>
      <c r="AC736" s="2"/>
      <c r="AI736" s="2"/>
      <c r="AN736" s="2"/>
      <c r="AO736" s="2"/>
      <c r="AP736" s="2"/>
      <c r="AQ736" s="2"/>
      <c r="AR736" s="2"/>
      <c r="AS736" s="2"/>
    </row>
    <row r="737" spans="5:45" ht="15.75" customHeight="1">
      <c r="E737" s="2"/>
      <c r="F737" s="2"/>
      <c r="G737" s="2"/>
      <c r="M737" s="2"/>
      <c r="N737" s="2"/>
      <c r="O737" s="2"/>
      <c r="P737" s="2"/>
      <c r="U737" s="2"/>
      <c r="V737" s="2"/>
      <c r="W737" s="2"/>
      <c r="X737" s="2"/>
      <c r="AC737" s="2"/>
      <c r="AI737" s="2"/>
      <c r="AN737" s="2"/>
      <c r="AO737" s="2"/>
      <c r="AP737" s="2"/>
      <c r="AQ737" s="2"/>
      <c r="AR737" s="2"/>
      <c r="AS737" s="2"/>
    </row>
    <row r="738" spans="5:45" ht="15.75" customHeight="1">
      <c r="E738" s="2"/>
      <c r="F738" s="2"/>
      <c r="G738" s="2"/>
      <c r="M738" s="2"/>
      <c r="N738" s="2"/>
      <c r="O738" s="2"/>
      <c r="P738" s="2"/>
      <c r="U738" s="2"/>
      <c r="V738" s="2"/>
      <c r="W738" s="2"/>
      <c r="X738" s="2"/>
      <c r="AC738" s="2"/>
      <c r="AI738" s="2"/>
      <c r="AN738" s="2"/>
      <c r="AO738" s="2"/>
      <c r="AP738" s="2"/>
      <c r="AQ738" s="2"/>
      <c r="AR738" s="2"/>
      <c r="AS738" s="2"/>
    </row>
    <row r="739" spans="5:45" ht="15.75" customHeight="1">
      <c r="E739" s="2"/>
      <c r="F739" s="2"/>
      <c r="G739" s="2"/>
      <c r="M739" s="2"/>
      <c r="N739" s="2"/>
      <c r="O739" s="2"/>
      <c r="P739" s="2"/>
      <c r="U739" s="2"/>
      <c r="V739" s="2"/>
      <c r="W739" s="2"/>
      <c r="X739" s="2"/>
      <c r="AC739" s="2"/>
      <c r="AI739" s="2"/>
      <c r="AN739" s="2"/>
      <c r="AO739" s="2"/>
      <c r="AP739" s="2"/>
      <c r="AQ739" s="2"/>
      <c r="AR739" s="2"/>
      <c r="AS739" s="2"/>
    </row>
    <row r="740" spans="5:45" ht="15.75" customHeight="1">
      <c r="E740" s="2"/>
      <c r="F740" s="2"/>
      <c r="G740" s="2"/>
      <c r="M740" s="2"/>
      <c r="N740" s="2"/>
      <c r="O740" s="2"/>
      <c r="P740" s="2"/>
      <c r="U740" s="2"/>
      <c r="V740" s="2"/>
      <c r="W740" s="2"/>
      <c r="X740" s="2"/>
      <c r="AC740" s="2"/>
      <c r="AI740" s="2"/>
      <c r="AN740" s="2"/>
      <c r="AO740" s="2"/>
      <c r="AP740" s="2"/>
      <c r="AQ740" s="2"/>
      <c r="AR740" s="2"/>
      <c r="AS740" s="2"/>
    </row>
    <row r="741" spans="5:45" ht="15.75" customHeight="1">
      <c r="E741" s="2"/>
      <c r="F741" s="2"/>
      <c r="G741" s="2"/>
      <c r="M741" s="2"/>
      <c r="N741" s="2"/>
      <c r="O741" s="2"/>
      <c r="P741" s="2"/>
      <c r="U741" s="2"/>
      <c r="V741" s="2"/>
      <c r="W741" s="2"/>
      <c r="X741" s="2"/>
      <c r="AC741" s="2"/>
      <c r="AI741" s="2"/>
      <c r="AN741" s="2"/>
      <c r="AO741" s="2"/>
      <c r="AP741" s="2"/>
      <c r="AQ741" s="2"/>
      <c r="AR741" s="2"/>
      <c r="AS741" s="2"/>
    </row>
    <row r="742" spans="5:45" ht="15.75" customHeight="1">
      <c r="E742" s="2"/>
      <c r="F742" s="2"/>
      <c r="G742" s="2"/>
      <c r="M742" s="2"/>
      <c r="N742" s="2"/>
      <c r="O742" s="2"/>
      <c r="P742" s="2"/>
      <c r="U742" s="2"/>
      <c r="V742" s="2"/>
      <c r="W742" s="2"/>
      <c r="X742" s="2"/>
      <c r="AC742" s="2"/>
      <c r="AI742" s="2"/>
      <c r="AN742" s="2"/>
      <c r="AO742" s="2"/>
      <c r="AP742" s="2"/>
      <c r="AQ742" s="2"/>
      <c r="AR742" s="2"/>
      <c r="AS742" s="2"/>
    </row>
    <row r="743" spans="5:45" ht="15.75" customHeight="1">
      <c r="E743" s="2"/>
      <c r="F743" s="2"/>
      <c r="G743" s="2"/>
      <c r="M743" s="2"/>
      <c r="N743" s="2"/>
      <c r="O743" s="2"/>
      <c r="P743" s="2"/>
      <c r="U743" s="2"/>
      <c r="V743" s="2"/>
      <c r="W743" s="2"/>
      <c r="X743" s="2"/>
      <c r="AC743" s="2"/>
      <c r="AI743" s="2"/>
      <c r="AN743" s="2"/>
      <c r="AO743" s="2"/>
      <c r="AP743" s="2"/>
      <c r="AQ743" s="2"/>
      <c r="AR743" s="2"/>
      <c r="AS743" s="2"/>
    </row>
    <row r="744" spans="5:45" ht="15.75" customHeight="1">
      <c r="E744" s="2"/>
      <c r="F744" s="2"/>
      <c r="G744" s="2"/>
      <c r="M744" s="2"/>
      <c r="N744" s="2"/>
      <c r="O744" s="2"/>
      <c r="P744" s="2"/>
      <c r="U744" s="2"/>
      <c r="V744" s="2"/>
      <c r="W744" s="2"/>
      <c r="X744" s="2"/>
      <c r="AC744" s="2"/>
      <c r="AI744" s="2"/>
      <c r="AN744" s="2"/>
      <c r="AO744" s="2"/>
      <c r="AP744" s="2"/>
      <c r="AQ744" s="2"/>
      <c r="AR744" s="2"/>
      <c r="AS744" s="2"/>
    </row>
    <row r="745" spans="5:45" ht="15.75" customHeight="1">
      <c r="E745" s="2"/>
      <c r="F745" s="2"/>
      <c r="G745" s="2"/>
      <c r="M745" s="2"/>
      <c r="N745" s="2"/>
      <c r="O745" s="2"/>
      <c r="P745" s="2"/>
      <c r="U745" s="2"/>
      <c r="V745" s="2"/>
      <c r="W745" s="2"/>
      <c r="X745" s="2"/>
      <c r="AC745" s="2"/>
      <c r="AI745" s="2"/>
      <c r="AN745" s="2"/>
      <c r="AO745" s="2"/>
      <c r="AP745" s="2"/>
      <c r="AQ745" s="2"/>
      <c r="AR745" s="2"/>
      <c r="AS745" s="2"/>
    </row>
    <row r="746" spans="5:45" ht="15.75" customHeight="1">
      <c r="E746" s="2"/>
      <c r="F746" s="2"/>
      <c r="G746" s="2"/>
      <c r="M746" s="2"/>
      <c r="N746" s="2"/>
      <c r="O746" s="2"/>
      <c r="P746" s="2"/>
      <c r="U746" s="2"/>
      <c r="V746" s="2"/>
      <c r="W746" s="2"/>
      <c r="X746" s="2"/>
      <c r="AC746" s="2"/>
      <c r="AI746" s="2"/>
      <c r="AN746" s="2"/>
      <c r="AO746" s="2"/>
      <c r="AP746" s="2"/>
      <c r="AQ746" s="2"/>
      <c r="AR746" s="2"/>
      <c r="AS746" s="2"/>
    </row>
    <row r="747" spans="5:45" ht="15.75" customHeight="1">
      <c r="E747" s="2"/>
      <c r="F747" s="2"/>
      <c r="G747" s="2"/>
      <c r="M747" s="2"/>
      <c r="N747" s="2"/>
      <c r="O747" s="2"/>
      <c r="P747" s="2"/>
      <c r="U747" s="2"/>
      <c r="V747" s="2"/>
      <c r="W747" s="2"/>
      <c r="X747" s="2"/>
      <c r="AC747" s="2"/>
      <c r="AI747" s="2"/>
      <c r="AN747" s="2"/>
      <c r="AO747" s="2"/>
      <c r="AP747" s="2"/>
      <c r="AQ747" s="2"/>
      <c r="AR747" s="2"/>
      <c r="AS747" s="2"/>
    </row>
    <row r="748" spans="5:45" ht="15.75" customHeight="1">
      <c r="E748" s="2"/>
      <c r="F748" s="2"/>
      <c r="G748" s="2"/>
      <c r="M748" s="2"/>
      <c r="N748" s="2"/>
      <c r="O748" s="2"/>
      <c r="P748" s="2"/>
      <c r="U748" s="2"/>
      <c r="V748" s="2"/>
      <c r="W748" s="2"/>
      <c r="X748" s="2"/>
      <c r="AC748" s="2"/>
      <c r="AI748" s="2"/>
      <c r="AN748" s="2"/>
      <c r="AO748" s="2"/>
      <c r="AP748" s="2"/>
      <c r="AQ748" s="2"/>
      <c r="AR748" s="2"/>
      <c r="AS748" s="2"/>
    </row>
    <row r="749" spans="5:45" ht="15.75" customHeight="1">
      <c r="E749" s="2"/>
      <c r="F749" s="2"/>
      <c r="G749" s="2"/>
      <c r="M749" s="2"/>
      <c r="N749" s="2"/>
      <c r="O749" s="2"/>
      <c r="P749" s="2"/>
      <c r="U749" s="2"/>
      <c r="V749" s="2"/>
      <c r="W749" s="2"/>
      <c r="X749" s="2"/>
      <c r="AC749" s="2"/>
      <c r="AI749" s="2"/>
      <c r="AN749" s="2"/>
      <c r="AO749" s="2"/>
      <c r="AP749" s="2"/>
      <c r="AQ749" s="2"/>
      <c r="AR749" s="2"/>
      <c r="AS749" s="2"/>
    </row>
    <row r="750" spans="5:45" ht="15.75" customHeight="1">
      <c r="E750" s="2"/>
      <c r="F750" s="2"/>
      <c r="G750" s="2"/>
      <c r="M750" s="2"/>
      <c r="N750" s="2"/>
      <c r="O750" s="2"/>
      <c r="P750" s="2"/>
      <c r="U750" s="2"/>
      <c r="V750" s="2"/>
      <c r="W750" s="2"/>
      <c r="X750" s="2"/>
      <c r="AC750" s="2"/>
      <c r="AI750" s="2"/>
      <c r="AN750" s="2"/>
      <c r="AO750" s="2"/>
      <c r="AP750" s="2"/>
      <c r="AQ750" s="2"/>
      <c r="AR750" s="2"/>
      <c r="AS750" s="2"/>
    </row>
    <row r="751" spans="5:45" ht="15.75" customHeight="1">
      <c r="E751" s="2"/>
      <c r="F751" s="2"/>
      <c r="G751" s="2"/>
      <c r="M751" s="2"/>
      <c r="N751" s="2"/>
      <c r="O751" s="2"/>
      <c r="P751" s="2"/>
      <c r="U751" s="2"/>
      <c r="V751" s="2"/>
      <c r="W751" s="2"/>
      <c r="X751" s="2"/>
      <c r="AC751" s="2"/>
      <c r="AI751" s="2"/>
      <c r="AN751" s="2"/>
      <c r="AO751" s="2"/>
      <c r="AP751" s="2"/>
      <c r="AQ751" s="2"/>
      <c r="AR751" s="2"/>
      <c r="AS751" s="2"/>
    </row>
    <row r="752" spans="5:45" ht="15.75" customHeight="1">
      <c r="E752" s="2"/>
      <c r="F752" s="2"/>
      <c r="G752" s="2"/>
      <c r="M752" s="2"/>
      <c r="N752" s="2"/>
      <c r="O752" s="2"/>
      <c r="P752" s="2"/>
      <c r="U752" s="2"/>
      <c r="V752" s="2"/>
      <c r="W752" s="2"/>
      <c r="X752" s="2"/>
      <c r="AC752" s="2"/>
      <c r="AI752" s="2"/>
      <c r="AN752" s="2"/>
      <c r="AO752" s="2"/>
      <c r="AP752" s="2"/>
      <c r="AQ752" s="2"/>
      <c r="AR752" s="2"/>
      <c r="AS752" s="2"/>
    </row>
    <row r="753" spans="5:45" ht="15.75" customHeight="1">
      <c r="E753" s="2"/>
      <c r="F753" s="2"/>
      <c r="G753" s="2"/>
      <c r="M753" s="2"/>
      <c r="N753" s="2"/>
      <c r="O753" s="2"/>
      <c r="P753" s="2"/>
      <c r="U753" s="2"/>
      <c r="V753" s="2"/>
      <c r="W753" s="2"/>
      <c r="X753" s="2"/>
      <c r="AC753" s="2"/>
      <c r="AI753" s="2"/>
      <c r="AN753" s="2"/>
      <c r="AO753" s="2"/>
      <c r="AP753" s="2"/>
      <c r="AQ753" s="2"/>
      <c r="AR753" s="2"/>
      <c r="AS753" s="2"/>
    </row>
    <row r="754" spans="5:45" ht="15.75" customHeight="1">
      <c r="E754" s="2"/>
      <c r="F754" s="2"/>
      <c r="G754" s="2"/>
      <c r="M754" s="2"/>
      <c r="N754" s="2"/>
      <c r="O754" s="2"/>
      <c r="P754" s="2"/>
      <c r="U754" s="2"/>
      <c r="V754" s="2"/>
      <c r="W754" s="2"/>
      <c r="X754" s="2"/>
      <c r="AC754" s="2"/>
      <c r="AI754" s="2"/>
      <c r="AN754" s="2"/>
      <c r="AO754" s="2"/>
      <c r="AP754" s="2"/>
      <c r="AQ754" s="2"/>
      <c r="AR754" s="2"/>
      <c r="AS754" s="2"/>
    </row>
    <row r="755" spans="5:45" ht="15.75" customHeight="1">
      <c r="E755" s="2"/>
      <c r="F755" s="2"/>
      <c r="G755" s="2"/>
      <c r="M755" s="2"/>
      <c r="N755" s="2"/>
      <c r="O755" s="2"/>
      <c r="P755" s="2"/>
      <c r="U755" s="2"/>
      <c r="V755" s="2"/>
      <c r="W755" s="2"/>
      <c r="X755" s="2"/>
      <c r="AC755" s="2"/>
      <c r="AI755" s="2"/>
      <c r="AN755" s="2"/>
      <c r="AO755" s="2"/>
      <c r="AP755" s="2"/>
      <c r="AQ755" s="2"/>
      <c r="AR755" s="2"/>
      <c r="AS755" s="2"/>
    </row>
    <row r="756" spans="5:45" ht="15.75" customHeight="1">
      <c r="E756" s="2"/>
      <c r="F756" s="2"/>
      <c r="G756" s="2"/>
      <c r="M756" s="2"/>
      <c r="N756" s="2"/>
      <c r="O756" s="2"/>
      <c r="P756" s="2"/>
      <c r="U756" s="2"/>
      <c r="V756" s="2"/>
      <c r="W756" s="2"/>
      <c r="X756" s="2"/>
      <c r="AC756" s="2"/>
      <c r="AI756" s="2"/>
      <c r="AN756" s="2"/>
      <c r="AO756" s="2"/>
      <c r="AP756" s="2"/>
      <c r="AQ756" s="2"/>
      <c r="AR756" s="2"/>
      <c r="AS756" s="2"/>
    </row>
    <row r="757" spans="5:45" ht="15.75" customHeight="1">
      <c r="E757" s="2"/>
      <c r="F757" s="2"/>
      <c r="G757" s="2"/>
      <c r="M757" s="2"/>
      <c r="N757" s="2"/>
      <c r="O757" s="2"/>
      <c r="P757" s="2"/>
      <c r="U757" s="2"/>
      <c r="V757" s="2"/>
      <c r="W757" s="2"/>
      <c r="X757" s="2"/>
      <c r="AC757" s="2"/>
      <c r="AI757" s="2"/>
      <c r="AN757" s="2"/>
      <c r="AO757" s="2"/>
      <c r="AP757" s="2"/>
      <c r="AQ757" s="2"/>
      <c r="AR757" s="2"/>
      <c r="AS757" s="2"/>
    </row>
    <row r="758" spans="5:45" ht="15.75" customHeight="1">
      <c r="E758" s="2"/>
      <c r="F758" s="2"/>
      <c r="G758" s="2"/>
      <c r="M758" s="2"/>
      <c r="N758" s="2"/>
      <c r="O758" s="2"/>
      <c r="P758" s="2"/>
      <c r="U758" s="2"/>
      <c r="V758" s="2"/>
      <c r="W758" s="2"/>
      <c r="X758" s="2"/>
      <c r="AC758" s="2"/>
      <c r="AI758" s="2"/>
      <c r="AN758" s="2"/>
      <c r="AO758" s="2"/>
      <c r="AP758" s="2"/>
      <c r="AQ758" s="2"/>
      <c r="AR758" s="2"/>
      <c r="AS758" s="2"/>
    </row>
    <row r="759" spans="5:45" ht="15.75" customHeight="1">
      <c r="E759" s="2"/>
      <c r="F759" s="2"/>
      <c r="G759" s="2"/>
      <c r="M759" s="2"/>
      <c r="N759" s="2"/>
      <c r="O759" s="2"/>
      <c r="P759" s="2"/>
      <c r="U759" s="2"/>
      <c r="V759" s="2"/>
      <c r="W759" s="2"/>
      <c r="X759" s="2"/>
      <c r="AC759" s="2"/>
      <c r="AI759" s="2"/>
      <c r="AN759" s="2"/>
      <c r="AO759" s="2"/>
      <c r="AP759" s="2"/>
      <c r="AQ759" s="2"/>
      <c r="AR759" s="2"/>
      <c r="AS759" s="2"/>
    </row>
    <row r="760" spans="5:45" ht="15.75" customHeight="1">
      <c r="E760" s="2"/>
      <c r="F760" s="2"/>
      <c r="G760" s="2"/>
      <c r="M760" s="2"/>
      <c r="N760" s="2"/>
      <c r="O760" s="2"/>
      <c r="P760" s="2"/>
      <c r="U760" s="2"/>
      <c r="V760" s="2"/>
      <c r="W760" s="2"/>
      <c r="X760" s="2"/>
      <c r="AC760" s="2"/>
      <c r="AI760" s="2"/>
      <c r="AN760" s="2"/>
      <c r="AO760" s="2"/>
      <c r="AP760" s="2"/>
      <c r="AQ760" s="2"/>
      <c r="AR760" s="2"/>
      <c r="AS760" s="2"/>
    </row>
    <row r="761" spans="5:45" ht="15.75" customHeight="1">
      <c r="E761" s="2"/>
      <c r="F761" s="2"/>
      <c r="G761" s="2"/>
      <c r="M761" s="2"/>
      <c r="N761" s="2"/>
      <c r="O761" s="2"/>
      <c r="P761" s="2"/>
      <c r="U761" s="2"/>
      <c r="V761" s="2"/>
      <c r="W761" s="2"/>
      <c r="X761" s="2"/>
      <c r="AC761" s="2"/>
      <c r="AI761" s="2"/>
      <c r="AN761" s="2"/>
      <c r="AO761" s="2"/>
      <c r="AP761" s="2"/>
      <c r="AQ761" s="2"/>
      <c r="AR761" s="2"/>
      <c r="AS761" s="2"/>
    </row>
    <row r="762" spans="5:45" ht="15.75" customHeight="1">
      <c r="E762" s="2"/>
      <c r="F762" s="2"/>
      <c r="G762" s="2"/>
      <c r="M762" s="2"/>
      <c r="N762" s="2"/>
      <c r="O762" s="2"/>
      <c r="P762" s="2"/>
      <c r="U762" s="2"/>
      <c r="V762" s="2"/>
      <c r="W762" s="2"/>
      <c r="X762" s="2"/>
      <c r="AC762" s="2"/>
      <c r="AI762" s="2"/>
      <c r="AN762" s="2"/>
      <c r="AO762" s="2"/>
      <c r="AP762" s="2"/>
      <c r="AQ762" s="2"/>
      <c r="AR762" s="2"/>
      <c r="AS762" s="2"/>
    </row>
    <row r="763" spans="5:45" ht="15.75" customHeight="1">
      <c r="E763" s="2"/>
      <c r="F763" s="2"/>
      <c r="G763" s="2"/>
      <c r="M763" s="2"/>
      <c r="N763" s="2"/>
      <c r="O763" s="2"/>
      <c r="P763" s="2"/>
      <c r="U763" s="2"/>
      <c r="V763" s="2"/>
      <c r="W763" s="2"/>
      <c r="X763" s="2"/>
      <c r="AC763" s="2"/>
      <c r="AI763" s="2"/>
      <c r="AN763" s="2"/>
      <c r="AO763" s="2"/>
      <c r="AP763" s="2"/>
      <c r="AQ763" s="2"/>
      <c r="AR763" s="2"/>
      <c r="AS763" s="2"/>
    </row>
    <row r="764" spans="5:45" ht="15.75" customHeight="1">
      <c r="E764" s="2"/>
      <c r="F764" s="2"/>
      <c r="G764" s="2"/>
      <c r="M764" s="2"/>
      <c r="N764" s="2"/>
      <c r="O764" s="2"/>
      <c r="P764" s="2"/>
      <c r="U764" s="2"/>
      <c r="V764" s="2"/>
      <c r="W764" s="2"/>
      <c r="X764" s="2"/>
      <c r="AC764" s="2"/>
      <c r="AI764" s="2"/>
      <c r="AN764" s="2"/>
      <c r="AO764" s="2"/>
      <c r="AP764" s="2"/>
      <c r="AQ764" s="2"/>
      <c r="AR764" s="2"/>
      <c r="AS764" s="2"/>
    </row>
    <row r="765" spans="5:45" ht="15.75" customHeight="1">
      <c r="E765" s="2"/>
      <c r="F765" s="2"/>
      <c r="G765" s="2"/>
      <c r="M765" s="2"/>
      <c r="N765" s="2"/>
      <c r="O765" s="2"/>
      <c r="P765" s="2"/>
      <c r="U765" s="2"/>
      <c r="V765" s="2"/>
      <c r="W765" s="2"/>
      <c r="X765" s="2"/>
      <c r="AC765" s="2"/>
      <c r="AI765" s="2"/>
      <c r="AN765" s="2"/>
      <c r="AO765" s="2"/>
      <c r="AP765" s="2"/>
      <c r="AQ765" s="2"/>
      <c r="AR765" s="2"/>
      <c r="AS765" s="2"/>
    </row>
    <row r="766" spans="5:45" ht="15.75" customHeight="1">
      <c r="E766" s="2"/>
      <c r="F766" s="2"/>
      <c r="G766" s="2"/>
      <c r="M766" s="2"/>
      <c r="N766" s="2"/>
      <c r="O766" s="2"/>
      <c r="P766" s="2"/>
      <c r="U766" s="2"/>
      <c r="V766" s="2"/>
      <c r="W766" s="2"/>
      <c r="X766" s="2"/>
      <c r="AC766" s="2"/>
      <c r="AI766" s="2"/>
      <c r="AN766" s="2"/>
      <c r="AO766" s="2"/>
      <c r="AP766" s="2"/>
      <c r="AQ766" s="2"/>
      <c r="AR766" s="2"/>
      <c r="AS766" s="2"/>
    </row>
    <row r="767" spans="5:45" ht="15.75" customHeight="1">
      <c r="E767" s="2"/>
      <c r="F767" s="2"/>
      <c r="G767" s="2"/>
      <c r="M767" s="2"/>
      <c r="N767" s="2"/>
      <c r="O767" s="2"/>
      <c r="P767" s="2"/>
      <c r="U767" s="2"/>
      <c r="V767" s="2"/>
      <c r="W767" s="2"/>
      <c r="X767" s="2"/>
      <c r="AC767" s="2"/>
      <c r="AI767" s="2"/>
      <c r="AN767" s="2"/>
      <c r="AO767" s="2"/>
      <c r="AP767" s="2"/>
      <c r="AQ767" s="2"/>
      <c r="AR767" s="2"/>
      <c r="AS767" s="2"/>
    </row>
    <row r="768" spans="5:45" ht="15.75" customHeight="1">
      <c r="E768" s="2"/>
      <c r="F768" s="2"/>
      <c r="G768" s="2"/>
      <c r="M768" s="2"/>
      <c r="N768" s="2"/>
      <c r="O768" s="2"/>
      <c r="P768" s="2"/>
      <c r="U768" s="2"/>
      <c r="V768" s="2"/>
      <c r="W768" s="2"/>
      <c r="X768" s="2"/>
      <c r="AC768" s="2"/>
      <c r="AI768" s="2"/>
      <c r="AN768" s="2"/>
      <c r="AO768" s="2"/>
      <c r="AP768" s="2"/>
      <c r="AQ768" s="2"/>
      <c r="AR768" s="2"/>
      <c r="AS768" s="2"/>
    </row>
    <row r="769" spans="5:45" ht="15.75" customHeight="1">
      <c r="E769" s="2"/>
      <c r="F769" s="2"/>
      <c r="G769" s="2"/>
      <c r="M769" s="2"/>
      <c r="N769" s="2"/>
      <c r="O769" s="2"/>
      <c r="P769" s="2"/>
      <c r="U769" s="2"/>
      <c r="V769" s="2"/>
      <c r="W769" s="2"/>
      <c r="X769" s="2"/>
      <c r="AC769" s="2"/>
      <c r="AI769" s="2"/>
      <c r="AN769" s="2"/>
      <c r="AO769" s="2"/>
      <c r="AP769" s="2"/>
      <c r="AQ769" s="2"/>
      <c r="AR769" s="2"/>
      <c r="AS769" s="2"/>
    </row>
    <row r="770" spans="5:45" ht="15.75" customHeight="1">
      <c r="E770" s="2"/>
      <c r="F770" s="2"/>
      <c r="G770" s="2"/>
      <c r="M770" s="2"/>
      <c r="N770" s="2"/>
      <c r="O770" s="2"/>
      <c r="P770" s="2"/>
      <c r="U770" s="2"/>
      <c r="V770" s="2"/>
      <c r="W770" s="2"/>
      <c r="X770" s="2"/>
      <c r="AC770" s="2"/>
      <c r="AI770" s="2"/>
      <c r="AN770" s="2"/>
      <c r="AO770" s="2"/>
      <c r="AP770" s="2"/>
      <c r="AQ770" s="2"/>
      <c r="AR770" s="2"/>
      <c r="AS770" s="2"/>
    </row>
    <row r="771" spans="5:45" ht="15.75" customHeight="1">
      <c r="E771" s="2"/>
      <c r="F771" s="2"/>
      <c r="G771" s="2"/>
      <c r="M771" s="2"/>
      <c r="N771" s="2"/>
      <c r="O771" s="2"/>
      <c r="P771" s="2"/>
      <c r="U771" s="2"/>
      <c r="V771" s="2"/>
      <c r="W771" s="2"/>
      <c r="X771" s="2"/>
      <c r="AC771" s="2"/>
      <c r="AI771" s="2"/>
      <c r="AN771" s="2"/>
      <c r="AO771" s="2"/>
      <c r="AP771" s="2"/>
      <c r="AQ771" s="2"/>
      <c r="AR771" s="2"/>
      <c r="AS771" s="2"/>
    </row>
    <row r="772" spans="5:45" ht="15.75" customHeight="1">
      <c r="E772" s="2"/>
      <c r="F772" s="2"/>
      <c r="G772" s="2"/>
      <c r="M772" s="2"/>
      <c r="N772" s="2"/>
      <c r="O772" s="2"/>
      <c r="P772" s="2"/>
      <c r="U772" s="2"/>
      <c r="V772" s="2"/>
      <c r="W772" s="2"/>
      <c r="X772" s="2"/>
      <c r="AC772" s="2"/>
      <c r="AI772" s="2"/>
      <c r="AN772" s="2"/>
      <c r="AO772" s="2"/>
      <c r="AP772" s="2"/>
      <c r="AQ772" s="2"/>
      <c r="AR772" s="2"/>
      <c r="AS772" s="2"/>
    </row>
    <row r="773" spans="5:45" ht="15.75" customHeight="1">
      <c r="E773" s="2"/>
      <c r="F773" s="2"/>
      <c r="G773" s="2"/>
      <c r="M773" s="2"/>
      <c r="N773" s="2"/>
      <c r="O773" s="2"/>
      <c r="P773" s="2"/>
      <c r="U773" s="2"/>
      <c r="V773" s="2"/>
      <c r="W773" s="2"/>
      <c r="X773" s="2"/>
      <c r="AC773" s="2"/>
      <c r="AI773" s="2"/>
      <c r="AN773" s="2"/>
      <c r="AO773" s="2"/>
      <c r="AP773" s="2"/>
      <c r="AQ773" s="2"/>
      <c r="AR773" s="2"/>
      <c r="AS773" s="2"/>
    </row>
    <row r="774" spans="5:45" ht="15.75" customHeight="1">
      <c r="E774" s="2"/>
      <c r="F774" s="2"/>
      <c r="G774" s="2"/>
      <c r="M774" s="2"/>
      <c r="N774" s="2"/>
      <c r="O774" s="2"/>
      <c r="P774" s="2"/>
      <c r="U774" s="2"/>
      <c r="V774" s="2"/>
      <c r="W774" s="2"/>
      <c r="X774" s="2"/>
      <c r="AC774" s="2"/>
      <c r="AI774" s="2"/>
      <c r="AN774" s="2"/>
      <c r="AO774" s="2"/>
      <c r="AP774" s="2"/>
      <c r="AQ774" s="2"/>
      <c r="AR774" s="2"/>
      <c r="AS774" s="2"/>
    </row>
    <row r="775" spans="5:45" ht="15.75" customHeight="1">
      <c r="E775" s="2"/>
      <c r="F775" s="2"/>
      <c r="G775" s="2"/>
      <c r="M775" s="2"/>
      <c r="N775" s="2"/>
      <c r="O775" s="2"/>
      <c r="P775" s="2"/>
      <c r="U775" s="2"/>
      <c r="V775" s="2"/>
      <c r="W775" s="2"/>
      <c r="X775" s="2"/>
      <c r="AC775" s="2"/>
      <c r="AI775" s="2"/>
      <c r="AN775" s="2"/>
      <c r="AO775" s="2"/>
      <c r="AP775" s="2"/>
      <c r="AQ775" s="2"/>
      <c r="AR775" s="2"/>
      <c r="AS775" s="2"/>
    </row>
    <row r="776" spans="5:45" ht="15.75" customHeight="1">
      <c r="E776" s="2"/>
      <c r="F776" s="2"/>
      <c r="G776" s="2"/>
      <c r="M776" s="2"/>
      <c r="N776" s="2"/>
      <c r="O776" s="2"/>
      <c r="P776" s="2"/>
      <c r="U776" s="2"/>
      <c r="V776" s="2"/>
      <c r="W776" s="2"/>
      <c r="X776" s="2"/>
      <c r="AC776" s="2"/>
      <c r="AI776" s="2"/>
      <c r="AN776" s="2"/>
      <c r="AO776" s="2"/>
      <c r="AP776" s="2"/>
      <c r="AQ776" s="2"/>
      <c r="AR776" s="2"/>
      <c r="AS776" s="2"/>
    </row>
    <row r="777" spans="5:45" ht="15.75" customHeight="1">
      <c r="E777" s="2"/>
      <c r="F777" s="2"/>
      <c r="G777" s="2"/>
      <c r="M777" s="2"/>
      <c r="N777" s="2"/>
      <c r="O777" s="2"/>
      <c r="P777" s="2"/>
      <c r="U777" s="2"/>
      <c r="V777" s="2"/>
      <c r="W777" s="2"/>
      <c r="X777" s="2"/>
      <c r="AC777" s="2"/>
      <c r="AI777" s="2"/>
      <c r="AN777" s="2"/>
      <c r="AO777" s="2"/>
      <c r="AP777" s="2"/>
      <c r="AQ777" s="2"/>
      <c r="AR777" s="2"/>
      <c r="AS777" s="2"/>
    </row>
    <row r="778" spans="5:45" ht="15.75" customHeight="1">
      <c r="E778" s="2"/>
      <c r="F778" s="2"/>
      <c r="G778" s="2"/>
      <c r="M778" s="2"/>
      <c r="N778" s="2"/>
      <c r="O778" s="2"/>
      <c r="P778" s="2"/>
      <c r="U778" s="2"/>
      <c r="V778" s="2"/>
      <c r="W778" s="2"/>
      <c r="X778" s="2"/>
      <c r="AC778" s="2"/>
      <c r="AI778" s="2"/>
      <c r="AN778" s="2"/>
      <c r="AO778" s="2"/>
      <c r="AP778" s="2"/>
      <c r="AQ778" s="2"/>
      <c r="AR778" s="2"/>
      <c r="AS778" s="2"/>
    </row>
    <row r="779" spans="5:45" ht="15.75" customHeight="1">
      <c r="E779" s="2"/>
      <c r="F779" s="2"/>
      <c r="G779" s="2"/>
      <c r="M779" s="2"/>
      <c r="N779" s="2"/>
      <c r="O779" s="2"/>
      <c r="P779" s="2"/>
      <c r="U779" s="2"/>
      <c r="V779" s="2"/>
      <c r="W779" s="2"/>
      <c r="X779" s="2"/>
      <c r="AC779" s="2"/>
      <c r="AI779" s="2"/>
      <c r="AN779" s="2"/>
      <c r="AO779" s="2"/>
      <c r="AP779" s="2"/>
      <c r="AQ779" s="2"/>
      <c r="AR779" s="2"/>
      <c r="AS779" s="2"/>
    </row>
    <row r="780" spans="5:45" ht="15.75" customHeight="1">
      <c r="E780" s="2"/>
      <c r="F780" s="2"/>
      <c r="G780" s="2"/>
      <c r="M780" s="2"/>
      <c r="N780" s="2"/>
      <c r="O780" s="2"/>
      <c r="P780" s="2"/>
      <c r="U780" s="2"/>
      <c r="V780" s="2"/>
      <c r="W780" s="2"/>
      <c r="X780" s="2"/>
      <c r="AC780" s="2"/>
      <c r="AI780" s="2"/>
      <c r="AN780" s="2"/>
      <c r="AO780" s="2"/>
      <c r="AP780" s="2"/>
      <c r="AQ780" s="2"/>
      <c r="AR780" s="2"/>
      <c r="AS780" s="2"/>
    </row>
    <row r="781" spans="5:45" ht="15.75" customHeight="1">
      <c r="E781" s="2"/>
      <c r="F781" s="2"/>
      <c r="G781" s="2"/>
      <c r="M781" s="2"/>
      <c r="N781" s="2"/>
      <c r="O781" s="2"/>
      <c r="P781" s="2"/>
      <c r="U781" s="2"/>
      <c r="V781" s="2"/>
      <c r="W781" s="2"/>
      <c r="X781" s="2"/>
      <c r="AC781" s="2"/>
      <c r="AI781" s="2"/>
      <c r="AN781" s="2"/>
      <c r="AO781" s="2"/>
      <c r="AP781" s="2"/>
      <c r="AQ781" s="2"/>
      <c r="AR781" s="2"/>
      <c r="AS781" s="2"/>
    </row>
    <row r="782" spans="5:45" ht="15.75" customHeight="1">
      <c r="E782" s="2"/>
      <c r="F782" s="2"/>
      <c r="G782" s="2"/>
      <c r="M782" s="2"/>
      <c r="N782" s="2"/>
      <c r="O782" s="2"/>
      <c r="P782" s="2"/>
      <c r="U782" s="2"/>
      <c r="V782" s="2"/>
      <c r="W782" s="2"/>
      <c r="X782" s="2"/>
      <c r="AC782" s="2"/>
      <c r="AI782" s="2"/>
      <c r="AN782" s="2"/>
      <c r="AO782" s="2"/>
      <c r="AP782" s="2"/>
      <c r="AQ782" s="2"/>
      <c r="AR782" s="2"/>
      <c r="AS782" s="2"/>
    </row>
    <row r="783" spans="5:45" ht="15.75" customHeight="1">
      <c r="E783" s="2"/>
      <c r="F783" s="2"/>
      <c r="G783" s="2"/>
      <c r="M783" s="2"/>
      <c r="N783" s="2"/>
      <c r="O783" s="2"/>
      <c r="P783" s="2"/>
      <c r="U783" s="2"/>
      <c r="V783" s="2"/>
      <c r="W783" s="2"/>
      <c r="X783" s="2"/>
      <c r="AC783" s="2"/>
      <c r="AI783" s="2"/>
      <c r="AN783" s="2"/>
      <c r="AO783" s="2"/>
      <c r="AP783" s="2"/>
      <c r="AQ783" s="2"/>
      <c r="AR783" s="2"/>
      <c r="AS783" s="2"/>
    </row>
    <row r="784" spans="5:45" ht="15.75" customHeight="1">
      <c r="E784" s="2"/>
      <c r="F784" s="2"/>
      <c r="G784" s="2"/>
      <c r="M784" s="2"/>
      <c r="N784" s="2"/>
      <c r="O784" s="2"/>
      <c r="P784" s="2"/>
      <c r="U784" s="2"/>
      <c r="V784" s="2"/>
      <c r="W784" s="2"/>
      <c r="X784" s="2"/>
      <c r="AC784" s="2"/>
      <c r="AI784" s="2"/>
      <c r="AN784" s="2"/>
      <c r="AO784" s="2"/>
      <c r="AP784" s="2"/>
      <c r="AQ784" s="2"/>
      <c r="AR784" s="2"/>
      <c r="AS784" s="2"/>
    </row>
    <row r="785" spans="5:45" ht="15.75" customHeight="1">
      <c r="E785" s="2"/>
      <c r="F785" s="2"/>
      <c r="G785" s="2"/>
      <c r="M785" s="2"/>
      <c r="N785" s="2"/>
      <c r="O785" s="2"/>
      <c r="P785" s="2"/>
      <c r="U785" s="2"/>
      <c r="V785" s="2"/>
      <c r="W785" s="2"/>
      <c r="X785" s="2"/>
      <c r="AC785" s="2"/>
      <c r="AI785" s="2"/>
      <c r="AN785" s="2"/>
      <c r="AO785" s="2"/>
      <c r="AP785" s="2"/>
      <c r="AQ785" s="2"/>
      <c r="AR785" s="2"/>
      <c r="AS785" s="2"/>
    </row>
    <row r="786" spans="5:45" ht="15.75" customHeight="1">
      <c r="E786" s="2"/>
      <c r="F786" s="2"/>
      <c r="G786" s="2"/>
      <c r="M786" s="2"/>
      <c r="N786" s="2"/>
      <c r="O786" s="2"/>
      <c r="P786" s="2"/>
      <c r="U786" s="2"/>
      <c r="V786" s="2"/>
      <c r="W786" s="2"/>
      <c r="X786" s="2"/>
      <c r="AC786" s="2"/>
      <c r="AI786" s="2"/>
      <c r="AN786" s="2"/>
      <c r="AO786" s="2"/>
      <c r="AP786" s="2"/>
      <c r="AQ786" s="2"/>
      <c r="AR786" s="2"/>
      <c r="AS786" s="2"/>
    </row>
    <row r="787" spans="5:45" ht="15.75" customHeight="1">
      <c r="E787" s="2"/>
      <c r="F787" s="2"/>
      <c r="G787" s="2"/>
      <c r="M787" s="2"/>
      <c r="N787" s="2"/>
      <c r="O787" s="2"/>
      <c r="P787" s="2"/>
      <c r="U787" s="2"/>
      <c r="V787" s="2"/>
      <c r="W787" s="2"/>
      <c r="X787" s="2"/>
      <c r="AC787" s="2"/>
      <c r="AI787" s="2"/>
      <c r="AN787" s="2"/>
      <c r="AO787" s="2"/>
      <c r="AP787" s="2"/>
      <c r="AQ787" s="2"/>
      <c r="AR787" s="2"/>
      <c r="AS787" s="2"/>
    </row>
    <row r="788" spans="5:45" ht="15.75" customHeight="1">
      <c r="E788" s="2"/>
      <c r="F788" s="2"/>
      <c r="G788" s="2"/>
      <c r="M788" s="2"/>
      <c r="N788" s="2"/>
      <c r="O788" s="2"/>
      <c r="P788" s="2"/>
      <c r="U788" s="2"/>
      <c r="V788" s="2"/>
      <c r="W788" s="2"/>
      <c r="X788" s="2"/>
      <c r="AC788" s="2"/>
      <c r="AI788" s="2"/>
      <c r="AN788" s="2"/>
      <c r="AO788" s="2"/>
      <c r="AP788" s="2"/>
      <c r="AQ788" s="2"/>
      <c r="AR788" s="2"/>
      <c r="AS788" s="2"/>
    </row>
    <row r="789" spans="5:45" ht="15.75" customHeight="1">
      <c r="E789" s="2"/>
      <c r="F789" s="2"/>
      <c r="G789" s="2"/>
      <c r="M789" s="2"/>
      <c r="N789" s="2"/>
      <c r="O789" s="2"/>
      <c r="P789" s="2"/>
      <c r="U789" s="2"/>
      <c r="V789" s="2"/>
      <c r="W789" s="2"/>
      <c r="X789" s="2"/>
      <c r="AC789" s="2"/>
      <c r="AI789" s="2"/>
      <c r="AN789" s="2"/>
      <c r="AO789" s="2"/>
      <c r="AP789" s="2"/>
      <c r="AQ789" s="2"/>
      <c r="AR789" s="2"/>
      <c r="AS789" s="2"/>
    </row>
    <row r="790" spans="5:45" ht="15.75" customHeight="1">
      <c r="E790" s="2"/>
      <c r="F790" s="2"/>
      <c r="G790" s="2"/>
      <c r="M790" s="2"/>
      <c r="N790" s="2"/>
      <c r="O790" s="2"/>
      <c r="P790" s="2"/>
      <c r="U790" s="2"/>
      <c r="V790" s="2"/>
      <c r="W790" s="2"/>
      <c r="X790" s="2"/>
      <c r="AC790" s="2"/>
      <c r="AI790" s="2"/>
      <c r="AN790" s="2"/>
      <c r="AO790" s="2"/>
      <c r="AP790" s="2"/>
      <c r="AQ790" s="2"/>
      <c r="AR790" s="2"/>
      <c r="AS790" s="2"/>
    </row>
    <row r="791" spans="5:45" ht="15.75" customHeight="1">
      <c r="E791" s="2"/>
      <c r="F791" s="2"/>
      <c r="G791" s="2"/>
      <c r="M791" s="2"/>
      <c r="N791" s="2"/>
      <c r="O791" s="2"/>
      <c r="P791" s="2"/>
      <c r="U791" s="2"/>
      <c r="V791" s="2"/>
      <c r="W791" s="2"/>
      <c r="X791" s="2"/>
      <c r="AC791" s="2"/>
      <c r="AI791" s="2"/>
      <c r="AN791" s="2"/>
      <c r="AO791" s="2"/>
      <c r="AP791" s="2"/>
      <c r="AQ791" s="2"/>
      <c r="AR791" s="2"/>
      <c r="AS791" s="2"/>
    </row>
    <row r="792" spans="5:45" ht="15.75" customHeight="1">
      <c r="E792" s="2"/>
      <c r="F792" s="2"/>
      <c r="G792" s="2"/>
      <c r="M792" s="2"/>
      <c r="N792" s="2"/>
      <c r="O792" s="2"/>
      <c r="P792" s="2"/>
      <c r="U792" s="2"/>
      <c r="V792" s="2"/>
      <c r="W792" s="2"/>
      <c r="X792" s="2"/>
      <c r="AC792" s="2"/>
      <c r="AI792" s="2"/>
      <c r="AN792" s="2"/>
      <c r="AO792" s="2"/>
      <c r="AP792" s="2"/>
      <c r="AQ792" s="2"/>
      <c r="AR792" s="2"/>
      <c r="AS792" s="2"/>
    </row>
    <row r="793" spans="5:45" ht="15.75" customHeight="1">
      <c r="E793" s="2"/>
      <c r="F793" s="2"/>
      <c r="G793" s="2"/>
      <c r="M793" s="2"/>
      <c r="N793" s="2"/>
      <c r="O793" s="2"/>
      <c r="P793" s="2"/>
      <c r="U793" s="2"/>
      <c r="V793" s="2"/>
      <c r="W793" s="2"/>
      <c r="X793" s="2"/>
      <c r="AC793" s="2"/>
      <c r="AI793" s="2"/>
      <c r="AN793" s="2"/>
      <c r="AO793" s="2"/>
      <c r="AP793" s="2"/>
      <c r="AQ793" s="2"/>
      <c r="AR793" s="2"/>
      <c r="AS793" s="2"/>
    </row>
    <row r="794" spans="5:45" ht="15.75" customHeight="1">
      <c r="E794" s="2"/>
      <c r="F794" s="2"/>
      <c r="G794" s="2"/>
      <c r="M794" s="2"/>
      <c r="N794" s="2"/>
      <c r="O794" s="2"/>
      <c r="P794" s="2"/>
      <c r="U794" s="2"/>
      <c r="V794" s="2"/>
      <c r="W794" s="2"/>
      <c r="X794" s="2"/>
      <c r="AC794" s="2"/>
      <c r="AI794" s="2"/>
      <c r="AN794" s="2"/>
      <c r="AO794" s="2"/>
      <c r="AP794" s="2"/>
      <c r="AQ794" s="2"/>
      <c r="AR794" s="2"/>
      <c r="AS794" s="2"/>
    </row>
    <row r="795" spans="5:45" ht="15.75" customHeight="1">
      <c r="E795" s="2"/>
      <c r="F795" s="2"/>
      <c r="G795" s="2"/>
      <c r="M795" s="2"/>
      <c r="N795" s="2"/>
      <c r="O795" s="2"/>
      <c r="P795" s="2"/>
      <c r="U795" s="2"/>
      <c r="V795" s="2"/>
      <c r="W795" s="2"/>
      <c r="X795" s="2"/>
      <c r="AC795" s="2"/>
      <c r="AI795" s="2"/>
      <c r="AN795" s="2"/>
      <c r="AO795" s="2"/>
      <c r="AP795" s="2"/>
      <c r="AQ795" s="2"/>
      <c r="AR795" s="2"/>
      <c r="AS795" s="2"/>
    </row>
    <row r="796" spans="5:45" ht="15.75" customHeight="1">
      <c r="E796" s="2"/>
      <c r="F796" s="2"/>
      <c r="G796" s="2"/>
      <c r="M796" s="2"/>
      <c r="N796" s="2"/>
      <c r="O796" s="2"/>
      <c r="P796" s="2"/>
      <c r="U796" s="2"/>
      <c r="V796" s="2"/>
      <c r="W796" s="2"/>
      <c r="X796" s="2"/>
      <c r="AC796" s="2"/>
      <c r="AI796" s="2"/>
      <c r="AN796" s="2"/>
      <c r="AO796" s="2"/>
      <c r="AP796" s="2"/>
      <c r="AQ796" s="2"/>
      <c r="AR796" s="2"/>
      <c r="AS796" s="2"/>
    </row>
    <row r="797" spans="5:45" ht="15.75" customHeight="1">
      <c r="E797" s="2"/>
      <c r="F797" s="2"/>
      <c r="G797" s="2"/>
      <c r="M797" s="2"/>
      <c r="N797" s="2"/>
      <c r="O797" s="2"/>
      <c r="P797" s="2"/>
      <c r="U797" s="2"/>
      <c r="V797" s="2"/>
      <c r="W797" s="2"/>
      <c r="X797" s="2"/>
      <c r="AC797" s="2"/>
      <c r="AI797" s="2"/>
      <c r="AN797" s="2"/>
      <c r="AO797" s="2"/>
      <c r="AP797" s="2"/>
      <c r="AQ797" s="2"/>
      <c r="AR797" s="2"/>
      <c r="AS797" s="2"/>
    </row>
    <row r="798" spans="5:45" ht="15.75" customHeight="1">
      <c r="E798" s="2"/>
      <c r="F798" s="2"/>
      <c r="G798" s="2"/>
      <c r="M798" s="2"/>
      <c r="N798" s="2"/>
      <c r="O798" s="2"/>
      <c r="P798" s="2"/>
      <c r="U798" s="2"/>
      <c r="V798" s="2"/>
      <c r="W798" s="2"/>
      <c r="X798" s="2"/>
      <c r="AC798" s="2"/>
      <c r="AI798" s="2"/>
      <c r="AN798" s="2"/>
      <c r="AO798" s="2"/>
      <c r="AP798" s="2"/>
      <c r="AQ798" s="2"/>
      <c r="AR798" s="2"/>
      <c r="AS798" s="2"/>
    </row>
    <row r="799" spans="5:45" ht="15.75" customHeight="1">
      <c r="E799" s="2"/>
      <c r="F799" s="2"/>
      <c r="G799" s="2"/>
      <c r="M799" s="2"/>
      <c r="N799" s="2"/>
      <c r="O799" s="2"/>
      <c r="P799" s="2"/>
      <c r="U799" s="2"/>
      <c r="V799" s="2"/>
      <c r="W799" s="2"/>
      <c r="X799" s="2"/>
      <c r="AC799" s="2"/>
      <c r="AI799" s="2"/>
      <c r="AN799" s="2"/>
      <c r="AO799" s="2"/>
      <c r="AP799" s="2"/>
      <c r="AQ799" s="2"/>
      <c r="AR799" s="2"/>
      <c r="AS799" s="2"/>
    </row>
    <row r="800" spans="5:45" ht="15.75" customHeight="1">
      <c r="E800" s="2"/>
      <c r="F800" s="2"/>
      <c r="G800" s="2"/>
      <c r="M800" s="2"/>
      <c r="N800" s="2"/>
      <c r="O800" s="2"/>
      <c r="P800" s="2"/>
      <c r="U800" s="2"/>
      <c r="V800" s="2"/>
      <c r="W800" s="2"/>
      <c r="X800" s="2"/>
      <c r="AC800" s="2"/>
      <c r="AI800" s="2"/>
      <c r="AN800" s="2"/>
      <c r="AO800" s="2"/>
      <c r="AP800" s="2"/>
      <c r="AQ800" s="2"/>
      <c r="AR800" s="2"/>
      <c r="AS800" s="2"/>
    </row>
    <row r="801" spans="5:45" ht="15.75" customHeight="1">
      <c r="E801" s="2"/>
      <c r="F801" s="2"/>
      <c r="G801" s="2"/>
      <c r="M801" s="2"/>
      <c r="N801" s="2"/>
      <c r="O801" s="2"/>
      <c r="P801" s="2"/>
      <c r="U801" s="2"/>
      <c r="V801" s="2"/>
      <c r="W801" s="2"/>
      <c r="X801" s="2"/>
      <c r="AC801" s="2"/>
      <c r="AI801" s="2"/>
      <c r="AN801" s="2"/>
      <c r="AO801" s="2"/>
      <c r="AP801" s="2"/>
      <c r="AQ801" s="2"/>
      <c r="AR801" s="2"/>
      <c r="AS801" s="2"/>
    </row>
    <row r="802" spans="5:45" ht="15.75" customHeight="1">
      <c r="E802" s="2"/>
      <c r="F802" s="2"/>
      <c r="G802" s="2"/>
      <c r="M802" s="2"/>
      <c r="N802" s="2"/>
      <c r="O802" s="2"/>
      <c r="P802" s="2"/>
      <c r="U802" s="2"/>
      <c r="V802" s="2"/>
      <c r="W802" s="2"/>
      <c r="X802" s="2"/>
      <c r="AC802" s="2"/>
      <c r="AI802" s="2"/>
      <c r="AN802" s="2"/>
      <c r="AO802" s="2"/>
      <c r="AP802" s="2"/>
      <c r="AQ802" s="2"/>
      <c r="AR802" s="2"/>
      <c r="AS802" s="2"/>
    </row>
    <row r="803" spans="5:45" ht="15.75" customHeight="1">
      <c r="E803" s="2"/>
      <c r="F803" s="2"/>
      <c r="G803" s="2"/>
      <c r="M803" s="2"/>
      <c r="N803" s="2"/>
      <c r="O803" s="2"/>
      <c r="P803" s="2"/>
      <c r="U803" s="2"/>
      <c r="V803" s="2"/>
      <c r="W803" s="2"/>
      <c r="X803" s="2"/>
      <c r="AC803" s="2"/>
      <c r="AI803" s="2"/>
      <c r="AN803" s="2"/>
      <c r="AO803" s="2"/>
      <c r="AP803" s="2"/>
      <c r="AQ803" s="2"/>
      <c r="AR803" s="2"/>
      <c r="AS803" s="2"/>
    </row>
    <row r="804" spans="5:45" ht="15.75" customHeight="1">
      <c r="E804" s="2"/>
      <c r="F804" s="2"/>
      <c r="G804" s="2"/>
      <c r="M804" s="2"/>
      <c r="N804" s="2"/>
      <c r="O804" s="2"/>
      <c r="P804" s="2"/>
      <c r="U804" s="2"/>
      <c r="V804" s="2"/>
      <c r="W804" s="2"/>
      <c r="X804" s="2"/>
      <c r="AC804" s="2"/>
      <c r="AI804" s="2"/>
      <c r="AN804" s="2"/>
      <c r="AO804" s="2"/>
      <c r="AP804" s="2"/>
      <c r="AQ804" s="2"/>
      <c r="AR804" s="2"/>
      <c r="AS804" s="2"/>
    </row>
    <row r="805" spans="5:45" ht="15.75" customHeight="1">
      <c r="E805" s="2"/>
      <c r="F805" s="2"/>
      <c r="G805" s="2"/>
      <c r="M805" s="2"/>
      <c r="N805" s="2"/>
      <c r="O805" s="2"/>
      <c r="P805" s="2"/>
      <c r="U805" s="2"/>
      <c r="V805" s="2"/>
      <c r="W805" s="2"/>
      <c r="X805" s="2"/>
      <c r="AC805" s="2"/>
      <c r="AI805" s="2"/>
      <c r="AN805" s="2"/>
      <c r="AO805" s="2"/>
      <c r="AP805" s="2"/>
      <c r="AQ805" s="2"/>
      <c r="AR805" s="2"/>
      <c r="AS805" s="2"/>
    </row>
    <row r="806" spans="5:45" ht="15.75" customHeight="1">
      <c r="E806" s="2"/>
      <c r="F806" s="2"/>
      <c r="G806" s="2"/>
      <c r="M806" s="2"/>
      <c r="N806" s="2"/>
      <c r="O806" s="2"/>
      <c r="P806" s="2"/>
      <c r="U806" s="2"/>
      <c r="V806" s="2"/>
      <c r="W806" s="2"/>
      <c r="X806" s="2"/>
      <c r="AC806" s="2"/>
      <c r="AI806" s="2"/>
      <c r="AN806" s="2"/>
      <c r="AO806" s="2"/>
      <c r="AP806" s="2"/>
      <c r="AQ806" s="2"/>
      <c r="AR806" s="2"/>
      <c r="AS806" s="2"/>
    </row>
    <row r="807" spans="5:45" ht="15.75" customHeight="1">
      <c r="E807" s="2"/>
      <c r="F807" s="2"/>
      <c r="G807" s="2"/>
      <c r="M807" s="2"/>
      <c r="N807" s="2"/>
      <c r="O807" s="2"/>
      <c r="P807" s="2"/>
      <c r="U807" s="2"/>
      <c r="V807" s="2"/>
      <c r="W807" s="2"/>
      <c r="X807" s="2"/>
      <c r="AC807" s="2"/>
      <c r="AI807" s="2"/>
      <c r="AN807" s="2"/>
      <c r="AO807" s="2"/>
      <c r="AP807" s="2"/>
      <c r="AQ807" s="2"/>
      <c r="AR807" s="2"/>
      <c r="AS807" s="2"/>
    </row>
    <row r="808" spans="5:45" ht="15.75" customHeight="1">
      <c r="E808" s="2"/>
      <c r="F808" s="2"/>
      <c r="G808" s="2"/>
      <c r="M808" s="2"/>
      <c r="N808" s="2"/>
      <c r="O808" s="2"/>
      <c r="P808" s="2"/>
      <c r="U808" s="2"/>
      <c r="V808" s="2"/>
      <c r="W808" s="2"/>
      <c r="X808" s="2"/>
      <c r="AC808" s="2"/>
      <c r="AI808" s="2"/>
      <c r="AN808" s="2"/>
      <c r="AO808" s="2"/>
      <c r="AP808" s="2"/>
      <c r="AQ808" s="2"/>
      <c r="AR808" s="2"/>
      <c r="AS808" s="2"/>
    </row>
    <row r="809" spans="5:45" ht="15.75" customHeight="1">
      <c r="E809" s="2"/>
      <c r="F809" s="2"/>
      <c r="G809" s="2"/>
      <c r="M809" s="2"/>
      <c r="N809" s="2"/>
      <c r="O809" s="2"/>
      <c r="P809" s="2"/>
      <c r="U809" s="2"/>
      <c r="V809" s="2"/>
      <c r="W809" s="2"/>
      <c r="X809" s="2"/>
      <c r="AC809" s="2"/>
      <c r="AI809" s="2"/>
      <c r="AN809" s="2"/>
      <c r="AO809" s="2"/>
      <c r="AP809" s="2"/>
      <c r="AQ809" s="2"/>
      <c r="AR809" s="2"/>
      <c r="AS809" s="2"/>
    </row>
    <row r="810" spans="5:45" ht="15.75" customHeight="1">
      <c r="E810" s="2"/>
      <c r="F810" s="2"/>
      <c r="G810" s="2"/>
      <c r="M810" s="2"/>
      <c r="N810" s="2"/>
      <c r="O810" s="2"/>
      <c r="P810" s="2"/>
      <c r="U810" s="2"/>
      <c r="V810" s="2"/>
      <c r="W810" s="2"/>
      <c r="X810" s="2"/>
      <c r="AC810" s="2"/>
      <c r="AI810" s="2"/>
      <c r="AN810" s="2"/>
      <c r="AO810" s="2"/>
      <c r="AP810" s="2"/>
      <c r="AQ810" s="2"/>
      <c r="AR810" s="2"/>
      <c r="AS810" s="2"/>
    </row>
    <row r="811" spans="5:45" ht="15.75" customHeight="1">
      <c r="E811" s="2"/>
      <c r="F811" s="2"/>
      <c r="G811" s="2"/>
      <c r="M811" s="2"/>
      <c r="N811" s="2"/>
      <c r="O811" s="2"/>
      <c r="P811" s="2"/>
      <c r="U811" s="2"/>
      <c r="V811" s="2"/>
      <c r="W811" s="2"/>
      <c r="X811" s="2"/>
      <c r="AC811" s="2"/>
      <c r="AI811" s="2"/>
      <c r="AN811" s="2"/>
      <c r="AO811" s="2"/>
      <c r="AP811" s="2"/>
      <c r="AQ811" s="2"/>
      <c r="AR811" s="2"/>
      <c r="AS811" s="2"/>
    </row>
    <row r="812" spans="5:45" ht="15.75" customHeight="1">
      <c r="E812" s="2"/>
      <c r="F812" s="2"/>
      <c r="G812" s="2"/>
      <c r="M812" s="2"/>
      <c r="N812" s="2"/>
      <c r="O812" s="2"/>
      <c r="P812" s="2"/>
      <c r="U812" s="2"/>
      <c r="V812" s="2"/>
      <c r="W812" s="2"/>
      <c r="X812" s="2"/>
      <c r="AC812" s="2"/>
      <c r="AI812" s="2"/>
      <c r="AN812" s="2"/>
      <c r="AO812" s="2"/>
      <c r="AP812" s="2"/>
      <c r="AQ812" s="2"/>
      <c r="AR812" s="2"/>
      <c r="AS812" s="2"/>
    </row>
    <row r="813" spans="5:45" ht="15.75" customHeight="1">
      <c r="E813" s="2"/>
      <c r="F813" s="2"/>
      <c r="G813" s="2"/>
      <c r="M813" s="2"/>
      <c r="N813" s="2"/>
      <c r="O813" s="2"/>
      <c r="P813" s="2"/>
      <c r="U813" s="2"/>
      <c r="V813" s="2"/>
      <c r="W813" s="2"/>
      <c r="X813" s="2"/>
      <c r="AC813" s="2"/>
      <c r="AI813" s="2"/>
      <c r="AN813" s="2"/>
      <c r="AO813" s="2"/>
      <c r="AP813" s="2"/>
      <c r="AQ813" s="2"/>
      <c r="AR813" s="2"/>
      <c r="AS813" s="2"/>
    </row>
    <row r="814" spans="5:45" ht="15.75" customHeight="1">
      <c r="E814" s="2"/>
      <c r="F814" s="2"/>
      <c r="G814" s="2"/>
      <c r="M814" s="2"/>
      <c r="N814" s="2"/>
      <c r="O814" s="2"/>
      <c r="P814" s="2"/>
      <c r="U814" s="2"/>
      <c r="V814" s="2"/>
      <c r="W814" s="2"/>
      <c r="X814" s="2"/>
      <c r="AC814" s="2"/>
      <c r="AI814" s="2"/>
      <c r="AN814" s="2"/>
      <c r="AO814" s="2"/>
      <c r="AP814" s="2"/>
      <c r="AQ814" s="2"/>
      <c r="AR814" s="2"/>
      <c r="AS814" s="2"/>
    </row>
    <row r="815" spans="5:45" ht="15.75" customHeight="1">
      <c r="E815" s="2"/>
      <c r="F815" s="2"/>
      <c r="G815" s="2"/>
      <c r="M815" s="2"/>
      <c r="N815" s="2"/>
      <c r="O815" s="2"/>
      <c r="P815" s="2"/>
      <c r="U815" s="2"/>
      <c r="V815" s="2"/>
      <c r="W815" s="2"/>
      <c r="X815" s="2"/>
      <c r="AC815" s="2"/>
      <c r="AI815" s="2"/>
      <c r="AN815" s="2"/>
      <c r="AO815" s="2"/>
      <c r="AP815" s="2"/>
      <c r="AQ815" s="2"/>
      <c r="AR815" s="2"/>
      <c r="AS815" s="2"/>
    </row>
    <row r="816" spans="5:45" ht="15.75" customHeight="1">
      <c r="E816" s="2"/>
      <c r="F816" s="2"/>
      <c r="G816" s="2"/>
      <c r="M816" s="2"/>
      <c r="N816" s="2"/>
      <c r="O816" s="2"/>
      <c r="P816" s="2"/>
      <c r="U816" s="2"/>
      <c r="V816" s="2"/>
      <c r="W816" s="2"/>
      <c r="X816" s="2"/>
      <c r="AC816" s="2"/>
      <c r="AI816" s="2"/>
      <c r="AN816" s="2"/>
      <c r="AO816" s="2"/>
      <c r="AP816" s="2"/>
      <c r="AQ816" s="2"/>
      <c r="AR816" s="2"/>
      <c r="AS816" s="2"/>
    </row>
    <row r="817" spans="5:45" ht="15.75" customHeight="1">
      <c r="E817" s="2"/>
      <c r="F817" s="2"/>
      <c r="G817" s="2"/>
      <c r="M817" s="2"/>
      <c r="N817" s="2"/>
      <c r="O817" s="2"/>
      <c r="P817" s="2"/>
      <c r="U817" s="2"/>
      <c r="V817" s="2"/>
      <c r="W817" s="2"/>
      <c r="X817" s="2"/>
      <c r="AC817" s="2"/>
      <c r="AI817" s="2"/>
      <c r="AN817" s="2"/>
      <c r="AO817" s="2"/>
      <c r="AP817" s="2"/>
      <c r="AQ817" s="2"/>
      <c r="AR817" s="2"/>
      <c r="AS817" s="2"/>
    </row>
    <row r="818" spans="5:45" ht="15.75" customHeight="1">
      <c r="E818" s="2"/>
      <c r="F818" s="2"/>
      <c r="G818" s="2"/>
      <c r="M818" s="2"/>
      <c r="N818" s="2"/>
      <c r="O818" s="2"/>
      <c r="P818" s="2"/>
      <c r="U818" s="2"/>
      <c r="V818" s="2"/>
      <c r="W818" s="2"/>
      <c r="X818" s="2"/>
      <c r="AC818" s="2"/>
      <c r="AI818" s="2"/>
      <c r="AN818" s="2"/>
      <c r="AO818" s="2"/>
      <c r="AP818" s="2"/>
      <c r="AQ818" s="2"/>
      <c r="AR818" s="2"/>
      <c r="AS818" s="2"/>
    </row>
    <row r="819" spans="5:45" ht="15.75" customHeight="1">
      <c r="E819" s="2"/>
      <c r="F819" s="2"/>
      <c r="G819" s="2"/>
      <c r="M819" s="2"/>
      <c r="N819" s="2"/>
      <c r="O819" s="2"/>
      <c r="P819" s="2"/>
      <c r="U819" s="2"/>
      <c r="V819" s="2"/>
      <c r="W819" s="2"/>
      <c r="X819" s="2"/>
      <c r="AC819" s="2"/>
      <c r="AI819" s="2"/>
      <c r="AN819" s="2"/>
      <c r="AO819" s="2"/>
      <c r="AP819" s="2"/>
      <c r="AQ819" s="2"/>
      <c r="AR819" s="2"/>
      <c r="AS819" s="2"/>
    </row>
    <row r="820" spans="5:45" ht="15.75" customHeight="1">
      <c r="E820" s="2"/>
      <c r="F820" s="2"/>
      <c r="G820" s="2"/>
      <c r="M820" s="2"/>
      <c r="N820" s="2"/>
      <c r="O820" s="2"/>
      <c r="P820" s="2"/>
      <c r="U820" s="2"/>
      <c r="V820" s="2"/>
      <c r="W820" s="2"/>
      <c r="X820" s="2"/>
      <c r="AC820" s="2"/>
      <c r="AI820" s="2"/>
      <c r="AN820" s="2"/>
      <c r="AO820" s="2"/>
      <c r="AP820" s="2"/>
      <c r="AQ820" s="2"/>
      <c r="AR820" s="2"/>
      <c r="AS820" s="2"/>
    </row>
    <row r="821" spans="5:45" ht="15.75" customHeight="1">
      <c r="E821" s="2"/>
      <c r="F821" s="2"/>
      <c r="G821" s="2"/>
      <c r="M821" s="2"/>
      <c r="N821" s="2"/>
      <c r="O821" s="2"/>
      <c r="P821" s="2"/>
      <c r="U821" s="2"/>
      <c r="V821" s="2"/>
      <c r="W821" s="2"/>
      <c r="X821" s="2"/>
      <c r="AC821" s="2"/>
      <c r="AI821" s="2"/>
      <c r="AN821" s="2"/>
      <c r="AO821" s="2"/>
      <c r="AP821" s="2"/>
      <c r="AQ821" s="2"/>
      <c r="AR821" s="2"/>
      <c r="AS821" s="2"/>
    </row>
    <row r="822" spans="5:45" ht="15.75" customHeight="1">
      <c r="E822" s="2"/>
      <c r="F822" s="2"/>
      <c r="G822" s="2"/>
      <c r="M822" s="2"/>
      <c r="N822" s="2"/>
      <c r="O822" s="2"/>
      <c r="P822" s="2"/>
      <c r="U822" s="2"/>
      <c r="V822" s="2"/>
      <c r="W822" s="2"/>
      <c r="X822" s="2"/>
      <c r="AC822" s="2"/>
      <c r="AI822" s="2"/>
      <c r="AN822" s="2"/>
      <c r="AO822" s="2"/>
      <c r="AP822" s="2"/>
      <c r="AQ822" s="2"/>
      <c r="AR822" s="2"/>
      <c r="AS822" s="2"/>
    </row>
    <row r="823" spans="5:45" ht="15.75" customHeight="1">
      <c r="E823" s="2"/>
      <c r="F823" s="2"/>
      <c r="G823" s="2"/>
      <c r="M823" s="2"/>
      <c r="N823" s="2"/>
      <c r="O823" s="2"/>
      <c r="P823" s="2"/>
      <c r="U823" s="2"/>
      <c r="V823" s="2"/>
      <c r="W823" s="2"/>
      <c r="X823" s="2"/>
      <c r="AC823" s="2"/>
      <c r="AI823" s="2"/>
      <c r="AN823" s="2"/>
      <c r="AO823" s="2"/>
      <c r="AP823" s="2"/>
      <c r="AQ823" s="2"/>
      <c r="AR823" s="2"/>
      <c r="AS823" s="2"/>
    </row>
    <row r="824" spans="5:45" ht="15.75" customHeight="1">
      <c r="E824" s="2"/>
      <c r="F824" s="2"/>
      <c r="G824" s="2"/>
      <c r="M824" s="2"/>
      <c r="N824" s="2"/>
      <c r="O824" s="2"/>
      <c r="P824" s="2"/>
      <c r="U824" s="2"/>
      <c r="V824" s="2"/>
      <c r="W824" s="2"/>
      <c r="X824" s="2"/>
      <c r="AC824" s="2"/>
      <c r="AI824" s="2"/>
      <c r="AN824" s="2"/>
      <c r="AO824" s="2"/>
      <c r="AP824" s="2"/>
      <c r="AQ824" s="2"/>
      <c r="AR824" s="2"/>
      <c r="AS824" s="2"/>
    </row>
    <row r="825" spans="5:45" ht="15.75" customHeight="1">
      <c r="E825" s="2"/>
      <c r="F825" s="2"/>
      <c r="G825" s="2"/>
      <c r="M825" s="2"/>
      <c r="N825" s="2"/>
      <c r="O825" s="2"/>
      <c r="P825" s="2"/>
      <c r="U825" s="2"/>
      <c r="V825" s="2"/>
      <c r="W825" s="2"/>
      <c r="X825" s="2"/>
      <c r="AC825" s="2"/>
      <c r="AI825" s="2"/>
      <c r="AN825" s="2"/>
      <c r="AO825" s="2"/>
      <c r="AP825" s="2"/>
      <c r="AQ825" s="2"/>
      <c r="AR825" s="2"/>
      <c r="AS825" s="2"/>
    </row>
    <row r="826" spans="5:45" ht="15.75" customHeight="1">
      <c r="E826" s="2"/>
      <c r="F826" s="2"/>
      <c r="G826" s="2"/>
      <c r="M826" s="2"/>
      <c r="N826" s="2"/>
      <c r="O826" s="2"/>
      <c r="P826" s="2"/>
      <c r="U826" s="2"/>
      <c r="V826" s="2"/>
      <c r="W826" s="2"/>
      <c r="X826" s="2"/>
      <c r="AC826" s="2"/>
      <c r="AI826" s="2"/>
      <c r="AN826" s="2"/>
      <c r="AO826" s="2"/>
      <c r="AP826" s="2"/>
      <c r="AQ826" s="2"/>
      <c r="AR826" s="2"/>
      <c r="AS826" s="2"/>
    </row>
    <row r="827" spans="5:45" ht="15.75" customHeight="1">
      <c r="E827" s="2"/>
      <c r="F827" s="2"/>
      <c r="G827" s="2"/>
      <c r="M827" s="2"/>
      <c r="N827" s="2"/>
      <c r="O827" s="2"/>
      <c r="P827" s="2"/>
      <c r="U827" s="2"/>
      <c r="V827" s="2"/>
      <c r="W827" s="2"/>
      <c r="X827" s="2"/>
      <c r="AC827" s="2"/>
      <c r="AI827" s="2"/>
      <c r="AN827" s="2"/>
      <c r="AO827" s="2"/>
      <c r="AP827" s="2"/>
      <c r="AQ827" s="2"/>
      <c r="AR827" s="2"/>
      <c r="AS827" s="2"/>
    </row>
    <row r="828" spans="5:45" ht="15.75" customHeight="1">
      <c r="E828" s="2"/>
      <c r="F828" s="2"/>
      <c r="G828" s="2"/>
      <c r="M828" s="2"/>
      <c r="N828" s="2"/>
      <c r="O828" s="2"/>
      <c r="P828" s="2"/>
      <c r="U828" s="2"/>
      <c r="V828" s="2"/>
      <c r="W828" s="2"/>
      <c r="X828" s="2"/>
      <c r="AC828" s="2"/>
      <c r="AI828" s="2"/>
      <c r="AN828" s="2"/>
      <c r="AO828" s="2"/>
      <c r="AP828" s="2"/>
      <c r="AQ828" s="2"/>
      <c r="AR828" s="2"/>
      <c r="AS828" s="2"/>
    </row>
    <row r="829" spans="5:45" ht="15.75" customHeight="1">
      <c r="E829" s="2"/>
      <c r="F829" s="2"/>
      <c r="G829" s="2"/>
      <c r="M829" s="2"/>
      <c r="N829" s="2"/>
      <c r="O829" s="2"/>
      <c r="P829" s="2"/>
      <c r="U829" s="2"/>
      <c r="V829" s="2"/>
      <c r="W829" s="2"/>
      <c r="X829" s="2"/>
      <c r="AC829" s="2"/>
      <c r="AI829" s="2"/>
      <c r="AN829" s="2"/>
      <c r="AO829" s="2"/>
      <c r="AP829" s="2"/>
      <c r="AQ829" s="2"/>
      <c r="AR829" s="2"/>
      <c r="AS829" s="2"/>
    </row>
    <row r="830" spans="5:45" ht="15.75" customHeight="1">
      <c r="E830" s="2"/>
      <c r="F830" s="2"/>
      <c r="G830" s="2"/>
      <c r="M830" s="2"/>
      <c r="N830" s="2"/>
      <c r="O830" s="2"/>
      <c r="P830" s="2"/>
      <c r="U830" s="2"/>
      <c r="V830" s="2"/>
      <c r="W830" s="2"/>
      <c r="X830" s="2"/>
      <c r="AC830" s="2"/>
      <c r="AI830" s="2"/>
      <c r="AN830" s="2"/>
      <c r="AO830" s="2"/>
      <c r="AP830" s="2"/>
      <c r="AQ830" s="2"/>
      <c r="AR830" s="2"/>
      <c r="AS830" s="2"/>
    </row>
    <row r="831" spans="5:45" ht="15.75" customHeight="1">
      <c r="E831" s="2"/>
      <c r="F831" s="2"/>
      <c r="G831" s="2"/>
      <c r="M831" s="2"/>
      <c r="N831" s="2"/>
      <c r="O831" s="2"/>
      <c r="P831" s="2"/>
      <c r="U831" s="2"/>
      <c r="V831" s="2"/>
      <c r="W831" s="2"/>
      <c r="X831" s="2"/>
      <c r="AC831" s="2"/>
      <c r="AI831" s="2"/>
      <c r="AN831" s="2"/>
      <c r="AO831" s="2"/>
      <c r="AP831" s="2"/>
      <c r="AQ831" s="2"/>
      <c r="AR831" s="2"/>
      <c r="AS831" s="2"/>
    </row>
    <row r="832" spans="5:45" ht="15.75" customHeight="1">
      <c r="E832" s="2"/>
      <c r="F832" s="2"/>
      <c r="G832" s="2"/>
      <c r="M832" s="2"/>
      <c r="N832" s="2"/>
      <c r="O832" s="2"/>
      <c r="P832" s="2"/>
      <c r="U832" s="2"/>
      <c r="V832" s="2"/>
      <c r="W832" s="2"/>
      <c r="X832" s="2"/>
      <c r="AC832" s="2"/>
      <c r="AI832" s="2"/>
      <c r="AN832" s="2"/>
      <c r="AO832" s="2"/>
      <c r="AP832" s="2"/>
      <c r="AQ832" s="2"/>
      <c r="AR832" s="2"/>
      <c r="AS832" s="2"/>
    </row>
    <row r="833" spans="5:45" ht="15.75" customHeight="1">
      <c r="E833" s="2"/>
      <c r="F833" s="2"/>
      <c r="G833" s="2"/>
      <c r="M833" s="2"/>
      <c r="N833" s="2"/>
      <c r="O833" s="2"/>
      <c r="P833" s="2"/>
      <c r="U833" s="2"/>
      <c r="V833" s="2"/>
      <c r="W833" s="2"/>
      <c r="X833" s="2"/>
      <c r="AC833" s="2"/>
      <c r="AI833" s="2"/>
      <c r="AN833" s="2"/>
      <c r="AO833" s="2"/>
      <c r="AP833" s="2"/>
      <c r="AQ833" s="2"/>
      <c r="AR833" s="2"/>
      <c r="AS833" s="2"/>
    </row>
    <row r="834" spans="5:45" ht="15.75" customHeight="1">
      <c r="E834" s="2"/>
      <c r="F834" s="2"/>
      <c r="G834" s="2"/>
      <c r="M834" s="2"/>
      <c r="N834" s="2"/>
      <c r="O834" s="2"/>
      <c r="P834" s="2"/>
      <c r="U834" s="2"/>
      <c r="V834" s="2"/>
      <c r="W834" s="2"/>
      <c r="X834" s="2"/>
      <c r="AC834" s="2"/>
      <c r="AI834" s="2"/>
      <c r="AN834" s="2"/>
      <c r="AO834" s="2"/>
      <c r="AP834" s="2"/>
      <c r="AQ834" s="2"/>
      <c r="AR834" s="2"/>
      <c r="AS834" s="2"/>
    </row>
    <row r="835" spans="5:45" ht="15.75" customHeight="1">
      <c r="E835" s="2"/>
      <c r="F835" s="2"/>
      <c r="G835" s="2"/>
      <c r="M835" s="2"/>
      <c r="N835" s="2"/>
      <c r="O835" s="2"/>
      <c r="P835" s="2"/>
      <c r="U835" s="2"/>
      <c r="V835" s="2"/>
      <c r="W835" s="2"/>
      <c r="X835" s="2"/>
      <c r="AC835" s="2"/>
      <c r="AI835" s="2"/>
      <c r="AN835" s="2"/>
      <c r="AO835" s="2"/>
      <c r="AP835" s="2"/>
      <c r="AQ835" s="2"/>
      <c r="AR835" s="2"/>
      <c r="AS835" s="2"/>
    </row>
    <row r="836" spans="5:45" ht="15.75" customHeight="1">
      <c r="E836" s="2"/>
      <c r="F836" s="2"/>
      <c r="G836" s="2"/>
      <c r="M836" s="2"/>
      <c r="N836" s="2"/>
      <c r="O836" s="2"/>
      <c r="P836" s="2"/>
      <c r="U836" s="2"/>
      <c r="V836" s="2"/>
      <c r="W836" s="2"/>
      <c r="X836" s="2"/>
      <c r="AC836" s="2"/>
      <c r="AI836" s="2"/>
      <c r="AN836" s="2"/>
      <c r="AO836" s="2"/>
      <c r="AP836" s="2"/>
      <c r="AQ836" s="2"/>
      <c r="AR836" s="2"/>
      <c r="AS836" s="2"/>
    </row>
    <row r="837" spans="5:45" ht="15.75" customHeight="1">
      <c r="E837" s="2"/>
      <c r="F837" s="2"/>
      <c r="G837" s="2"/>
      <c r="M837" s="2"/>
      <c r="N837" s="2"/>
      <c r="O837" s="2"/>
      <c r="P837" s="2"/>
      <c r="U837" s="2"/>
      <c r="V837" s="2"/>
      <c r="W837" s="2"/>
      <c r="X837" s="2"/>
      <c r="AC837" s="2"/>
      <c r="AI837" s="2"/>
      <c r="AN837" s="2"/>
      <c r="AO837" s="2"/>
      <c r="AP837" s="2"/>
      <c r="AQ837" s="2"/>
      <c r="AR837" s="2"/>
      <c r="AS837" s="2"/>
    </row>
    <row r="838" spans="5:45" ht="15.75" customHeight="1">
      <c r="E838" s="2"/>
      <c r="F838" s="2"/>
      <c r="G838" s="2"/>
      <c r="M838" s="2"/>
      <c r="N838" s="2"/>
      <c r="O838" s="2"/>
      <c r="P838" s="2"/>
      <c r="U838" s="2"/>
      <c r="V838" s="2"/>
      <c r="W838" s="2"/>
      <c r="X838" s="2"/>
      <c r="AC838" s="2"/>
      <c r="AI838" s="2"/>
      <c r="AN838" s="2"/>
      <c r="AO838" s="2"/>
      <c r="AP838" s="2"/>
      <c r="AQ838" s="2"/>
      <c r="AR838" s="2"/>
      <c r="AS838" s="2"/>
    </row>
    <row r="839" spans="5:45" ht="15.75" customHeight="1">
      <c r="E839" s="2"/>
      <c r="F839" s="2"/>
      <c r="G839" s="2"/>
      <c r="M839" s="2"/>
      <c r="N839" s="2"/>
      <c r="O839" s="2"/>
      <c r="P839" s="2"/>
      <c r="U839" s="2"/>
      <c r="V839" s="2"/>
      <c r="W839" s="2"/>
      <c r="X839" s="2"/>
      <c r="AC839" s="2"/>
      <c r="AI839" s="2"/>
      <c r="AN839" s="2"/>
      <c r="AO839" s="2"/>
      <c r="AP839" s="2"/>
      <c r="AQ839" s="2"/>
      <c r="AR839" s="2"/>
      <c r="AS839" s="2"/>
    </row>
    <row r="840" spans="5:45" ht="15.75" customHeight="1">
      <c r="E840" s="2"/>
      <c r="F840" s="2"/>
      <c r="G840" s="2"/>
      <c r="M840" s="2"/>
      <c r="N840" s="2"/>
      <c r="O840" s="2"/>
      <c r="P840" s="2"/>
      <c r="U840" s="2"/>
      <c r="V840" s="2"/>
      <c r="W840" s="2"/>
      <c r="X840" s="2"/>
      <c r="AC840" s="2"/>
      <c r="AI840" s="2"/>
      <c r="AN840" s="2"/>
      <c r="AO840" s="2"/>
      <c r="AP840" s="2"/>
      <c r="AQ840" s="2"/>
      <c r="AR840" s="2"/>
      <c r="AS840" s="2"/>
    </row>
    <row r="841" spans="5:45" ht="15.75" customHeight="1">
      <c r="E841" s="2"/>
      <c r="F841" s="2"/>
      <c r="G841" s="2"/>
      <c r="M841" s="2"/>
      <c r="N841" s="2"/>
      <c r="O841" s="2"/>
      <c r="P841" s="2"/>
      <c r="U841" s="2"/>
      <c r="V841" s="2"/>
      <c r="W841" s="2"/>
      <c r="X841" s="2"/>
      <c r="AC841" s="2"/>
      <c r="AI841" s="2"/>
      <c r="AN841" s="2"/>
      <c r="AO841" s="2"/>
      <c r="AP841" s="2"/>
      <c r="AQ841" s="2"/>
      <c r="AR841" s="2"/>
      <c r="AS841" s="2"/>
    </row>
    <row r="842" spans="5:45" ht="15.75" customHeight="1">
      <c r="E842" s="2"/>
      <c r="F842" s="2"/>
      <c r="G842" s="2"/>
      <c r="M842" s="2"/>
      <c r="N842" s="2"/>
      <c r="O842" s="2"/>
      <c r="P842" s="2"/>
      <c r="U842" s="2"/>
      <c r="V842" s="2"/>
      <c r="W842" s="2"/>
      <c r="X842" s="2"/>
      <c r="AC842" s="2"/>
      <c r="AI842" s="2"/>
      <c r="AN842" s="2"/>
      <c r="AO842" s="2"/>
      <c r="AP842" s="2"/>
      <c r="AQ842" s="2"/>
      <c r="AR842" s="2"/>
      <c r="AS842" s="2"/>
    </row>
    <row r="843" spans="5:45" ht="15.75" customHeight="1">
      <c r="E843" s="2"/>
      <c r="F843" s="2"/>
      <c r="G843" s="2"/>
      <c r="M843" s="2"/>
      <c r="N843" s="2"/>
      <c r="O843" s="2"/>
      <c r="P843" s="2"/>
      <c r="U843" s="2"/>
      <c r="V843" s="2"/>
      <c r="W843" s="2"/>
      <c r="X843" s="2"/>
      <c r="AC843" s="2"/>
      <c r="AI843" s="2"/>
      <c r="AN843" s="2"/>
      <c r="AO843" s="2"/>
      <c r="AP843" s="2"/>
      <c r="AQ843" s="2"/>
      <c r="AR843" s="2"/>
      <c r="AS843" s="2"/>
    </row>
    <row r="844" spans="5:45" ht="15.75" customHeight="1">
      <c r="E844" s="2"/>
      <c r="F844" s="2"/>
      <c r="G844" s="2"/>
      <c r="M844" s="2"/>
      <c r="N844" s="2"/>
      <c r="O844" s="2"/>
      <c r="P844" s="2"/>
      <c r="U844" s="2"/>
      <c r="V844" s="2"/>
      <c r="W844" s="2"/>
      <c r="X844" s="2"/>
      <c r="AC844" s="2"/>
      <c r="AI844" s="2"/>
      <c r="AN844" s="2"/>
      <c r="AO844" s="2"/>
      <c r="AP844" s="2"/>
      <c r="AQ844" s="2"/>
      <c r="AR844" s="2"/>
      <c r="AS844" s="2"/>
    </row>
    <row r="845" spans="5:45" ht="15.75" customHeight="1">
      <c r="E845" s="2"/>
      <c r="F845" s="2"/>
      <c r="G845" s="2"/>
      <c r="M845" s="2"/>
      <c r="N845" s="2"/>
      <c r="O845" s="2"/>
      <c r="P845" s="2"/>
      <c r="U845" s="2"/>
      <c r="V845" s="2"/>
      <c r="W845" s="2"/>
      <c r="X845" s="2"/>
      <c r="AC845" s="2"/>
      <c r="AI845" s="2"/>
      <c r="AN845" s="2"/>
      <c r="AO845" s="2"/>
      <c r="AP845" s="2"/>
      <c r="AQ845" s="2"/>
      <c r="AR845" s="2"/>
      <c r="AS845" s="2"/>
    </row>
    <row r="846" spans="5:45" ht="15.75" customHeight="1">
      <c r="E846" s="2"/>
      <c r="F846" s="2"/>
      <c r="G846" s="2"/>
      <c r="M846" s="2"/>
      <c r="N846" s="2"/>
      <c r="O846" s="2"/>
      <c r="P846" s="2"/>
      <c r="U846" s="2"/>
      <c r="V846" s="2"/>
      <c r="W846" s="2"/>
      <c r="X846" s="2"/>
      <c r="AC846" s="2"/>
      <c r="AI846" s="2"/>
      <c r="AN846" s="2"/>
      <c r="AO846" s="2"/>
      <c r="AP846" s="2"/>
      <c r="AQ846" s="2"/>
      <c r="AR846" s="2"/>
      <c r="AS846" s="2"/>
    </row>
    <row r="847" spans="5:45" ht="15.75" customHeight="1">
      <c r="E847" s="2"/>
      <c r="F847" s="2"/>
      <c r="G847" s="2"/>
      <c r="M847" s="2"/>
      <c r="N847" s="2"/>
      <c r="O847" s="2"/>
      <c r="P847" s="2"/>
      <c r="U847" s="2"/>
      <c r="V847" s="2"/>
      <c r="W847" s="2"/>
      <c r="X847" s="2"/>
      <c r="AC847" s="2"/>
      <c r="AI847" s="2"/>
      <c r="AN847" s="2"/>
      <c r="AO847" s="2"/>
      <c r="AP847" s="2"/>
      <c r="AQ847" s="2"/>
      <c r="AR847" s="2"/>
      <c r="AS847" s="2"/>
    </row>
    <row r="848" spans="5:45" ht="15.75" customHeight="1">
      <c r="E848" s="2"/>
      <c r="F848" s="2"/>
      <c r="G848" s="2"/>
      <c r="M848" s="2"/>
      <c r="N848" s="2"/>
      <c r="O848" s="2"/>
      <c r="P848" s="2"/>
      <c r="U848" s="2"/>
      <c r="V848" s="2"/>
      <c r="W848" s="2"/>
      <c r="X848" s="2"/>
      <c r="AC848" s="2"/>
      <c r="AI848" s="2"/>
      <c r="AN848" s="2"/>
      <c r="AO848" s="2"/>
      <c r="AP848" s="2"/>
      <c r="AQ848" s="2"/>
      <c r="AR848" s="2"/>
      <c r="AS848" s="2"/>
    </row>
    <row r="849" spans="5:45" ht="15.75" customHeight="1">
      <c r="E849" s="2"/>
      <c r="F849" s="2"/>
      <c r="G849" s="2"/>
      <c r="M849" s="2"/>
      <c r="N849" s="2"/>
      <c r="O849" s="2"/>
      <c r="P849" s="2"/>
      <c r="U849" s="2"/>
      <c r="V849" s="2"/>
      <c r="W849" s="2"/>
      <c r="X849" s="2"/>
      <c r="AC849" s="2"/>
      <c r="AI849" s="2"/>
      <c r="AN849" s="2"/>
      <c r="AO849" s="2"/>
      <c r="AP849" s="2"/>
      <c r="AQ849" s="2"/>
      <c r="AR849" s="2"/>
      <c r="AS849" s="2"/>
    </row>
    <row r="850" spans="5:45" ht="15.75" customHeight="1">
      <c r="E850" s="2"/>
      <c r="F850" s="2"/>
      <c r="G850" s="2"/>
      <c r="M850" s="2"/>
      <c r="N850" s="2"/>
      <c r="O850" s="2"/>
      <c r="P850" s="2"/>
      <c r="U850" s="2"/>
      <c r="V850" s="2"/>
      <c r="W850" s="2"/>
      <c r="X850" s="2"/>
      <c r="AC850" s="2"/>
      <c r="AI850" s="2"/>
      <c r="AN850" s="2"/>
      <c r="AO850" s="2"/>
      <c r="AP850" s="2"/>
      <c r="AQ850" s="2"/>
      <c r="AR850" s="2"/>
      <c r="AS850" s="2"/>
    </row>
    <row r="851" spans="5:45" ht="15.75" customHeight="1">
      <c r="E851" s="2"/>
      <c r="F851" s="2"/>
      <c r="G851" s="2"/>
      <c r="M851" s="2"/>
      <c r="N851" s="2"/>
      <c r="O851" s="2"/>
      <c r="P851" s="2"/>
      <c r="U851" s="2"/>
      <c r="V851" s="2"/>
      <c r="W851" s="2"/>
      <c r="X851" s="2"/>
      <c r="AC851" s="2"/>
      <c r="AI851" s="2"/>
      <c r="AN851" s="2"/>
      <c r="AO851" s="2"/>
      <c r="AP851" s="2"/>
      <c r="AQ851" s="2"/>
      <c r="AR851" s="2"/>
      <c r="AS851" s="2"/>
    </row>
    <row r="852" spans="5:45" ht="15.75" customHeight="1">
      <c r="E852" s="2"/>
      <c r="F852" s="2"/>
      <c r="G852" s="2"/>
      <c r="M852" s="2"/>
      <c r="N852" s="2"/>
      <c r="O852" s="2"/>
      <c r="P852" s="2"/>
      <c r="U852" s="2"/>
      <c r="V852" s="2"/>
      <c r="W852" s="2"/>
      <c r="X852" s="2"/>
      <c r="AC852" s="2"/>
      <c r="AI852" s="2"/>
      <c r="AN852" s="2"/>
      <c r="AO852" s="2"/>
      <c r="AP852" s="2"/>
      <c r="AQ852" s="2"/>
      <c r="AR852" s="2"/>
      <c r="AS852" s="2"/>
    </row>
    <row r="853" spans="5:45" ht="15.75" customHeight="1">
      <c r="E853" s="2"/>
      <c r="F853" s="2"/>
      <c r="G853" s="2"/>
      <c r="M853" s="2"/>
      <c r="N853" s="2"/>
      <c r="O853" s="2"/>
      <c r="P853" s="2"/>
      <c r="U853" s="2"/>
      <c r="V853" s="2"/>
      <c r="W853" s="2"/>
      <c r="X853" s="2"/>
      <c r="AC853" s="2"/>
      <c r="AI853" s="2"/>
      <c r="AN853" s="2"/>
      <c r="AO853" s="2"/>
      <c r="AP853" s="2"/>
      <c r="AQ853" s="2"/>
      <c r="AR853" s="2"/>
      <c r="AS853" s="2"/>
    </row>
    <row r="854" spans="5:45" ht="15.75" customHeight="1">
      <c r="E854" s="2"/>
      <c r="F854" s="2"/>
      <c r="G854" s="2"/>
      <c r="M854" s="2"/>
      <c r="N854" s="2"/>
      <c r="O854" s="2"/>
      <c r="P854" s="2"/>
      <c r="U854" s="2"/>
      <c r="V854" s="2"/>
      <c r="W854" s="2"/>
      <c r="X854" s="2"/>
      <c r="AC854" s="2"/>
      <c r="AI854" s="2"/>
      <c r="AN854" s="2"/>
      <c r="AO854" s="2"/>
      <c r="AP854" s="2"/>
      <c r="AQ854" s="2"/>
      <c r="AR854" s="2"/>
      <c r="AS854" s="2"/>
    </row>
    <row r="855" spans="5:45" ht="15.75" customHeight="1">
      <c r="E855" s="2"/>
      <c r="F855" s="2"/>
      <c r="G855" s="2"/>
      <c r="M855" s="2"/>
      <c r="N855" s="2"/>
      <c r="O855" s="2"/>
      <c r="P855" s="2"/>
      <c r="U855" s="2"/>
      <c r="V855" s="2"/>
      <c r="W855" s="2"/>
      <c r="X855" s="2"/>
      <c r="AC855" s="2"/>
      <c r="AI855" s="2"/>
      <c r="AN855" s="2"/>
      <c r="AO855" s="2"/>
      <c r="AP855" s="2"/>
      <c r="AQ855" s="2"/>
      <c r="AR855" s="2"/>
      <c r="AS855" s="2"/>
    </row>
    <row r="856" spans="5:45" ht="15.75" customHeight="1">
      <c r="E856" s="2"/>
      <c r="F856" s="2"/>
      <c r="G856" s="2"/>
      <c r="M856" s="2"/>
      <c r="N856" s="2"/>
      <c r="O856" s="2"/>
      <c r="P856" s="2"/>
      <c r="U856" s="2"/>
      <c r="V856" s="2"/>
      <c r="W856" s="2"/>
      <c r="X856" s="2"/>
      <c r="AC856" s="2"/>
      <c r="AI856" s="2"/>
      <c r="AN856" s="2"/>
      <c r="AO856" s="2"/>
      <c r="AP856" s="2"/>
      <c r="AQ856" s="2"/>
      <c r="AR856" s="2"/>
      <c r="AS856" s="2"/>
    </row>
    <row r="857" spans="5:45" ht="15.75" customHeight="1">
      <c r="E857" s="2"/>
      <c r="F857" s="2"/>
      <c r="G857" s="2"/>
      <c r="M857" s="2"/>
      <c r="N857" s="2"/>
      <c r="O857" s="2"/>
      <c r="P857" s="2"/>
      <c r="U857" s="2"/>
      <c r="V857" s="2"/>
      <c r="W857" s="2"/>
      <c r="X857" s="2"/>
      <c r="AC857" s="2"/>
      <c r="AI857" s="2"/>
      <c r="AN857" s="2"/>
      <c r="AO857" s="2"/>
      <c r="AP857" s="2"/>
      <c r="AQ857" s="2"/>
      <c r="AR857" s="2"/>
      <c r="AS857" s="2"/>
    </row>
    <row r="858" spans="5:45" ht="15.75" customHeight="1">
      <c r="E858" s="2"/>
      <c r="F858" s="2"/>
      <c r="G858" s="2"/>
      <c r="M858" s="2"/>
      <c r="N858" s="2"/>
      <c r="O858" s="2"/>
      <c r="P858" s="2"/>
      <c r="U858" s="2"/>
      <c r="V858" s="2"/>
      <c r="W858" s="2"/>
      <c r="X858" s="2"/>
      <c r="AC858" s="2"/>
      <c r="AI858" s="2"/>
      <c r="AN858" s="2"/>
      <c r="AO858" s="2"/>
      <c r="AP858" s="2"/>
      <c r="AQ858" s="2"/>
      <c r="AR858" s="2"/>
      <c r="AS858" s="2"/>
    </row>
    <row r="859" spans="5:45" ht="15.75" customHeight="1">
      <c r="E859" s="2"/>
      <c r="F859" s="2"/>
      <c r="G859" s="2"/>
      <c r="M859" s="2"/>
      <c r="N859" s="2"/>
      <c r="O859" s="2"/>
      <c r="P859" s="2"/>
      <c r="U859" s="2"/>
      <c r="V859" s="2"/>
      <c r="W859" s="2"/>
      <c r="X859" s="2"/>
      <c r="AC859" s="2"/>
      <c r="AI859" s="2"/>
      <c r="AN859" s="2"/>
      <c r="AO859" s="2"/>
      <c r="AP859" s="2"/>
      <c r="AQ859" s="2"/>
      <c r="AR859" s="2"/>
      <c r="AS859" s="2"/>
    </row>
    <row r="860" spans="5:45" ht="15.75" customHeight="1">
      <c r="E860" s="2"/>
      <c r="F860" s="2"/>
      <c r="G860" s="2"/>
      <c r="M860" s="2"/>
      <c r="N860" s="2"/>
      <c r="O860" s="2"/>
      <c r="P860" s="2"/>
      <c r="U860" s="2"/>
      <c r="V860" s="2"/>
      <c r="W860" s="2"/>
      <c r="X860" s="2"/>
      <c r="AC860" s="2"/>
      <c r="AI860" s="2"/>
      <c r="AN860" s="2"/>
      <c r="AO860" s="2"/>
      <c r="AP860" s="2"/>
      <c r="AQ860" s="2"/>
      <c r="AR860" s="2"/>
      <c r="AS860" s="2"/>
    </row>
    <row r="861" spans="5:45" ht="15.75" customHeight="1">
      <c r="E861" s="2"/>
      <c r="F861" s="2"/>
      <c r="G861" s="2"/>
      <c r="M861" s="2"/>
      <c r="N861" s="2"/>
      <c r="O861" s="2"/>
      <c r="P861" s="2"/>
      <c r="U861" s="2"/>
      <c r="V861" s="2"/>
      <c r="W861" s="2"/>
      <c r="X861" s="2"/>
      <c r="AC861" s="2"/>
      <c r="AI861" s="2"/>
      <c r="AN861" s="2"/>
      <c r="AO861" s="2"/>
      <c r="AP861" s="2"/>
      <c r="AQ861" s="2"/>
      <c r="AR861" s="2"/>
      <c r="AS861" s="2"/>
    </row>
    <row r="862" spans="5:45" ht="15.75" customHeight="1">
      <c r="E862" s="2"/>
      <c r="F862" s="2"/>
      <c r="G862" s="2"/>
      <c r="M862" s="2"/>
      <c r="N862" s="2"/>
      <c r="O862" s="2"/>
      <c r="P862" s="2"/>
      <c r="U862" s="2"/>
      <c r="V862" s="2"/>
      <c r="W862" s="2"/>
      <c r="X862" s="2"/>
      <c r="AC862" s="2"/>
      <c r="AI862" s="2"/>
      <c r="AN862" s="2"/>
      <c r="AO862" s="2"/>
      <c r="AP862" s="2"/>
      <c r="AQ862" s="2"/>
      <c r="AR862" s="2"/>
      <c r="AS862" s="2"/>
    </row>
    <row r="863" spans="5:45" ht="15.75" customHeight="1">
      <c r="E863" s="2"/>
      <c r="F863" s="2"/>
      <c r="G863" s="2"/>
      <c r="M863" s="2"/>
      <c r="N863" s="2"/>
      <c r="O863" s="2"/>
      <c r="P863" s="2"/>
      <c r="U863" s="2"/>
      <c r="V863" s="2"/>
      <c r="W863" s="2"/>
      <c r="X863" s="2"/>
      <c r="AC863" s="2"/>
      <c r="AI863" s="2"/>
      <c r="AN863" s="2"/>
      <c r="AO863" s="2"/>
      <c r="AP863" s="2"/>
      <c r="AQ863" s="2"/>
      <c r="AR863" s="2"/>
      <c r="AS863" s="2"/>
    </row>
    <row r="864" spans="5:45" ht="15.75" customHeight="1">
      <c r="E864" s="2"/>
      <c r="F864" s="2"/>
      <c r="G864" s="2"/>
      <c r="M864" s="2"/>
      <c r="N864" s="2"/>
      <c r="O864" s="2"/>
      <c r="P864" s="2"/>
      <c r="U864" s="2"/>
      <c r="V864" s="2"/>
      <c r="W864" s="2"/>
      <c r="X864" s="2"/>
      <c r="AC864" s="2"/>
      <c r="AI864" s="2"/>
      <c r="AN864" s="2"/>
      <c r="AO864" s="2"/>
      <c r="AP864" s="2"/>
      <c r="AQ864" s="2"/>
      <c r="AR864" s="2"/>
      <c r="AS864" s="2"/>
    </row>
    <row r="865" spans="5:45" ht="15.75" customHeight="1">
      <c r="E865" s="2"/>
      <c r="F865" s="2"/>
      <c r="G865" s="2"/>
      <c r="M865" s="2"/>
      <c r="N865" s="2"/>
      <c r="O865" s="2"/>
      <c r="P865" s="2"/>
      <c r="U865" s="2"/>
      <c r="V865" s="2"/>
      <c r="W865" s="2"/>
      <c r="X865" s="2"/>
      <c r="AC865" s="2"/>
      <c r="AI865" s="2"/>
      <c r="AN865" s="2"/>
      <c r="AO865" s="2"/>
      <c r="AP865" s="2"/>
      <c r="AQ865" s="2"/>
      <c r="AR865" s="2"/>
      <c r="AS865" s="2"/>
    </row>
    <row r="866" spans="5:45" ht="15.75" customHeight="1">
      <c r="E866" s="2"/>
      <c r="F866" s="2"/>
      <c r="G866" s="2"/>
      <c r="M866" s="2"/>
      <c r="N866" s="2"/>
      <c r="O866" s="2"/>
      <c r="P866" s="2"/>
      <c r="U866" s="2"/>
      <c r="V866" s="2"/>
      <c r="W866" s="2"/>
      <c r="X866" s="2"/>
      <c r="AC866" s="2"/>
      <c r="AI866" s="2"/>
      <c r="AN866" s="2"/>
      <c r="AO866" s="2"/>
      <c r="AP866" s="2"/>
      <c r="AQ866" s="2"/>
      <c r="AR866" s="2"/>
      <c r="AS866" s="2"/>
    </row>
    <row r="867" spans="5:45" ht="15.75" customHeight="1">
      <c r="E867" s="2"/>
      <c r="F867" s="2"/>
      <c r="G867" s="2"/>
      <c r="M867" s="2"/>
      <c r="N867" s="2"/>
      <c r="O867" s="2"/>
      <c r="P867" s="2"/>
      <c r="U867" s="2"/>
      <c r="V867" s="2"/>
      <c r="W867" s="2"/>
      <c r="X867" s="2"/>
      <c r="AC867" s="2"/>
      <c r="AI867" s="2"/>
      <c r="AN867" s="2"/>
      <c r="AO867" s="2"/>
      <c r="AP867" s="2"/>
      <c r="AQ867" s="2"/>
      <c r="AR867" s="2"/>
      <c r="AS867" s="2"/>
    </row>
    <row r="868" spans="5:45" ht="15.75" customHeight="1">
      <c r="E868" s="2"/>
      <c r="F868" s="2"/>
      <c r="G868" s="2"/>
      <c r="M868" s="2"/>
      <c r="N868" s="2"/>
      <c r="O868" s="2"/>
      <c r="P868" s="2"/>
      <c r="U868" s="2"/>
      <c r="V868" s="2"/>
      <c r="W868" s="2"/>
      <c r="X868" s="2"/>
      <c r="AC868" s="2"/>
      <c r="AI868" s="2"/>
      <c r="AN868" s="2"/>
      <c r="AO868" s="2"/>
      <c r="AP868" s="2"/>
      <c r="AQ868" s="2"/>
      <c r="AR868" s="2"/>
      <c r="AS868" s="2"/>
    </row>
    <row r="869" spans="5:45" ht="15.75" customHeight="1">
      <c r="E869" s="2"/>
      <c r="F869" s="2"/>
      <c r="G869" s="2"/>
      <c r="M869" s="2"/>
      <c r="N869" s="2"/>
      <c r="O869" s="2"/>
      <c r="P869" s="2"/>
      <c r="U869" s="2"/>
      <c r="V869" s="2"/>
      <c r="W869" s="2"/>
      <c r="X869" s="2"/>
      <c r="AC869" s="2"/>
      <c r="AI869" s="2"/>
      <c r="AN869" s="2"/>
      <c r="AO869" s="2"/>
      <c r="AP869" s="2"/>
      <c r="AQ869" s="2"/>
      <c r="AR869" s="2"/>
      <c r="AS869" s="2"/>
    </row>
    <row r="870" spans="5:45" ht="15.75" customHeight="1">
      <c r="E870" s="2"/>
      <c r="F870" s="2"/>
      <c r="G870" s="2"/>
      <c r="M870" s="2"/>
      <c r="N870" s="2"/>
      <c r="O870" s="2"/>
      <c r="P870" s="2"/>
      <c r="U870" s="2"/>
      <c r="V870" s="2"/>
      <c r="W870" s="2"/>
      <c r="X870" s="2"/>
      <c r="AC870" s="2"/>
      <c r="AI870" s="2"/>
      <c r="AN870" s="2"/>
      <c r="AO870" s="2"/>
      <c r="AP870" s="2"/>
      <c r="AQ870" s="2"/>
      <c r="AR870" s="2"/>
      <c r="AS870" s="2"/>
    </row>
    <row r="871" spans="5:45" ht="15.75" customHeight="1">
      <c r="E871" s="2"/>
      <c r="F871" s="2"/>
      <c r="G871" s="2"/>
      <c r="M871" s="2"/>
      <c r="N871" s="2"/>
      <c r="O871" s="2"/>
      <c r="P871" s="2"/>
      <c r="U871" s="2"/>
      <c r="V871" s="2"/>
      <c r="W871" s="2"/>
      <c r="X871" s="2"/>
      <c r="AC871" s="2"/>
      <c r="AI871" s="2"/>
      <c r="AN871" s="2"/>
      <c r="AO871" s="2"/>
      <c r="AP871" s="2"/>
      <c r="AQ871" s="2"/>
      <c r="AR871" s="2"/>
      <c r="AS871" s="2"/>
    </row>
    <row r="872" spans="5:45" ht="15.75" customHeight="1">
      <c r="E872" s="2"/>
      <c r="F872" s="2"/>
      <c r="G872" s="2"/>
      <c r="M872" s="2"/>
      <c r="N872" s="2"/>
      <c r="O872" s="2"/>
      <c r="P872" s="2"/>
      <c r="U872" s="2"/>
      <c r="V872" s="2"/>
      <c r="W872" s="2"/>
      <c r="X872" s="2"/>
      <c r="AC872" s="2"/>
      <c r="AI872" s="2"/>
      <c r="AN872" s="2"/>
      <c r="AO872" s="2"/>
      <c r="AP872" s="2"/>
      <c r="AQ872" s="2"/>
      <c r="AR872" s="2"/>
      <c r="AS872" s="2"/>
    </row>
    <row r="873" spans="5:45" ht="15.75" customHeight="1">
      <c r="E873" s="2"/>
      <c r="F873" s="2"/>
      <c r="G873" s="2"/>
      <c r="M873" s="2"/>
      <c r="N873" s="2"/>
      <c r="O873" s="2"/>
      <c r="P873" s="2"/>
      <c r="U873" s="2"/>
      <c r="V873" s="2"/>
      <c r="W873" s="2"/>
      <c r="X873" s="2"/>
      <c r="AC873" s="2"/>
      <c r="AI873" s="2"/>
      <c r="AN873" s="2"/>
      <c r="AO873" s="2"/>
      <c r="AP873" s="2"/>
      <c r="AQ873" s="2"/>
      <c r="AR873" s="2"/>
      <c r="AS873" s="2"/>
    </row>
    <row r="874" spans="5:45" ht="15.75" customHeight="1">
      <c r="E874" s="2"/>
      <c r="F874" s="2"/>
      <c r="G874" s="2"/>
      <c r="M874" s="2"/>
      <c r="N874" s="2"/>
      <c r="O874" s="2"/>
      <c r="P874" s="2"/>
      <c r="U874" s="2"/>
      <c r="V874" s="2"/>
      <c r="W874" s="2"/>
      <c r="X874" s="2"/>
      <c r="AC874" s="2"/>
      <c r="AI874" s="2"/>
      <c r="AN874" s="2"/>
      <c r="AO874" s="2"/>
      <c r="AP874" s="2"/>
      <c r="AQ874" s="2"/>
      <c r="AR874" s="2"/>
      <c r="AS874" s="2"/>
    </row>
    <row r="875" spans="5:45" ht="15.75" customHeight="1">
      <c r="E875" s="2"/>
      <c r="F875" s="2"/>
      <c r="G875" s="2"/>
      <c r="M875" s="2"/>
      <c r="N875" s="2"/>
      <c r="O875" s="2"/>
      <c r="P875" s="2"/>
      <c r="U875" s="2"/>
      <c r="V875" s="2"/>
      <c r="W875" s="2"/>
      <c r="X875" s="2"/>
      <c r="AC875" s="2"/>
      <c r="AI875" s="2"/>
      <c r="AN875" s="2"/>
      <c r="AO875" s="2"/>
      <c r="AP875" s="2"/>
      <c r="AQ875" s="2"/>
      <c r="AR875" s="2"/>
      <c r="AS875" s="2"/>
    </row>
    <row r="876" spans="5:45" ht="15.75" customHeight="1">
      <c r="E876" s="2"/>
      <c r="F876" s="2"/>
      <c r="G876" s="2"/>
      <c r="M876" s="2"/>
      <c r="N876" s="2"/>
      <c r="O876" s="2"/>
      <c r="P876" s="2"/>
      <c r="U876" s="2"/>
      <c r="V876" s="2"/>
      <c r="W876" s="2"/>
      <c r="X876" s="2"/>
      <c r="AC876" s="2"/>
      <c r="AI876" s="2"/>
      <c r="AN876" s="2"/>
      <c r="AO876" s="2"/>
      <c r="AP876" s="2"/>
      <c r="AQ876" s="2"/>
      <c r="AR876" s="2"/>
      <c r="AS876" s="2"/>
    </row>
    <row r="877" spans="5:45" ht="15.75" customHeight="1">
      <c r="E877" s="2"/>
      <c r="F877" s="2"/>
      <c r="G877" s="2"/>
      <c r="M877" s="2"/>
      <c r="N877" s="2"/>
      <c r="O877" s="2"/>
      <c r="P877" s="2"/>
      <c r="U877" s="2"/>
      <c r="V877" s="2"/>
      <c r="W877" s="2"/>
      <c r="X877" s="2"/>
      <c r="AC877" s="2"/>
      <c r="AI877" s="2"/>
      <c r="AN877" s="2"/>
      <c r="AO877" s="2"/>
      <c r="AP877" s="2"/>
      <c r="AQ877" s="2"/>
      <c r="AR877" s="2"/>
      <c r="AS877" s="2"/>
    </row>
    <row r="878" spans="5:45" ht="15.75" customHeight="1">
      <c r="E878" s="2"/>
      <c r="F878" s="2"/>
      <c r="G878" s="2"/>
      <c r="M878" s="2"/>
      <c r="N878" s="2"/>
      <c r="O878" s="2"/>
      <c r="P878" s="2"/>
      <c r="U878" s="2"/>
      <c r="V878" s="2"/>
      <c r="W878" s="2"/>
      <c r="X878" s="2"/>
      <c r="AC878" s="2"/>
      <c r="AI878" s="2"/>
      <c r="AN878" s="2"/>
      <c r="AO878" s="2"/>
      <c r="AP878" s="2"/>
      <c r="AQ878" s="2"/>
      <c r="AR878" s="2"/>
      <c r="AS878" s="2"/>
    </row>
    <row r="879" spans="5:45" ht="15.75" customHeight="1">
      <c r="E879" s="2"/>
      <c r="F879" s="2"/>
      <c r="G879" s="2"/>
      <c r="M879" s="2"/>
      <c r="N879" s="2"/>
      <c r="O879" s="2"/>
      <c r="P879" s="2"/>
      <c r="U879" s="2"/>
      <c r="V879" s="2"/>
      <c r="W879" s="2"/>
      <c r="X879" s="2"/>
      <c r="AC879" s="2"/>
      <c r="AI879" s="2"/>
      <c r="AN879" s="2"/>
      <c r="AO879" s="2"/>
      <c r="AP879" s="2"/>
      <c r="AQ879" s="2"/>
      <c r="AR879" s="2"/>
      <c r="AS879" s="2"/>
    </row>
    <row r="880" spans="5:45" ht="15.75" customHeight="1">
      <c r="E880" s="2"/>
      <c r="F880" s="2"/>
      <c r="G880" s="2"/>
      <c r="M880" s="2"/>
      <c r="N880" s="2"/>
      <c r="O880" s="2"/>
      <c r="P880" s="2"/>
      <c r="U880" s="2"/>
      <c r="V880" s="2"/>
      <c r="W880" s="2"/>
      <c r="X880" s="2"/>
      <c r="AC880" s="2"/>
      <c r="AI880" s="2"/>
      <c r="AN880" s="2"/>
      <c r="AO880" s="2"/>
      <c r="AP880" s="2"/>
      <c r="AQ880" s="2"/>
      <c r="AR880" s="2"/>
      <c r="AS880" s="2"/>
    </row>
    <row r="881" spans="5:45" ht="15.75" customHeight="1">
      <c r="E881" s="2"/>
      <c r="F881" s="2"/>
      <c r="G881" s="2"/>
      <c r="M881" s="2"/>
      <c r="N881" s="2"/>
      <c r="O881" s="2"/>
      <c r="P881" s="2"/>
      <c r="U881" s="2"/>
      <c r="V881" s="2"/>
      <c r="W881" s="2"/>
      <c r="X881" s="2"/>
      <c r="AC881" s="2"/>
      <c r="AI881" s="2"/>
      <c r="AN881" s="2"/>
      <c r="AO881" s="2"/>
      <c r="AP881" s="2"/>
      <c r="AQ881" s="2"/>
      <c r="AR881" s="2"/>
      <c r="AS881" s="2"/>
    </row>
    <row r="882" spans="5:45" ht="15.75" customHeight="1">
      <c r="E882" s="2"/>
      <c r="F882" s="2"/>
      <c r="G882" s="2"/>
      <c r="M882" s="2"/>
      <c r="N882" s="2"/>
      <c r="O882" s="2"/>
      <c r="P882" s="2"/>
      <c r="U882" s="2"/>
      <c r="V882" s="2"/>
      <c r="W882" s="2"/>
      <c r="X882" s="2"/>
      <c r="AC882" s="2"/>
      <c r="AI882" s="2"/>
      <c r="AN882" s="2"/>
      <c r="AO882" s="2"/>
      <c r="AP882" s="2"/>
      <c r="AQ882" s="2"/>
      <c r="AR882" s="2"/>
      <c r="AS882" s="2"/>
    </row>
    <row r="883" spans="5:45" ht="15.75" customHeight="1">
      <c r="E883" s="2"/>
      <c r="F883" s="2"/>
      <c r="G883" s="2"/>
      <c r="M883" s="2"/>
      <c r="N883" s="2"/>
      <c r="O883" s="2"/>
      <c r="P883" s="2"/>
      <c r="U883" s="2"/>
      <c r="V883" s="2"/>
      <c r="W883" s="2"/>
      <c r="X883" s="2"/>
      <c r="AC883" s="2"/>
      <c r="AI883" s="2"/>
      <c r="AN883" s="2"/>
      <c r="AO883" s="2"/>
      <c r="AP883" s="2"/>
      <c r="AQ883" s="2"/>
      <c r="AR883" s="2"/>
      <c r="AS883" s="2"/>
    </row>
    <row r="884" spans="5:45" ht="15.75" customHeight="1">
      <c r="E884" s="2"/>
      <c r="F884" s="2"/>
      <c r="G884" s="2"/>
      <c r="M884" s="2"/>
      <c r="N884" s="2"/>
      <c r="O884" s="2"/>
      <c r="P884" s="2"/>
      <c r="U884" s="2"/>
      <c r="V884" s="2"/>
      <c r="W884" s="2"/>
      <c r="X884" s="2"/>
      <c r="AC884" s="2"/>
      <c r="AI884" s="2"/>
      <c r="AN884" s="2"/>
      <c r="AO884" s="2"/>
      <c r="AP884" s="2"/>
      <c r="AQ884" s="2"/>
      <c r="AR884" s="2"/>
      <c r="AS884" s="2"/>
    </row>
    <row r="885" spans="5:45" ht="15.75" customHeight="1">
      <c r="E885" s="2"/>
      <c r="F885" s="2"/>
      <c r="G885" s="2"/>
      <c r="M885" s="2"/>
      <c r="N885" s="2"/>
      <c r="O885" s="2"/>
      <c r="P885" s="2"/>
      <c r="U885" s="2"/>
      <c r="V885" s="2"/>
      <c r="W885" s="2"/>
      <c r="X885" s="2"/>
      <c r="AC885" s="2"/>
      <c r="AI885" s="2"/>
      <c r="AN885" s="2"/>
      <c r="AO885" s="2"/>
      <c r="AP885" s="2"/>
      <c r="AQ885" s="2"/>
      <c r="AR885" s="2"/>
      <c r="AS885" s="2"/>
    </row>
    <row r="886" spans="5:45" ht="15.75" customHeight="1">
      <c r="E886" s="2"/>
      <c r="F886" s="2"/>
      <c r="G886" s="2"/>
      <c r="M886" s="2"/>
      <c r="N886" s="2"/>
      <c r="O886" s="2"/>
      <c r="P886" s="2"/>
      <c r="U886" s="2"/>
      <c r="V886" s="2"/>
      <c r="W886" s="2"/>
      <c r="X886" s="2"/>
      <c r="AC886" s="2"/>
      <c r="AI886" s="2"/>
      <c r="AN886" s="2"/>
      <c r="AO886" s="2"/>
      <c r="AP886" s="2"/>
      <c r="AQ886" s="2"/>
      <c r="AR886" s="2"/>
      <c r="AS886" s="2"/>
    </row>
    <row r="887" spans="5:45" ht="15.75" customHeight="1">
      <c r="E887" s="2"/>
      <c r="F887" s="2"/>
      <c r="G887" s="2"/>
      <c r="M887" s="2"/>
      <c r="N887" s="2"/>
      <c r="O887" s="2"/>
      <c r="P887" s="2"/>
      <c r="U887" s="2"/>
      <c r="V887" s="2"/>
      <c r="W887" s="2"/>
      <c r="X887" s="2"/>
      <c r="AC887" s="2"/>
      <c r="AI887" s="2"/>
      <c r="AN887" s="2"/>
      <c r="AO887" s="2"/>
      <c r="AP887" s="2"/>
      <c r="AQ887" s="2"/>
      <c r="AR887" s="2"/>
      <c r="AS887" s="2"/>
    </row>
    <row r="888" spans="5:45" ht="15.75" customHeight="1">
      <c r="E888" s="2"/>
      <c r="F888" s="2"/>
      <c r="G888" s="2"/>
      <c r="M888" s="2"/>
      <c r="N888" s="2"/>
      <c r="O888" s="2"/>
      <c r="P888" s="2"/>
      <c r="U888" s="2"/>
      <c r="V888" s="2"/>
      <c r="W888" s="2"/>
      <c r="X888" s="2"/>
      <c r="AC888" s="2"/>
      <c r="AI888" s="2"/>
      <c r="AN888" s="2"/>
      <c r="AO888" s="2"/>
      <c r="AP888" s="2"/>
      <c r="AQ888" s="2"/>
      <c r="AR888" s="2"/>
      <c r="AS888" s="2"/>
    </row>
    <row r="889" spans="5:45" ht="15.75" customHeight="1">
      <c r="E889" s="2"/>
      <c r="F889" s="2"/>
      <c r="G889" s="2"/>
      <c r="M889" s="2"/>
      <c r="N889" s="2"/>
      <c r="O889" s="2"/>
      <c r="P889" s="2"/>
      <c r="U889" s="2"/>
      <c r="V889" s="2"/>
      <c r="W889" s="2"/>
      <c r="X889" s="2"/>
      <c r="AC889" s="2"/>
      <c r="AI889" s="2"/>
      <c r="AN889" s="2"/>
      <c r="AO889" s="2"/>
      <c r="AP889" s="2"/>
      <c r="AQ889" s="2"/>
      <c r="AR889" s="2"/>
      <c r="AS889" s="2"/>
    </row>
    <row r="890" spans="5:45" ht="15.75" customHeight="1">
      <c r="E890" s="2"/>
      <c r="F890" s="2"/>
      <c r="G890" s="2"/>
      <c r="M890" s="2"/>
      <c r="N890" s="2"/>
      <c r="O890" s="2"/>
      <c r="P890" s="2"/>
      <c r="U890" s="2"/>
      <c r="V890" s="2"/>
      <c r="W890" s="2"/>
      <c r="X890" s="2"/>
      <c r="AC890" s="2"/>
      <c r="AI890" s="2"/>
      <c r="AN890" s="2"/>
      <c r="AO890" s="2"/>
      <c r="AP890" s="2"/>
      <c r="AQ890" s="2"/>
      <c r="AR890" s="2"/>
      <c r="AS890" s="2"/>
    </row>
    <row r="891" spans="5:45" ht="15.75" customHeight="1">
      <c r="E891" s="2"/>
      <c r="F891" s="2"/>
      <c r="G891" s="2"/>
      <c r="M891" s="2"/>
      <c r="N891" s="2"/>
      <c r="O891" s="2"/>
      <c r="P891" s="2"/>
      <c r="U891" s="2"/>
      <c r="V891" s="2"/>
      <c r="W891" s="2"/>
      <c r="X891" s="2"/>
      <c r="AC891" s="2"/>
      <c r="AI891" s="2"/>
      <c r="AN891" s="2"/>
      <c r="AO891" s="2"/>
      <c r="AP891" s="2"/>
      <c r="AQ891" s="2"/>
      <c r="AR891" s="2"/>
      <c r="AS891" s="2"/>
    </row>
    <row r="892" spans="5:45" ht="15.75" customHeight="1">
      <c r="E892" s="2"/>
      <c r="F892" s="2"/>
      <c r="G892" s="2"/>
      <c r="M892" s="2"/>
      <c r="N892" s="2"/>
      <c r="O892" s="2"/>
      <c r="P892" s="2"/>
      <c r="U892" s="2"/>
      <c r="V892" s="2"/>
      <c r="W892" s="2"/>
      <c r="X892" s="2"/>
      <c r="AC892" s="2"/>
      <c r="AI892" s="2"/>
      <c r="AN892" s="2"/>
      <c r="AO892" s="2"/>
      <c r="AP892" s="2"/>
      <c r="AQ892" s="2"/>
      <c r="AR892" s="2"/>
      <c r="AS892" s="2"/>
    </row>
    <row r="893" spans="5:45" ht="15.75" customHeight="1">
      <c r="E893" s="2"/>
      <c r="F893" s="2"/>
      <c r="G893" s="2"/>
      <c r="M893" s="2"/>
      <c r="N893" s="2"/>
      <c r="O893" s="2"/>
      <c r="P893" s="2"/>
      <c r="U893" s="2"/>
      <c r="V893" s="2"/>
      <c r="W893" s="2"/>
      <c r="X893" s="2"/>
      <c r="AC893" s="2"/>
      <c r="AI893" s="2"/>
      <c r="AN893" s="2"/>
      <c r="AO893" s="2"/>
      <c r="AP893" s="2"/>
      <c r="AQ893" s="2"/>
      <c r="AR893" s="2"/>
      <c r="AS893" s="2"/>
    </row>
    <row r="894" spans="5:45" ht="15.75" customHeight="1">
      <c r="E894" s="2"/>
      <c r="F894" s="2"/>
      <c r="G894" s="2"/>
      <c r="M894" s="2"/>
      <c r="N894" s="2"/>
      <c r="O894" s="2"/>
      <c r="P894" s="2"/>
      <c r="U894" s="2"/>
      <c r="V894" s="2"/>
      <c r="W894" s="2"/>
      <c r="X894" s="2"/>
      <c r="AC894" s="2"/>
      <c r="AI894" s="2"/>
      <c r="AN894" s="2"/>
      <c r="AO894" s="2"/>
      <c r="AP894" s="2"/>
      <c r="AQ894" s="2"/>
      <c r="AR894" s="2"/>
      <c r="AS894" s="2"/>
    </row>
    <row r="895" spans="5:45" ht="15.75" customHeight="1">
      <c r="E895" s="2"/>
      <c r="F895" s="2"/>
      <c r="G895" s="2"/>
      <c r="M895" s="2"/>
      <c r="N895" s="2"/>
      <c r="O895" s="2"/>
      <c r="P895" s="2"/>
      <c r="U895" s="2"/>
      <c r="V895" s="2"/>
      <c r="W895" s="2"/>
      <c r="X895" s="2"/>
      <c r="AC895" s="2"/>
      <c r="AI895" s="2"/>
      <c r="AN895" s="2"/>
      <c r="AO895" s="2"/>
      <c r="AP895" s="2"/>
      <c r="AQ895" s="2"/>
      <c r="AR895" s="2"/>
      <c r="AS895" s="2"/>
    </row>
    <row r="896" spans="5:45" ht="15.75" customHeight="1">
      <c r="E896" s="2"/>
      <c r="F896" s="2"/>
      <c r="G896" s="2"/>
      <c r="M896" s="2"/>
      <c r="N896" s="2"/>
      <c r="O896" s="2"/>
      <c r="P896" s="2"/>
      <c r="U896" s="2"/>
      <c r="V896" s="2"/>
      <c r="W896" s="2"/>
      <c r="X896" s="2"/>
      <c r="AC896" s="2"/>
      <c r="AI896" s="2"/>
      <c r="AN896" s="2"/>
      <c r="AO896" s="2"/>
      <c r="AP896" s="2"/>
      <c r="AQ896" s="2"/>
      <c r="AR896" s="2"/>
      <c r="AS896" s="2"/>
    </row>
    <row r="897" spans="5:45" ht="15.75" customHeight="1">
      <c r="E897" s="2"/>
      <c r="F897" s="2"/>
      <c r="G897" s="2"/>
      <c r="M897" s="2"/>
      <c r="N897" s="2"/>
      <c r="O897" s="2"/>
      <c r="P897" s="2"/>
      <c r="U897" s="2"/>
      <c r="V897" s="2"/>
      <c r="W897" s="2"/>
      <c r="X897" s="2"/>
      <c r="AC897" s="2"/>
      <c r="AI897" s="2"/>
      <c r="AN897" s="2"/>
      <c r="AO897" s="2"/>
      <c r="AP897" s="2"/>
      <c r="AQ897" s="2"/>
      <c r="AR897" s="2"/>
      <c r="AS897" s="2"/>
    </row>
    <row r="898" spans="5:45" ht="15.75" customHeight="1">
      <c r="E898" s="2"/>
      <c r="F898" s="2"/>
      <c r="G898" s="2"/>
      <c r="M898" s="2"/>
      <c r="N898" s="2"/>
      <c r="O898" s="2"/>
      <c r="P898" s="2"/>
      <c r="U898" s="2"/>
      <c r="V898" s="2"/>
      <c r="W898" s="2"/>
      <c r="X898" s="2"/>
      <c r="AC898" s="2"/>
      <c r="AI898" s="2"/>
      <c r="AN898" s="2"/>
      <c r="AO898" s="2"/>
      <c r="AP898" s="2"/>
      <c r="AQ898" s="2"/>
      <c r="AR898" s="2"/>
      <c r="AS898" s="2"/>
    </row>
    <row r="899" spans="5:45" ht="15.75" customHeight="1">
      <c r="E899" s="2"/>
      <c r="F899" s="2"/>
      <c r="G899" s="2"/>
      <c r="M899" s="2"/>
      <c r="N899" s="2"/>
      <c r="O899" s="2"/>
      <c r="P899" s="2"/>
      <c r="U899" s="2"/>
      <c r="V899" s="2"/>
      <c r="W899" s="2"/>
      <c r="X899" s="2"/>
      <c r="AC899" s="2"/>
      <c r="AI899" s="2"/>
      <c r="AN899" s="2"/>
      <c r="AO899" s="2"/>
      <c r="AP899" s="2"/>
      <c r="AQ899" s="2"/>
      <c r="AR899" s="2"/>
      <c r="AS899" s="2"/>
    </row>
    <row r="900" spans="5:45" ht="15.75" customHeight="1">
      <c r="E900" s="2"/>
      <c r="F900" s="2"/>
      <c r="G900" s="2"/>
      <c r="M900" s="2"/>
      <c r="N900" s="2"/>
      <c r="O900" s="2"/>
      <c r="P900" s="2"/>
      <c r="U900" s="2"/>
      <c r="V900" s="2"/>
      <c r="W900" s="2"/>
      <c r="X900" s="2"/>
      <c r="AC900" s="2"/>
      <c r="AI900" s="2"/>
      <c r="AN900" s="2"/>
      <c r="AO900" s="2"/>
      <c r="AP900" s="2"/>
      <c r="AQ900" s="2"/>
      <c r="AR900" s="2"/>
      <c r="AS900" s="2"/>
    </row>
    <row r="901" spans="5:45" ht="15.75" customHeight="1">
      <c r="E901" s="2"/>
      <c r="F901" s="2"/>
      <c r="G901" s="2"/>
      <c r="M901" s="2"/>
      <c r="N901" s="2"/>
      <c r="O901" s="2"/>
      <c r="P901" s="2"/>
      <c r="U901" s="2"/>
      <c r="V901" s="2"/>
      <c r="W901" s="2"/>
      <c r="X901" s="2"/>
      <c r="AC901" s="2"/>
      <c r="AI901" s="2"/>
      <c r="AN901" s="2"/>
      <c r="AO901" s="2"/>
      <c r="AP901" s="2"/>
      <c r="AQ901" s="2"/>
      <c r="AR901" s="2"/>
      <c r="AS901" s="2"/>
    </row>
    <row r="902" spans="5:45" ht="15.75" customHeight="1">
      <c r="E902" s="2"/>
      <c r="F902" s="2"/>
      <c r="G902" s="2"/>
      <c r="M902" s="2"/>
      <c r="N902" s="2"/>
      <c r="O902" s="2"/>
      <c r="P902" s="2"/>
      <c r="U902" s="2"/>
      <c r="V902" s="2"/>
      <c r="W902" s="2"/>
      <c r="X902" s="2"/>
      <c r="AC902" s="2"/>
      <c r="AI902" s="2"/>
      <c r="AN902" s="2"/>
      <c r="AO902" s="2"/>
      <c r="AP902" s="2"/>
      <c r="AQ902" s="2"/>
      <c r="AR902" s="2"/>
      <c r="AS902" s="2"/>
    </row>
    <row r="903" spans="5:45" ht="15.75" customHeight="1">
      <c r="E903" s="2"/>
      <c r="F903" s="2"/>
      <c r="G903" s="2"/>
      <c r="M903" s="2"/>
      <c r="N903" s="2"/>
      <c r="O903" s="2"/>
      <c r="P903" s="2"/>
      <c r="U903" s="2"/>
      <c r="V903" s="2"/>
      <c r="W903" s="2"/>
      <c r="X903" s="2"/>
      <c r="AC903" s="2"/>
      <c r="AI903" s="2"/>
      <c r="AN903" s="2"/>
      <c r="AO903" s="2"/>
      <c r="AP903" s="2"/>
      <c r="AQ903" s="2"/>
      <c r="AR903" s="2"/>
      <c r="AS903" s="2"/>
    </row>
    <row r="904" spans="5:45" ht="15.75" customHeight="1">
      <c r="E904" s="2"/>
      <c r="F904" s="2"/>
      <c r="G904" s="2"/>
      <c r="M904" s="2"/>
      <c r="N904" s="2"/>
      <c r="O904" s="2"/>
      <c r="P904" s="2"/>
      <c r="U904" s="2"/>
      <c r="V904" s="2"/>
      <c r="W904" s="2"/>
      <c r="X904" s="2"/>
      <c r="AC904" s="2"/>
      <c r="AI904" s="2"/>
      <c r="AN904" s="2"/>
      <c r="AO904" s="2"/>
      <c r="AP904" s="2"/>
      <c r="AQ904" s="2"/>
      <c r="AR904" s="2"/>
      <c r="AS904" s="2"/>
    </row>
    <row r="905" spans="5:45" ht="15.75" customHeight="1">
      <c r="E905" s="2"/>
      <c r="F905" s="2"/>
      <c r="G905" s="2"/>
      <c r="M905" s="2"/>
      <c r="N905" s="2"/>
      <c r="O905" s="2"/>
      <c r="P905" s="2"/>
      <c r="U905" s="2"/>
      <c r="V905" s="2"/>
      <c r="W905" s="2"/>
      <c r="X905" s="2"/>
      <c r="AC905" s="2"/>
      <c r="AI905" s="2"/>
      <c r="AN905" s="2"/>
      <c r="AO905" s="2"/>
      <c r="AP905" s="2"/>
      <c r="AQ905" s="2"/>
      <c r="AR905" s="2"/>
      <c r="AS905" s="2"/>
    </row>
    <row r="906" spans="5:45" ht="15.75" customHeight="1">
      <c r="E906" s="2"/>
      <c r="F906" s="2"/>
      <c r="G906" s="2"/>
      <c r="M906" s="2"/>
      <c r="N906" s="2"/>
      <c r="O906" s="2"/>
      <c r="P906" s="2"/>
      <c r="U906" s="2"/>
      <c r="V906" s="2"/>
      <c r="W906" s="2"/>
      <c r="X906" s="2"/>
      <c r="AC906" s="2"/>
      <c r="AI906" s="2"/>
      <c r="AN906" s="2"/>
      <c r="AO906" s="2"/>
      <c r="AP906" s="2"/>
      <c r="AQ906" s="2"/>
      <c r="AR906" s="2"/>
      <c r="AS906" s="2"/>
    </row>
    <row r="907" spans="5:45" ht="15.75" customHeight="1">
      <c r="E907" s="2"/>
      <c r="F907" s="2"/>
      <c r="G907" s="2"/>
      <c r="M907" s="2"/>
      <c r="N907" s="2"/>
      <c r="O907" s="2"/>
      <c r="P907" s="2"/>
      <c r="U907" s="2"/>
      <c r="V907" s="2"/>
      <c r="W907" s="2"/>
      <c r="X907" s="2"/>
      <c r="AC907" s="2"/>
      <c r="AI907" s="2"/>
      <c r="AN907" s="2"/>
      <c r="AO907" s="2"/>
      <c r="AP907" s="2"/>
      <c r="AQ907" s="2"/>
      <c r="AR907" s="2"/>
      <c r="AS907" s="2"/>
    </row>
    <row r="908" spans="5:45" ht="15.75" customHeight="1">
      <c r="E908" s="2"/>
      <c r="F908" s="2"/>
      <c r="G908" s="2"/>
      <c r="M908" s="2"/>
      <c r="N908" s="2"/>
      <c r="O908" s="2"/>
      <c r="P908" s="2"/>
      <c r="U908" s="2"/>
      <c r="V908" s="2"/>
      <c r="W908" s="2"/>
      <c r="X908" s="2"/>
      <c r="AC908" s="2"/>
      <c r="AI908" s="2"/>
      <c r="AN908" s="2"/>
      <c r="AO908" s="2"/>
      <c r="AP908" s="2"/>
      <c r="AQ908" s="2"/>
      <c r="AR908" s="2"/>
      <c r="AS908" s="2"/>
    </row>
    <row r="909" spans="5:45" ht="15.75" customHeight="1">
      <c r="E909" s="2"/>
      <c r="F909" s="2"/>
      <c r="G909" s="2"/>
      <c r="M909" s="2"/>
      <c r="N909" s="2"/>
      <c r="O909" s="2"/>
      <c r="P909" s="2"/>
      <c r="U909" s="2"/>
      <c r="V909" s="2"/>
      <c r="W909" s="2"/>
      <c r="X909" s="2"/>
      <c r="AC909" s="2"/>
      <c r="AI909" s="2"/>
      <c r="AN909" s="2"/>
      <c r="AO909" s="2"/>
      <c r="AP909" s="2"/>
      <c r="AQ909" s="2"/>
      <c r="AR909" s="2"/>
      <c r="AS909" s="2"/>
    </row>
    <row r="910" spans="5:45" ht="15.75" customHeight="1">
      <c r="E910" s="2"/>
      <c r="F910" s="2"/>
      <c r="G910" s="2"/>
      <c r="M910" s="2"/>
      <c r="N910" s="2"/>
      <c r="O910" s="2"/>
      <c r="P910" s="2"/>
      <c r="U910" s="2"/>
      <c r="V910" s="2"/>
      <c r="W910" s="2"/>
      <c r="X910" s="2"/>
      <c r="AC910" s="2"/>
      <c r="AI910" s="2"/>
      <c r="AN910" s="2"/>
      <c r="AO910" s="2"/>
      <c r="AP910" s="2"/>
      <c r="AQ910" s="2"/>
      <c r="AR910" s="2"/>
      <c r="AS910" s="2"/>
    </row>
    <row r="911" spans="5:45" ht="15.75" customHeight="1">
      <c r="E911" s="2"/>
      <c r="F911" s="2"/>
      <c r="G911" s="2"/>
      <c r="M911" s="2"/>
      <c r="N911" s="2"/>
      <c r="O911" s="2"/>
      <c r="P911" s="2"/>
      <c r="U911" s="2"/>
      <c r="V911" s="2"/>
      <c r="W911" s="2"/>
      <c r="X911" s="2"/>
      <c r="AC911" s="2"/>
      <c r="AI911" s="2"/>
      <c r="AN911" s="2"/>
      <c r="AO911" s="2"/>
      <c r="AP911" s="2"/>
      <c r="AQ911" s="2"/>
      <c r="AR911" s="2"/>
      <c r="AS911" s="2"/>
    </row>
    <row r="912" spans="5:45" ht="15.75" customHeight="1">
      <c r="E912" s="2"/>
      <c r="F912" s="2"/>
      <c r="G912" s="2"/>
      <c r="M912" s="2"/>
      <c r="N912" s="2"/>
      <c r="O912" s="2"/>
      <c r="P912" s="2"/>
      <c r="U912" s="2"/>
      <c r="V912" s="2"/>
      <c r="W912" s="2"/>
      <c r="X912" s="2"/>
      <c r="AC912" s="2"/>
      <c r="AI912" s="2"/>
      <c r="AN912" s="2"/>
      <c r="AO912" s="2"/>
      <c r="AP912" s="2"/>
      <c r="AQ912" s="2"/>
      <c r="AR912" s="2"/>
      <c r="AS912" s="2"/>
    </row>
    <row r="913" spans="5:45" ht="15.75" customHeight="1">
      <c r="E913" s="2"/>
      <c r="F913" s="2"/>
      <c r="G913" s="2"/>
      <c r="M913" s="2"/>
      <c r="N913" s="2"/>
      <c r="O913" s="2"/>
      <c r="P913" s="2"/>
      <c r="U913" s="2"/>
      <c r="V913" s="2"/>
      <c r="W913" s="2"/>
      <c r="X913" s="2"/>
      <c r="AC913" s="2"/>
      <c r="AI913" s="2"/>
      <c r="AN913" s="2"/>
      <c r="AO913" s="2"/>
      <c r="AP913" s="2"/>
      <c r="AQ913" s="2"/>
      <c r="AR913" s="2"/>
      <c r="AS913" s="2"/>
    </row>
    <row r="914" spans="5:45" ht="15.75" customHeight="1">
      <c r="E914" s="2"/>
      <c r="F914" s="2"/>
      <c r="G914" s="2"/>
      <c r="M914" s="2"/>
      <c r="N914" s="2"/>
      <c r="O914" s="2"/>
      <c r="P914" s="2"/>
      <c r="U914" s="2"/>
      <c r="V914" s="2"/>
      <c r="W914" s="2"/>
      <c r="X914" s="2"/>
      <c r="AC914" s="2"/>
      <c r="AI914" s="2"/>
      <c r="AN914" s="2"/>
      <c r="AO914" s="2"/>
      <c r="AP914" s="2"/>
      <c r="AQ914" s="2"/>
      <c r="AR914" s="2"/>
      <c r="AS914" s="2"/>
    </row>
    <row r="915" spans="5:45" ht="15.75" customHeight="1">
      <c r="E915" s="2"/>
      <c r="F915" s="2"/>
      <c r="G915" s="2"/>
      <c r="M915" s="2"/>
      <c r="N915" s="2"/>
      <c r="O915" s="2"/>
      <c r="P915" s="2"/>
      <c r="U915" s="2"/>
      <c r="V915" s="2"/>
      <c r="W915" s="2"/>
      <c r="X915" s="2"/>
      <c r="AC915" s="2"/>
      <c r="AI915" s="2"/>
      <c r="AN915" s="2"/>
      <c r="AO915" s="2"/>
      <c r="AP915" s="2"/>
      <c r="AQ915" s="2"/>
      <c r="AR915" s="2"/>
      <c r="AS915" s="2"/>
    </row>
    <row r="916" spans="5:45" ht="15.75" customHeight="1">
      <c r="E916" s="2"/>
      <c r="F916" s="2"/>
      <c r="G916" s="2"/>
      <c r="M916" s="2"/>
      <c r="N916" s="2"/>
      <c r="O916" s="2"/>
      <c r="P916" s="2"/>
      <c r="U916" s="2"/>
      <c r="V916" s="2"/>
      <c r="W916" s="2"/>
      <c r="X916" s="2"/>
      <c r="AC916" s="2"/>
      <c r="AI916" s="2"/>
      <c r="AN916" s="2"/>
      <c r="AO916" s="2"/>
      <c r="AP916" s="2"/>
      <c r="AQ916" s="2"/>
      <c r="AR916" s="2"/>
      <c r="AS916" s="2"/>
    </row>
    <row r="917" spans="5:45" ht="15.75" customHeight="1">
      <c r="E917" s="2"/>
      <c r="F917" s="2"/>
      <c r="G917" s="2"/>
      <c r="M917" s="2"/>
      <c r="N917" s="2"/>
      <c r="O917" s="2"/>
      <c r="P917" s="2"/>
      <c r="U917" s="2"/>
      <c r="V917" s="2"/>
      <c r="W917" s="2"/>
      <c r="X917" s="2"/>
      <c r="AC917" s="2"/>
      <c r="AI917" s="2"/>
      <c r="AN917" s="2"/>
      <c r="AO917" s="2"/>
      <c r="AP917" s="2"/>
      <c r="AQ917" s="2"/>
      <c r="AR917" s="2"/>
      <c r="AS917" s="2"/>
    </row>
    <row r="918" spans="5:45" ht="15.75" customHeight="1">
      <c r="E918" s="2"/>
      <c r="F918" s="2"/>
      <c r="G918" s="2"/>
      <c r="M918" s="2"/>
      <c r="N918" s="2"/>
      <c r="O918" s="2"/>
      <c r="P918" s="2"/>
      <c r="U918" s="2"/>
      <c r="V918" s="2"/>
      <c r="W918" s="2"/>
      <c r="X918" s="2"/>
      <c r="AC918" s="2"/>
      <c r="AI918" s="2"/>
      <c r="AN918" s="2"/>
      <c r="AO918" s="2"/>
      <c r="AP918" s="2"/>
      <c r="AQ918" s="2"/>
      <c r="AR918" s="2"/>
      <c r="AS918" s="2"/>
    </row>
    <row r="919" spans="5:45" ht="15.75" customHeight="1">
      <c r="E919" s="2"/>
      <c r="F919" s="2"/>
      <c r="G919" s="2"/>
      <c r="M919" s="2"/>
      <c r="N919" s="2"/>
      <c r="O919" s="2"/>
      <c r="P919" s="2"/>
      <c r="U919" s="2"/>
      <c r="V919" s="2"/>
      <c r="W919" s="2"/>
      <c r="X919" s="2"/>
      <c r="AC919" s="2"/>
      <c r="AI919" s="2"/>
      <c r="AN919" s="2"/>
      <c r="AO919" s="2"/>
      <c r="AP919" s="2"/>
      <c r="AQ919" s="2"/>
      <c r="AR919" s="2"/>
      <c r="AS919" s="2"/>
    </row>
    <row r="920" spans="5:45" ht="15.75" customHeight="1">
      <c r="E920" s="2"/>
      <c r="F920" s="2"/>
      <c r="G920" s="2"/>
      <c r="M920" s="2"/>
      <c r="N920" s="2"/>
      <c r="O920" s="2"/>
      <c r="P920" s="2"/>
      <c r="U920" s="2"/>
      <c r="V920" s="2"/>
      <c r="W920" s="2"/>
      <c r="X920" s="2"/>
      <c r="AC920" s="2"/>
      <c r="AI920" s="2"/>
      <c r="AN920" s="2"/>
      <c r="AO920" s="2"/>
      <c r="AP920" s="2"/>
      <c r="AQ920" s="2"/>
      <c r="AR920" s="2"/>
      <c r="AS920" s="2"/>
    </row>
    <row r="921" spans="5:45" ht="15.75" customHeight="1">
      <c r="E921" s="2"/>
      <c r="F921" s="2"/>
      <c r="G921" s="2"/>
      <c r="M921" s="2"/>
      <c r="N921" s="2"/>
      <c r="O921" s="2"/>
      <c r="P921" s="2"/>
      <c r="U921" s="2"/>
      <c r="V921" s="2"/>
      <c r="W921" s="2"/>
      <c r="X921" s="2"/>
      <c r="AC921" s="2"/>
      <c r="AI921" s="2"/>
      <c r="AN921" s="2"/>
      <c r="AO921" s="2"/>
      <c r="AP921" s="2"/>
      <c r="AQ921" s="2"/>
      <c r="AR921" s="2"/>
      <c r="AS921" s="2"/>
    </row>
    <row r="922" spans="5:45" ht="15.75" customHeight="1">
      <c r="E922" s="2"/>
      <c r="F922" s="2"/>
      <c r="G922" s="2"/>
      <c r="M922" s="2"/>
      <c r="N922" s="2"/>
      <c r="O922" s="2"/>
      <c r="P922" s="2"/>
      <c r="U922" s="2"/>
      <c r="V922" s="2"/>
      <c r="W922" s="2"/>
      <c r="X922" s="2"/>
      <c r="AC922" s="2"/>
      <c r="AI922" s="2"/>
      <c r="AN922" s="2"/>
      <c r="AO922" s="2"/>
      <c r="AP922" s="2"/>
      <c r="AQ922" s="2"/>
      <c r="AR922" s="2"/>
      <c r="AS922" s="2"/>
    </row>
    <row r="923" spans="5:45" ht="15.75" customHeight="1">
      <c r="E923" s="2"/>
      <c r="F923" s="2"/>
      <c r="G923" s="2"/>
      <c r="M923" s="2"/>
      <c r="N923" s="2"/>
      <c r="O923" s="2"/>
      <c r="P923" s="2"/>
      <c r="U923" s="2"/>
      <c r="V923" s="2"/>
      <c r="W923" s="2"/>
      <c r="X923" s="2"/>
      <c r="AC923" s="2"/>
      <c r="AI923" s="2"/>
      <c r="AN923" s="2"/>
      <c r="AO923" s="2"/>
      <c r="AP923" s="2"/>
      <c r="AQ923" s="2"/>
      <c r="AR923" s="2"/>
      <c r="AS923" s="2"/>
    </row>
    <row r="924" spans="5:45" ht="15.75" customHeight="1">
      <c r="E924" s="2"/>
      <c r="F924" s="2"/>
      <c r="G924" s="2"/>
      <c r="M924" s="2"/>
      <c r="N924" s="2"/>
      <c r="O924" s="2"/>
      <c r="P924" s="2"/>
      <c r="U924" s="2"/>
      <c r="V924" s="2"/>
      <c r="W924" s="2"/>
      <c r="X924" s="2"/>
      <c r="AC924" s="2"/>
      <c r="AI924" s="2"/>
      <c r="AN924" s="2"/>
      <c r="AO924" s="2"/>
      <c r="AP924" s="2"/>
      <c r="AQ924" s="2"/>
      <c r="AR924" s="2"/>
      <c r="AS924" s="2"/>
    </row>
    <row r="925" spans="5:45" ht="15.75" customHeight="1">
      <c r="E925" s="2"/>
      <c r="F925" s="2"/>
      <c r="G925" s="2"/>
      <c r="M925" s="2"/>
      <c r="N925" s="2"/>
      <c r="O925" s="2"/>
      <c r="P925" s="2"/>
      <c r="U925" s="2"/>
      <c r="V925" s="2"/>
      <c r="W925" s="2"/>
      <c r="X925" s="2"/>
      <c r="AC925" s="2"/>
      <c r="AI925" s="2"/>
      <c r="AN925" s="2"/>
      <c r="AO925" s="2"/>
      <c r="AP925" s="2"/>
      <c r="AQ925" s="2"/>
      <c r="AR925" s="2"/>
      <c r="AS925" s="2"/>
    </row>
    <row r="926" spans="5:45" ht="15.75" customHeight="1">
      <c r="E926" s="2"/>
      <c r="F926" s="2"/>
      <c r="G926" s="2"/>
      <c r="M926" s="2"/>
      <c r="N926" s="2"/>
      <c r="O926" s="2"/>
      <c r="P926" s="2"/>
      <c r="U926" s="2"/>
      <c r="V926" s="2"/>
      <c r="W926" s="2"/>
      <c r="X926" s="2"/>
      <c r="AC926" s="2"/>
      <c r="AI926" s="2"/>
      <c r="AN926" s="2"/>
      <c r="AO926" s="2"/>
      <c r="AP926" s="2"/>
      <c r="AQ926" s="2"/>
      <c r="AR926" s="2"/>
      <c r="AS926" s="2"/>
    </row>
    <row r="927" spans="5:45" ht="15.75" customHeight="1">
      <c r="E927" s="2"/>
      <c r="F927" s="2"/>
      <c r="G927" s="2"/>
      <c r="M927" s="2"/>
      <c r="N927" s="2"/>
      <c r="O927" s="2"/>
      <c r="P927" s="2"/>
      <c r="U927" s="2"/>
      <c r="V927" s="2"/>
      <c r="W927" s="2"/>
      <c r="X927" s="2"/>
      <c r="AC927" s="2"/>
      <c r="AI927" s="2"/>
      <c r="AN927" s="2"/>
      <c r="AO927" s="2"/>
      <c r="AP927" s="2"/>
      <c r="AQ927" s="2"/>
      <c r="AR927" s="2"/>
      <c r="AS927" s="2"/>
    </row>
    <row r="928" spans="5:45" ht="15.75" customHeight="1">
      <c r="E928" s="2"/>
      <c r="F928" s="2"/>
      <c r="G928" s="2"/>
      <c r="M928" s="2"/>
      <c r="N928" s="2"/>
      <c r="O928" s="2"/>
      <c r="P928" s="2"/>
      <c r="U928" s="2"/>
      <c r="V928" s="2"/>
      <c r="W928" s="2"/>
      <c r="X928" s="2"/>
      <c r="AC928" s="2"/>
      <c r="AI928" s="2"/>
      <c r="AN928" s="2"/>
      <c r="AO928" s="2"/>
      <c r="AP928" s="2"/>
      <c r="AQ928" s="2"/>
      <c r="AR928" s="2"/>
      <c r="AS928" s="2"/>
    </row>
    <row r="929" spans="5:45" ht="15.75" customHeight="1">
      <c r="E929" s="2"/>
      <c r="F929" s="2"/>
      <c r="G929" s="2"/>
      <c r="M929" s="2"/>
      <c r="N929" s="2"/>
      <c r="O929" s="2"/>
      <c r="P929" s="2"/>
      <c r="U929" s="2"/>
      <c r="V929" s="2"/>
      <c r="W929" s="2"/>
      <c r="X929" s="2"/>
      <c r="AC929" s="2"/>
      <c r="AI929" s="2"/>
      <c r="AN929" s="2"/>
      <c r="AO929" s="2"/>
      <c r="AP929" s="2"/>
      <c r="AQ929" s="2"/>
      <c r="AR929" s="2"/>
      <c r="AS929" s="2"/>
    </row>
    <row r="930" spans="5:45" ht="15.75" customHeight="1">
      <c r="E930" s="2"/>
      <c r="F930" s="2"/>
      <c r="G930" s="2"/>
      <c r="M930" s="2"/>
      <c r="N930" s="2"/>
      <c r="O930" s="2"/>
      <c r="P930" s="2"/>
      <c r="U930" s="2"/>
      <c r="V930" s="2"/>
      <c r="W930" s="2"/>
      <c r="X930" s="2"/>
      <c r="AC930" s="2"/>
      <c r="AI930" s="2"/>
      <c r="AN930" s="2"/>
      <c r="AO930" s="2"/>
      <c r="AP930" s="2"/>
      <c r="AQ930" s="2"/>
      <c r="AR930" s="2"/>
      <c r="AS930" s="2"/>
    </row>
    <row r="931" spans="5:45" ht="15.75" customHeight="1">
      <c r="E931" s="2"/>
      <c r="F931" s="2"/>
      <c r="G931" s="2"/>
      <c r="M931" s="2"/>
      <c r="N931" s="2"/>
      <c r="O931" s="2"/>
      <c r="P931" s="2"/>
      <c r="U931" s="2"/>
      <c r="V931" s="2"/>
      <c r="W931" s="2"/>
      <c r="X931" s="2"/>
      <c r="AC931" s="2"/>
      <c r="AI931" s="2"/>
      <c r="AN931" s="2"/>
      <c r="AO931" s="2"/>
      <c r="AP931" s="2"/>
      <c r="AQ931" s="2"/>
      <c r="AR931" s="2"/>
      <c r="AS931" s="2"/>
    </row>
    <row r="932" spans="5:45" ht="15.75" customHeight="1">
      <c r="E932" s="2"/>
      <c r="F932" s="2"/>
      <c r="G932" s="2"/>
      <c r="M932" s="2"/>
      <c r="N932" s="2"/>
      <c r="O932" s="2"/>
      <c r="P932" s="2"/>
      <c r="U932" s="2"/>
      <c r="V932" s="2"/>
      <c r="W932" s="2"/>
      <c r="X932" s="2"/>
      <c r="AC932" s="2"/>
      <c r="AI932" s="2"/>
      <c r="AN932" s="2"/>
      <c r="AO932" s="2"/>
      <c r="AP932" s="2"/>
      <c r="AQ932" s="2"/>
      <c r="AR932" s="2"/>
      <c r="AS932" s="2"/>
    </row>
    <row r="933" spans="5:45" ht="15.75" customHeight="1">
      <c r="E933" s="2"/>
      <c r="F933" s="2"/>
      <c r="G933" s="2"/>
      <c r="M933" s="2"/>
      <c r="N933" s="2"/>
      <c r="O933" s="2"/>
      <c r="P933" s="2"/>
      <c r="U933" s="2"/>
      <c r="V933" s="2"/>
      <c r="W933" s="2"/>
      <c r="X933" s="2"/>
      <c r="AC933" s="2"/>
      <c r="AI933" s="2"/>
      <c r="AN933" s="2"/>
      <c r="AO933" s="2"/>
      <c r="AP933" s="2"/>
      <c r="AQ933" s="2"/>
      <c r="AR933" s="2"/>
      <c r="AS933" s="2"/>
    </row>
    <row r="934" spans="5:45" ht="15.75" customHeight="1">
      <c r="E934" s="2"/>
      <c r="F934" s="2"/>
      <c r="G934" s="2"/>
      <c r="M934" s="2"/>
      <c r="N934" s="2"/>
      <c r="O934" s="2"/>
      <c r="P934" s="2"/>
      <c r="U934" s="2"/>
      <c r="V934" s="2"/>
      <c r="W934" s="2"/>
      <c r="X934" s="2"/>
      <c r="AC934" s="2"/>
      <c r="AI934" s="2"/>
      <c r="AN934" s="2"/>
      <c r="AO934" s="2"/>
      <c r="AP934" s="2"/>
      <c r="AQ934" s="2"/>
      <c r="AR934" s="2"/>
      <c r="AS934" s="2"/>
    </row>
    <row r="935" spans="5:45" ht="15.75" customHeight="1">
      <c r="E935" s="2"/>
      <c r="F935" s="2"/>
      <c r="G935" s="2"/>
      <c r="M935" s="2"/>
      <c r="N935" s="2"/>
      <c r="O935" s="2"/>
      <c r="P935" s="2"/>
      <c r="U935" s="2"/>
      <c r="V935" s="2"/>
      <c r="W935" s="2"/>
      <c r="X935" s="2"/>
      <c r="AC935" s="2"/>
      <c r="AI935" s="2"/>
      <c r="AN935" s="2"/>
      <c r="AO935" s="2"/>
      <c r="AP935" s="2"/>
      <c r="AQ935" s="2"/>
      <c r="AR935" s="2"/>
      <c r="AS935" s="2"/>
    </row>
    <row r="936" spans="5:45" ht="15.75" customHeight="1">
      <c r="E936" s="2"/>
      <c r="F936" s="2"/>
      <c r="G936" s="2"/>
      <c r="M936" s="2"/>
      <c r="N936" s="2"/>
      <c r="O936" s="2"/>
      <c r="P936" s="2"/>
      <c r="U936" s="2"/>
      <c r="V936" s="2"/>
      <c r="W936" s="2"/>
      <c r="X936" s="2"/>
      <c r="AC936" s="2"/>
      <c r="AI936" s="2"/>
      <c r="AN936" s="2"/>
      <c r="AO936" s="2"/>
      <c r="AP936" s="2"/>
      <c r="AQ936" s="2"/>
      <c r="AR936" s="2"/>
      <c r="AS936" s="2"/>
    </row>
    <row r="937" spans="5:45" ht="15.75" customHeight="1">
      <c r="E937" s="2"/>
      <c r="F937" s="2"/>
      <c r="G937" s="2"/>
      <c r="M937" s="2"/>
      <c r="N937" s="2"/>
      <c r="O937" s="2"/>
      <c r="P937" s="2"/>
      <c r="U937" s="2"/>
      <c r="V937" s="2"/>
      <c r="W937" s="2"/>
      <c r="X937" s="2"/>
      <c r="AC937" s="2"/>
      <c r="AI937" s="2"/>
      <c r="AN937" s="2"/>
      <c r="AO937" s="2"/>
      <c r="AP937" s="2"/>
      <c r="AQ937" s="2"/>
      <c r="AR937" s="2"/>
      <c r="AS937" s="2"/>
    </row>
    <row r="938" spans="5:45" ht="15.75" customHeight="1">
      <c r="E938" s="2"/>
      <c r="F938" s="2"/>
      <c r="G938" s="2"/>
      <c r="M938" s="2"/>
      <c r="N938" s="2"/>
      <c r="O938" s="2"/>
      <c r="P938" s="2"/>
      <c r="U938" s="2"/>
      <c r="V938" s="2"/>
      <c r="W938" s="2"/>
      <c r="X938" s="2"/>
      <c r="AC938" s="2"/>
      <c r="AI938" s="2"/>
      <c r="AN938" s="2"/>
      <c r="AO938" s="2"/>
      <c r="AP938" s="2"/>
      <c r="AQ938" s="2"/>
      <c r="AR938" s="2"/>
      <c r="AS938" s="2"/>
    </row>
    <row r="939" spans="5:45" ht="15.75" customHeight="1">
      <c r="E939" s="2"/>
      <c r="F939" s="2"/>
      <c r="G939" s="2"/>
      <c r="M939" s="2"/>
      <c r="N939" s="2"/>
      <c r="O939" s="2"/>
      <c r="P939" s="2"/>
      <c r="U939" s="2"/>
      <c r="V939" s="2"/>
      <c r="W939" s="2"/>
      <c r="X939" s="2"/>
      <c r="AC939" s="2"/>
      <c r="AI939" s="2"/>
      <c r="AN939" s="2"/>
      <c r="AO939" s="2"/>
      <c r="AP939" s="2"/>
      <c r="AQ939" s="2"/>
      <c r="AR939" s="2"/>
      <c r="AS939" s="2"/>
    </row>
    <row r="940" spans="5:45" ht="15.75" customHeight="1">
      <c r="E940" s="2"/>
      <c r="F940" s="2"/>
      <c r="G940" s="2"/>
      <c r="M940" s="2"/>
      <c r="N940" s="2"/>
      <c r="O940" s="2"/>
      <c r="P940" s="2"/>
      <c r="U940" s="2"/>
      <c r="V940" s="2"/>
      <c r="W940" s="2"/>
      <c r="X940" s="2"/>
      <c r="AC940" s="2"/>
      <c r="AI940" s="2"/>
      <c r="AN940" s="2"/>
      <c r="AO940" s="2"/>
      <c r="AP940" s="2"/>
      <c r="AQ940" s="2"/>
      <c r="AR940" s="2"/>
      <c r="AS940" s="2"/>
    </row>
    <row r="941" spans="5:45" ht="15.75" customHeight="1">
      <c r="E941" s="2"/>
      <c r="F941" s="2"/>
      <c r="G941" s="2"/>
      <c r="M941" s="2"/>
      <c r="N941" s="2"/>
      <c r="O941" s="2"/>
      <c r="P941" s="2"/>
      <c r="U941" s="2"/>
      <c r="V941" s="2"/>
      <c r="W941" s="2"/>
      <c r="X941" s="2"/>
      <c r="AC941" s="2"/>
      <c r="AI941" s="2"/>
      <c r="AN941" s="2"/>
      <c r="AO941" s="2"/>
      <c r="AP941" s="2"/>
      <c r="AQ941" s="2"/>
      <c r="AR941" s="2"/>
      <c r="AS941" s="2"/>
    </row>
    <row r="942" spans="5:45" ht="15.75" customHeight="1">
      <c r="E942" s="2"/>
      <c r="F942" s="2"/>
      <c r="G942" s="2"/>
      <c r="M942" s="2"/>
      <c r="N942" s="2"/>
      <c r="O942" s="2"/>
      <c r="P942" s="2"/>
      <c r="U942" s="2"/>
      <c r="V942" s="2"/>
      <c r="W942" s="2"/>
      <c r="X942" s="2"/>
      <c r="AC942" s="2"/>
      <c r="AI942" s="2"/>
      <c r="AN942" s="2"/>
      <c r="AO942" s="2"/>
      <c r="AP942" s="2"/>
      <c r="AQ942" s="2"/>
      <c r="AR942" s="2"/>
      <c r="AS942" s="2"/>
    </row>
    <row r="943" spans="5:45" ht="15.75" customHeight="1">
      <c r="E943" s="2"/>
      <c r="F943" s="2"/>
      <c r="G943" s="2"/>
      <c r="M943" s="2"/>
      <c r="N943" s="2"/>
      <c r="O943" s="2"/>
      <c r="P943" s="2"/>
      <c r="U943" s="2"/>
      <c r="V943" s="2"/>
      <c r="W943" s="2"/>
      <c r="X943" s="2"/>
      <c r="AC943" s="2"/>
      <c r="AI943" s="2"/>
      <c r="AN943" s="2"/>
      <c r="AO943" s="2"/>
      <c r="AP943" s="2"/>
      <c r="AQ943" s="2"/>
      <c r="AR943" s="2"/>
      <c r="AS943" s="2"/>
    </row>
    <row r="944" spans="5:45" ht="15.75" customHeight="1">
      <c r="E944" s="2"/>
      <c r="F944" s="2"/>
      <c r="G944" s="2"/>
      <c r="M944" s="2"/>
      <c r="N944" s="2"/>
      <c r="O944" s="2"/>
      <c r="P944" s="2"/>
      <c r="U944" s="2"/>
      <c r="V944" s="2"/>
      <c r="W944" s="2"/>
      <c r="X944" s="2"/>
      <c r="AC944" s="2"/>
      <c r="AI944" s="2"/>
      <c r="AN944" s="2"/>
      <c r="AO944" s="2"/>
      <c r="AP944" s="2"/>
      <c r="AQ944" s="2"/>
      <c r="AR944" s="2"/>
      <c r="AS944" s="2"/>
    </row>
    <row r="945" spans="5:45" ht="15.75" customHeight="1">
      <c r="E945" s="2"/>
      <c r="F945" s="2"/>
      <c r="G945" s="2"/>
      <c r="M945" s="2"/>
      <c r="N945" s="2"/>
      <c r="O945" s="2"/>
      <c r="P945" s="2"/>
      <c r="U945" s="2"/>
      <c r="V945" s="2"/>
      <c r="W945" s="2"/>
      <c r="X945" s="2"/>
      <c r="AC945" s="2"/>
      <c r="AI945" s="2"/>
      <c r="AN945" s="2"/>
      <c r="AO945" s="2"/>
      <c r="AP945" s="2"/>
      <c r="AQ945" s="2"/>
      <c r="AR945" s="2"/>
      <c r="AS945" s="2"/>
    </row>
    <row r="946" spans="5:45" ht="15.75" customHeight="1">
      <c r="E946" s="2"/>
      <c r="F946" s="2"/>
      <c r="G946" s="2"/>
      <c r="M946" s="2"/>
      <c r="N946" s="2"/>
      <c r="O946" s="2"/>
      <c r="P946" s="2"/>
      <c r="U946" s="2"/>
      <c r="V946" s="2"/>
      <c r="W946" s="2"/>
      <c r="X946" s="2"/>
      <c r="AC946" s="2"/>
      <c r="AI946" s="2"/>
      <c r="AN946" s="2"/>
      <c r="AO946" s="2"/>
      <c r="AP946" s="2"/>
      <c r="AQ946" s="2"/>
      <c r="AR946" s="2"/>
      <c r="AS946" s="2"/>
    </row>
    <row r="947" spans="5:45" ht="15.75" customHeight="1">
      <c r="E947" s="2"/>
      <c r="F947" s="2"/>
      <c r="G947" s="2"/>
      <c r="M947" s="2"/>
      <c r="N947" s="2"/>
      <c r="O947" s="2"/>
      <c r="P947" s="2"/>
      <c r="U947" s="2"/>
      <c r="V947" s="2"/>
      <c r="W947" s="2"/>
      <c r="X947" s="2"/>
      <c r="AC947" s="2"/>
      <c r="AI947" s="2"/>
      <c r="AN947" s="2"/>
      <c r="AO947" s="2"/>
      <c r="AP947" s="2"/>
      <c r="AQ947" s="2"/>
      <c r="AR947" s="2"/>
      <c r="AS947" s="2"/>
    </row>
    <row r="948" spans="5:45" ht="15.75" customHeight="1">
      <c r="E948" s="2"/>
      <c r="F948" s="2"/>
      <c r="G948" s="2"/>
      <c r="M948" s="2"/>
      <c r="N948" s="2"/>
      <c r="O948" s="2"/>
      <c r="P948" s="2"/>
      <c r="U948" s="2"/>
      <c r="V948" s="2"/>
      <c r="W948" s="2"/>
      <c r="X948" s="2"/>
      <c r="AC948" s="2"/>
      <c r="AI948" s="2"/>
      <c r="AN948" s="2"/>
      <c r="AO948" s="2"/>
      <c r="AP948" s="2"/>
      <c r="AQ948" s="2"/>
      <c r="AR948" s="2"/>
      <c r="AS948" s="2"/>
    </row>
    <row r="949" spans="5:45" ht="15.75" customHeight="1">
      <c r="E949" s="2"/>
      <c r="F949" s="2"/>
      <c r="G949" s="2"/>
      <c r="M949" s="2"/>
      <c r="N949" s="2"/>
      <c r="O949" s="2"/>
      <c r="P949" s="2"/>
      <c r="U949" s="2"/>
      <c r="V949" s="2"/>
      <c r="W949" s="2"/>
      <c r="X949" s="2"/>
      <c r="AC949" s="2"/>
      <c r="AI949" s="2"/>
      <c r="AN949" s="2"/>
      <c r="AO949" s="2"/>
      <c r="AP949" s="2"/>
      <c r="AQ949" s="2"/>
      <c r="AR949" s="2"/>
      <c r="AS949" s="2"/>
    </row>
    <row r="950" spans="5:45" ht="15.75" customHeight="1">
      <c r="E950" s="2"/>
      <c r="F950" s="2"/>
      <c r="G950" s="2"/>
      <c r="M950" s="2"/>
      <c r="N950" s="2"/>
      <c r="O950" s="2"/>
      <c r="P950" s="2"/>
      <c r="U950" s="2"/>
      <c r="V950" s="2"/>
      <c r="W950" s="2"/>
      <c r="X950" s="2"/>
      <c r="AC950" s="2"/>
      <c r="AI950" s="2"/>
      <c r="AN950" s="2"/>
      <c r="AO950" s="2"/>
      <c r="AP950" s="2"/>
      <c r="AQ950" s="2"/>
      <c r="AR950" s="2"/>
      <c r="AS950" s="2"/>
    </row>
    <row r="951" spans="5:45" ht="15.75" customHeight="1">
      <c r="E951" s="2"/>
      <c r="F951" s="2"/>
      <c r="G951" s="2"/>
      <c r="M951" s="2"/>
      <c r="N951" s="2"/>
      <c r="O951" s="2"/>
      <c r="P951" s="2"/>
      <c r="U951" s="2"/>
      <c r="V951" s="2"/>
      <c r="W951" s="2"/>
      <c r="X951" s="2"/>
      <c r="AC951" s="2"/>
      <c r="AI951" s="2"/>
      <c r="AN951" s="2"/>
      <c r="AO951" s="2"/>
      <c r="AP951" s="2"/>
      <c r="AQ951" s="2"/>
      <c r="AR951" s="2"/>
      <c r="AS951" s="2"/>
    </row>
    <row r="952" spans="5:45" ht="15.75" customHeight="1">
      <c r="E952" s="2"/>
      <c r="F952" s="2"/>
      <c r="G952" s="2"/>
      <c r="M952" s="2"/>
      <c r="N952" s="2"/>
      <c r="O952" s="2"/>
      <c r="P952" s="2"/>
      <c r="U952" s="2"/>
      <c r="V952" s="2"/>
      <c r="W952" s="2"/>
      <c r="X952" s="2"/>
      <c r="AC952" s="2"/>
      <c r="AI952" s="2"/>
      <c r="AN952" s="2"/>
      <c r="AO952" s="2"/>
      <c r="AP952" s="2"/>
      <c r="AQ952" s="2"/>
      <c r="AR952" s="2"/>
      <c r="AS952" s="2"/>
    </row>
    <row r="953" spans="5:45" ht="15.75" customHeight="1">
      <c r="E953" s="2"/>
      <c r="F953" s="2"/>
      <c r="G953" s="2"/>
      <c r="M953" s="2"/>
      <c r="N953" s="2"/>
      <c r="O953" s="2"/>
      <c r="P953" s="2"/>
      <c r="U953" s="2"/>
      <c r="V953" s="2"/>
      <c r="W953" s="2"/>
      <c r="X953" s="2"/>
      <c r="AC953" s="2"/>
      <c r="AI953" s="2"/>
      <c r="AN953" s="2"/>
      <c r="AO953" s="2"/>
      <c r="AP953" s="2"/>
      <c r="AQ953" s="2"/>
      <c r="AR953" s="2"/>
      <c r="AS953" s="2"/>
    </row>
    <row r="954" spans="5:45" ht="15.75" customHeight="1">
      <c r="E954" s="2"/>
      <c r="F954" s="2"/>
      <c r="G954" s="2"/>
      <c r="M954" s="2"/>
      <c r="N954" s="2"/>
      <c r="O954" s="2"/>
      <c r="P954" s="2"/>
      <c r="U954" s="2"/>
      <c r="V954" s="2"/>
      <c r="W954" s="2"/>
      <c r="X954" s="2"/>
      <c r="AC954" s="2"/>
      <c r="AI954" s="2"/>
      <c r="AN954" s="2"/>
      <c r="AO954" s="2"/>
      <c r="AP954" s="2"/>
      <c r="AQ954" s="2"/>
      <c r="AR954" s="2"/>
      <c r="AS954" s="2"/>
    </row>
    <row r="955" spans="5:45" ht="15.75" customHeight="1">
      <c r="E955" s="2"/>
      <c r="F955" s="2"/>
      <c r="G955" s="2"/>
      <c r="M955" s="2"/>
      <c r="N955" s="2"/>
      <c r="O955" s="2"/>
      <c r="P955" s="2"/>
      <c r="U955" s="2"/>
      <c r="V955" s="2"/>
      <c r="W955" s="2"/>
      <c r="X955" s="2"/>
      <c r="AC955" s="2"/>
      <c r="AI955" s="2"/>
      <c r="AN955" s="2"/>
      <c r="AO955" s="2"/>
      <c r="AP955" s="2"/>
      <c r="AQ955" s="2"/>
      <c r="AR955" s="2"/>
      <c r="AS955" s="2"/>
    </row>
    <row r="956" spans="5:45" ht="15.75" customHeight="1">
      <c r="E956" s="2"/>
      <c r="F956" s="2"/>
      <c r="G956" s="2"/>
      <c r="M956" s="2"/>
      <c r="N956" s="2"/>
      <c r="O956" s="2"/>
      <c r="P956" s="2"/>
      <c r="U956" s="2"/>
      <c r="V956" s="2"/>
      <c r="W956" s="2"/>
      <c r="X956" s="2"/>
      <c r="AC956" s="2"/>
      <c r="AI956" s="2"/>
      <c r="AN956" s="2"/>
      <c r="AO956" s="2"/>
      <c r="AP956" s="2"/>
      <c r="AQ956" s="2"/>
      <c r="AR956" s="2"/>
      <c r="AS956" s="2"/>
    </row>
    <row r="957" spans="5:45" ht="15.75" customHeight="1">
      <c r="E957" s="2"/>
      <c r="F957" s="2"/>
      <c r="G957" s="2"/>
      <c r="M957" s="2"/>
      <c r="N957" s="2"/>
      <c r="O957" s="2"/>
      <c r="P957" s="2"/>
      <c r="U957" s="2"/>
      <c r="V957" s="2"/>
      <c r="W957" s="2"/>
      <c r="X957" s="2"/>
      <c r="AC957" s="2"/>
      <c r="AI957" s="2"/>
      <c r="AN957" s="2"/>
      <c r="AO957" s="2"/>
      <c r="AP957" s="2"/>
      <c r="AQ957" s="2"/>
      <c r="AR957" s="2"/>
      <c r="AS957" s="2"/>
    </row>
    <row r="958" spans="5:45" ht="15.75" customHeight="1">
      <c r="E958" s="2"/>
      <c r="F958" s="2"/>
      <c r="G958" s="2"/>
      <c r="M958" s="2"/>
      <c r="N958" s="2"/>
      <c r="O958" s="2"/>
      <c r="P958" s="2"/>
      <c r="U958" s="2"/>
      <c r="V958" s="2"/>
      <c r="W958" s="2"/>
      <c r="X958" s="2"/>
      <c r="AC958" s="2"/>
      <c r="AI958" s="2"/>
      <c r="AN958" s="2"/>
      <c r="AO958" s="2"/>
      <c r="AP958" s="2"/>
      <c r="AQ958" s="2"/>
      <c r="AR958" s="2"/>
      <c r="AS958" s="2"/>
    </row>
    <row r="959" spans="5:45" ht="15.75" customHeight="1">
      <c r="E959" s="2"/>
      <c r="F959" s="2"/>
      <c r="G959" s="2"/>
      <c r="M959" s="2"/>
      <c r="N959" s="2"/>
      <c r="O959" s="2"/>
      <c r="P959" s="2"/>
      <c r="U959" s="2"/>
      <c r="V959" s="2"/>
      <c r="W959" s="2"/>
      <c r="X959" s="2"/>
      <c r="AC959" s="2"/>
      <c r="AI959" s="2"/>
      <c r="AN959" s="2"/>
      <c r="AO959" s="2"/>
      <c r="AP959" s="2"/>
      <c r="AQ959" s="2"/>
      <c r="AR959" s="2"/>
      <c r="AS959" s="2"/>
    </row>
    <row r="960" spans="5:45" ht="15.75" customHeight="1">
      <c r="E960" s="2"/>
      <c r="F960" s="2"/>
      <c r="G960" s="2"/>
      <c r="M960" s="2"/>
      <c r="N960" s="2"/>
      <c r="O960" s="2"/>
      <c r="P960" s="2"/>
      <c r="U960" s="2"/>
      <c r="V960" s="2"/>
      <c r="W960" s="2"/>
      <c r="X960" s="2"/>
      <c r="AC960" s="2"/>
      <c r="AI960" s="2"/>
      <c r="AN960" s="2"/>
      <c r="AO960" s="2"/>
      <c r="AP960" s="2"/>
      <c r="AQ960" s="2"/>
      <c r="AR960" s="2"/>
      <c r="AS960" s="2"/>
    </row>
    <row r="961" spans="5:45" ht="15.75" customHeight="1">
      <c r="E961" s="2"/>
      <c r="F961" s="2"/>
      <c r="G961" s="2"/>
      <c r="M961" s="2"/>
      <c r="N961" s="2"/>
      <c r="O961" s="2"/>
      <c r="P961" s="2"/>
      <c r="U961" s="2"/>
      <c r="V961" s="2"/>
      <c r="W961" s="2"/>
      <c r="X961" s="2"/>
      <c r="AC961" s="2"/>
      <c r="AI961" s="2"/>
      <c r="AN961" s="2"/>
      <c r="AO961" s="2"/>
      <c r="AP961" s="2"/>
      <c r="AQ961" s="2"/>
      <c r="AR961" s="2"/>
      <c r="AS961" s="2"/>
    </row>
    <row r="962" spans="5:45" ht="15.75" customHeight="1">
      <c r="E962" s="2"/>
      <c r="F962" s="2"/>
      <c r="G962" s="2"/>
      <c r="M962" s="2"/>
      <c r="N962" s="2"/>
      <c r="O962" s="2"/>
      <c r="P962" s="2"/>
      <c r="U962" s="2"/>
      <c r="V962" s="2"/>
      <c r="W962" s="2"/>
      <c r="X962" s="2"/>
      <c r="AC962" s="2"/>
      <c r="AI962" s="2"/>
      <c r="AN962" s="2"/>
      <c r="AO962" s="2"/>
      <c r="AP962" s="2"/>
      <c r="AQ962" s="2"/>
      <c r="AR962" s="2"/>
      <c r="AS962" s="2"/>
    </row>
    <row r="963" spans="5:45" ht="15.75" customHeight="1">
      <c r="E963" s="2"/>
      <c r="F963" s="2"/>
      <c r="G963" s="2"/>
      <c r="M963" s="2"/>
      <c r="N963" s="2"/>
      <c r="O963" s="2"/>
      <c r="P963" s="2"/>
      <c r="U963" s="2"/>
      <c r="V963" s="2"/>
      <c r="W963" s="2"/>
      <c r="X963" s="2"/>
      <c r="AC963" s="2"/>
      <c r="AI963" s="2"/>
      <c r="AN963" s="2"/>
      <c r="AO963" s="2"/>
      <c r="AP963" s="2"/>
      <c r="AQ963" s="2"/>
      <c r="AR963" s="2"/>
      <c r="AS963" s="2"/>
    </row>
    <row r="964" spans="5:45" ht="15.75" customHeight="1">
      <c r="E964" s="2"/>
      <c r="F964" s="2"/>
      <c r="G964" s="2"/>
      <c r="M964" s="2"/>
      <c r="N964" s="2"/>
      <c r="O964" s="2"/>
      <c r="P964" s="2"/>
      <c r="U964" s="2"/>
      <c r="V964" s="2"/>
      <c r="W964" s="2"/>
      <c r="X964" s="2"/>
      <c r="AC964" s="2"/>
      <c r="AI964" s="2"/>
      <c r="AN964" s="2"/>
      <c r="AO964" s="2"/>
      <c r="AP964" s="2"/>
      <c r="AQ964" s="2"/>
      <c r="AR964" s="2"/>
      <c r="AS964" s="2"/>
    </row>
    <row r="965" spans="5:45" ht="15.75" customHeight="1">
      <c r="E965" s="2"/>
      <c r="F965" s="2"/>
      <c r="G965" s="2"/>
      <c r="M965" s="2"/>
      <c r="N965" s="2"/>
      <c r="O965" s="2"/>
      <c r="P965" s="2"/>
      <c r="U965" s="2"/>
      <c r="V965" s="2"/>
      <c r="W965" s="2"/>
      <c r="X965" s="2"/>
      <c r="AC965" s="2"/>
      <c r="AI965" s="2"/>
      <c r="AN965" s="2"/>
      <c r="AO965" s="2"/>
      <c r="AP965" s="2"/>
      <c r="AQ965" s="2"/>
      <c r="AR965" s="2"/>
      <c r="AS965" s="2"/>
    </row>
    <row r="966" spans="5:45" ht="15.75" customHeight="1">
      <c r="E966" s="2"/>
      <c r="F966" s="2"/>
      <c r="G966" s="2"/>
      <c r="M966" s="2"/>
      <c r="N966" s="2"/>
      <c r="O966" s="2"/>
      <c r="P966" s="2"/>
      <c r="U966" s="2"/>
      <c r="V966" s="2"/>
      <c r="W966" s="2"/>
      <c r="X966" s="2"/>
      <c r="AC966" s="2"/>
      <c r="AI966" s="2"/>
      <c r="AN966" s="2"/>
      <c r="AO966" s="2"/>
      <c r="AP966" s="2"/>
      <c r="AQ966" s="2"/>
      <c r="AR966" s="2"/>
      <c r="AS966" s="2"/>
    </row>
    <row r="967" spans="5:45" ht="15.75" customHeight="1">
      <c r="E967" s="2"/>
      <c r="F967" s="2"/>
      <c r="G967" s="2"/>
      <c r="M967" s="2"/>
      <c r="N967" s="2"/>
      <c r="O967" s="2"/>
      <c r="P967" s="2"/>
      <c r="U967" s="2"/>
      <c r="V967" s="2"/>
      <c r="W967" s="2"/>
      <c r="X967" s="2"/>
      <c r="AC967" s="2"/>
      <c r="AI967" s="2"/>
      <c r="AN967" s="2"/>
      <c r="AO967" s="2"/>
      <c r="AP967" s="2"/>
      <c r="AQ967" s="2"/>
      <c r="AR967" s="2"/>
      <c r="AS967" s="2"/>
    </row>
    <row r="968" spans="5:45" ht="15.75" customHeight="1">
      <c r="E968" s="2"/>
      <c r="F968" s="2"/>
      <c r="G968" s="2"/>
      <c r="M968" s="2"/>
      <c r="N968" s="2"/>
      <c r="O968" s="2"/>
      <c r="P968" s="2"/>
      <c r="U968" s="2"/>
      <c r="V968" s="2"/>
      <c r="W968" s="2"/>
      <c r="X968" s="2"/>
      <c r="AC968" s="2"/>
      <c r="AI968" s="2"/>
      <c r="AN968" s="2"/>
      <c r="AO968" s="2"/>
      <c r="AP968" s="2"/>
      <c r="AQ968" s="2"/>
      <c r="AR968" s="2"/>
      <c r="AS968" s="2"/>
    </row>
    <row r="969" spans="5:45" ht="15.75" customHeight="1">
      <c r="E969" s="2"/>
      <c r="F969" s="2"/>
      <c r="G969" s="2"/>
      <c r="M969" s="2"/>
      <c r="N969" s="2"/>
      <c r="O969" s="2"/>
      <c r="P969" s="2"/>
      <c r="U969" s="2"/>
      <c r="V969" s="2"/>
      <c r="W969" s="2"/>
      <c r="X969" s="2"/>
      <c r="AC969" s="2"/>
      <c r="AI969" s="2"/>
      <c r="AN969" s="2"/>
      <c r="AO969" s="2"/>
      <c r="AP969" s="2"/>
      <c r="AQ969" s="2"/>
      <c r="AR969" s="2"/>
      <c r="AS969" s="2"/>
    </row>
    <row r="970" spans="5:45" ht="15.75" customHeight="1">
      <c r="E970" s="2"/>
      <c r="F970" s="2"/>
      <c r="G970" s="2"/>
      <c r="M970" s="2"/>
      <c r="N970" s="2"/>
      <c r="O970" s="2"/>
      <c r="P970" s="2"/>
      <c r="U970" s="2"/>
      <c r="V970" s="2"/>
      <c r="W970" s="2"/>
      <c r="X970" s="2"/>
      <c r="AC970" s="2"/>
      <c r="AI970" s="2"/>
      <c r="AN970" s="2"/>
      <c r="AO970" s="2"/>
      <c r="AP970" s="2"/>
      <c r="AQ970" s="2"/>
      <c r="AR970" s="2"/>
      <c r="AS970" s="2"/>
    </row>
    <row r="971" spans="5:45" ht="15.75" customHeight="1">
      <c r="E971" s="2"/>
      <c r="F971" s="2"/>
      <c r="G971" s="2"/>
      <c r="M971" s="2"/>
      <c r="N971" s="2"/>
      <c r="O971" s="2"/>
      <c r="P971" s="2"/>
      <c r="U971" s="2"/>
      <c r="V971" s="2"/>
      <c r="W971" s="2"/>
      <c r="X971" s="2"/>
      <c r="AC971" s="2"/>
      <c r="AI971" s="2"/>
      <c r="AN971" s="2"/>
      <c r="AO971" s="2"/>
      <c r="AP971" s="2"/>
      <c r="AQ971" s="2"/>
      <c r="AR971" s="2"/>
      <c r="AS971" s="2"/>
    </row>
    <row r="972" spans="5:45" ht="15.75" customHeight="1">
      <c r="E972" s="2"/>
      <c r="F972" s="2"/>
      <c r="G972" s="2"/>
      <c r="M972" s="2"/>
      <c r="N972" s="2"/>
      <c r="O972" s="2"/>
      <c r="P972" s="2"/>
      <c r="U972" s="2"/>
      <c r="V972" s="2"/>
      <c r="W972" s="2"/>
      <c r="X972" s="2"/>
      <c r="AC972" s="2"/>
      <c r="AI972" s="2"/>
      <c r="AN972" s="2"/>
      <c r="AO972" s="2"/>
      <c r="AP972" s="2"/>
      <c r="AQ972" s="2"/>
      <c r="AR972" s="2"/>
      <c r="AS972" s="2"/>
    </row>
    <row r="973" spans="5:45" ht="15.75" customHeight="1">
      <c r="E973" s="2"/>
      <c r="F973" s="2"/>
      <c r="G973" s="2"/>
      <c r="M973" s="2"/>
      <c r="N973" s="2"/>
      <c r="O973" s="2"/>
      <c r="P973" s="2"/>
      <c r="U973" s="2"/>
      <c r="V973" s="2"/>
      <c r="W973" s="2"/>
      <c r="X973" s="2"/>
      <c r="AC973" s="2"/>
      <c r="AI973" s="2"/>
      <c r="AN973" s="2"/>
      <c r="AO973" s="2"/>
      <c r="AP973" s="2"/>
      <c r="AQ973" s="2"/>
      <c r="AR973" s="2"/>
      <c r="AS973" s="2"/>
    </row>
    <row r="974" spans="5:45" ht="15.75" customHeight="1">
      <c r="E974" s="2"/>
      <c r="F974" s="2"/>
      <c r="G974" s="2"/>
      <c r="M974" s="2"/>
      <c r="N974" s="2"/>
      <c r="O974" s="2"/>
      <c r="P974" s="2"/>
      <c r="U974" s="2"/>
      <c r="V974" s="2"/>
      <c r="W974" s="2"/>
      <c r="X974" s="2"/>
      <c r="AC974" s="2"/>
      <c r="AI974" s="2"/>
      <c r="AN974" s="2"/>
      <c r="AO974" s="2"/>
      <c r="AP974" s="2"/>
      <c r="AQ974" s="2"/>
      <c r="AR974" s="2"/>
      <c r="AS974" s="2"/>
    </row>
    <row r="975" spans="5:45" ht="15.75" customHeight="1">
      <c r="E975" s="2"/>
      <c r="F975" s="2"/>
      <c r="G975" s="2"/>
      <c r="M975" s="2"/>
      <c r="N975" s="2"/>
      <c r="O975" s="2"/>
      <c r="P975" s="2"/>
      <c r="U975" s="2"/>
      <c r="V975" s="2"/>
      <c r="W975" s="2"/>
      <c r="X975" s="2"/>
      <c r="AC975" s="2"/>
      <c r="AI975" s="2"/>
      <c r="AN975" s="2"/>
      <c r="AO975" s="2"/>
      <c r="AP975" s="2"/>
      <c r="AQ975" s="2"/>
      <c r="AR975" s="2"/>
      <c r="AS975" s="2"/>
    </row>
    <row r="976" spans="5:45" ht="15.75" customHeight="1">
      <c r="E976" s="2"/>
      <c r="F976" s="2"/>
      <c r="G976" s="2"/>
      <c r="M976" s="2"/>
      <c r="N976" s="2"/>
      <c r="O976" s="2"/>
      <c r="P976" s="2"/>
      <c r="U976" s="2"/>
      <c r="V976" s="2"/>
      <c r="W976" s="2"/>
      <c r="X976" s="2"/>
      <c r="AC976" s="2"/>
      <c r="AI976" s="2"/>
      <c r="AN976" s="2"/>
      <c r="AO976" s="2"/>
      <c r="AP976" s="2"/>
      <c r="AQ976" s="2"/>
      <c r="AR976" s="2"/>
      <c r="AS976" s="2"/>
    </row>
    <row r="977" spans="5:45" ht="15.75" customHeight="1">
      <c r="E977" s="2"/>
      <c r="F977" s="2"/>
      <c r="G977" s="2"/>
      <c r="M977" s="2"/>
      <c r="N977" s="2"/>
      <c r="O977" s="2"/>
      <c r="P977" s="2"/>
      <c r="U977" s="2"/>
      <c r="V977" s="2"/>
      <c r="W977" s="2"/>
      <c r="X977" s="2"/>
      <c r="AC977" s="2"/>
      <c r="AI977" s="2"/>
      <c r="AN977" s="2"/>
      <c r="AO977" s="2"/>
      <c r="AP977" s="2"/>
      <c r="AQ977" s="2"/>
      <c r="AR977" s="2"/>
      <c r="AS977" s="2"/>
    </row>
    <row r="978" spans="5:45" ht="15.75" customHeight="1">
      <c r="E978" s="2"/>
      <c r="F978" s="2"/>
      <c r="G978" s="2"/>
      <c r="M978" s="2"/>
      <c r="N978" s="2"/>
      <c r="O978" s="2"/>
      <c r="P978" s="2"/>
      <c r="U978" s="2"/>
      <c r="V978" s="2"/>
      <c r="W978" s="2"/>
      <c r="X978" s="2"/>
      <c r="AC978" s="2"/>
      <c r="AI978" s="2"/>
      <c r="AN978" s="2"/>
      <c r="AO978" s="2"/>
      <c r="AP978" s="2"/>
      <c r="AQ978" s="2"/>
      <c r="AR978" s="2"/>
      <c r="AS978" s="2"/>
    </row>
    <row r="979" spans="5:45" ht="15.75" customHeight="1">
      <c r="E979" s="2"/>
      <c r="F979" s="2"/>
      <c r="G979" s="2"/>
      <c r="M979" s="2"/>
      <c r="N979" s="2"/>
      <c r="O979" s="2"/>
      <c r="P979" s="2"/>
      <c r="U979" s="2"/>
      <c r="V979" s="2"/>
      <c r="W979" s="2"/>
      <c r="X979" s="2"/>
      <c r="AC979" s="2"/>
      <c r="AI979" s="2"/>
      <c r="AN979" s="2"/>
      <c r="AO979" s="2"/>
      <c r="AP979" s="2"/>
      <c r="AQ979" s="2"/>
      <c r="AR979" s="2"/>
      <c r="AS979" s="2"/>
    </row>
    <row r="980" spans="5:45" ht="15.75" customHeight="1">
      <c r="E980" s="2"/>
      <c r="F980" s="2"/>
      <c r="G980" s="2"/>
      <c r="M980" s="2"/>
      <c r="N980" s="2"/>
      <c r="O980" s="2"/>
      <c r="P980" s="2"/>
      <c r="U980" s="2"/>
      <c r="V980" s="2"/>
      <c r="W980" s="2"/>
      <c r="X980" s="2"/>
      <c r="AC980" s="2"/>
      <c r="AI980" s="2"/>
      <c r="AN980" s="2"/>
      <c r="AO980" s="2"/>
      <c r="AP980" s="2"/>
      <c r="AQ980" s="2"/>
      <c r="AR980" s="2"/>
      <c r="AS980" s="2"/>
    </row>
    <row r="981" spans="5:45" ht="15.75" customHeight="1">
      <c r="E981" s="2"/>
      <c r="F981" s="2"/>
      <c r="G981" s="2"/>
      <c r="M981" s="2"/>
      <c r="N981" s="2"/>
      <c r="O981" s="2"/>
      <c r="P981" s="2"/>
      <c r="U981" s="2"/>
      <c r="V981" s="2"/>
      <c r="W981" s="2"/>
      <c r="X981" s="2"/>
      <c r="AC981" s="2"/>
      <c r="AI981" s="2"/>
      <c r="AN981" s="2"/>
      <c r="AO981" s="2"/>
      <c r="AP981" s="2"/>
      <c r="AQ981" s="2"/>
      <c r="AR981" s="2"/>
      <c r="AS981" s="2"/>
    </row>
    <row r="982" spans="5:45" ht="15.75" customHeight="1">
      <c r="E982" s="2"/>
      <c r="F982" s="2"/>
      <c r="G982" s="2"/>
      <c r="M982" s="2"/>
      <c r="N982" s="2"/>
      <c r="O982" s="2"/>
      <c r="P982" s="2"/>
      <c r="U982" s="2"/>
      <c r="V982" s="2"/>
      <c r="W982" s="2"/>
      <c r="X982" s="2"/>
      <c r="AC982" s="2"/>
      <c r="AI982" s="2"/>
      <c r="AN982" s="2"/>
      <c r="AO982" s="2"/>
      <c r="AP982" s="2"/>
      <c r="AQ982" s="2"/>
      <c r="AR982" s="2"/>
      <c r="AS982" s="2"/>
    </row>
    <row r="983" spans="5:45" ht="15.75" customHeight="1">
      <c r="E983" s="2"/>
      <c r="F983" s="2"/>
      <c r="G983" s="2"/>
      <c r="M983" s="2"/>
      <c r="N983" s="2"/>
      <c r="O983" s="2"/>
      <c r="P983" s="2"/>
      <c r="U983" s="2"/>
      <c r="V983" s="2"/>
      <c r="W983" s="2"/>
      <c r="X983" s="2"/>
      <c r="AC983" s="2"/>
      <c r="AI983" s="2"/>
      <c r="AN983" s="2"/>
      <c r="AO983" s="2"/>
      <c r="AP983" s="2"/>
      <c r="AQ983" s="2"/>
      <c r="AR983" s="2"/>
      <c r="AS983" s="2"/>
    </row>
    <row r="984" spans="5:45" ht="15.75" customHeight="1">
      <c r="E984" s="2"/>
      <c r="F984" s="2"/>
      <c r="G984" s="2"/>
      <c r="M984" s="2"/>
      <c r="N984" s="2"/>
      <c r="O984" s="2"/>
      <c r="P984" s="2"/>
      <c r="U984" s="2"/>
      <c r="V984" s="2"/>
      <c r="W984" s="2"/>
      <c r="X984" s="2"/>
      <c r="AC984" s="2"/>
      <c r="AI984" s="2"/>
      <c r="AN984" s="2"/>
      <c r="AO984" s="2"/>
      <c r="AP984" s="2"/>
      <c r="AQ984" s="2"/>
      <c r="AR984" s="2"/>
      <c r="AS984" s="2"/>
    </row>
    <row r="985" spans="5:45" ht="15.75" customHeight="1">
      <c r="E985" s="2"/>
      <c r="F985" s="2"/>
      <c r="G985" s="2"/>
      <c r="M985" s="2"/>
      <c r="N985" s="2"/>
      <c r="O985" s="2"/>
      <c r="P985" s="2"/>
      <c r="U985" s="2"/>
      <c r="V985" s="2"/>
      <c r="W985" s="2"/>
      <c r="X985" s="2"/>
      <c r="AC985" s="2"/>
      <c r="AI985" s="2"/>
      <c r="AN985" s="2"/>
      <c r="AO985" s="2"/>
      <c r="AP985" s="2"/>
      <c r="AQ985" s="2"/>
      <c r="AR985" s="2"/>
      <c r="AS985" s="2"/>
    </row>
    <row r="986" spans="5:45" ht="15.75" customHeight="1">
      <c r="E986" s="2"/>
      <c r="F986" s="2"/>
      <c r="G986" s="2"/>
      <c r="M986" s="2"/>
      <c r="N986" s="2"/>
      <c r="O986" s="2"/>
      <c r="P986" s="2"/>
      <c r="U986" s="2"/>
      <c r="V986" s="2"/>
      <c r="W986" s="2"/>
      <c r="X986" s="2"/>
      <c r="AC986" s="2"/>
      <c r="AI986" s="2"/>
      <c r="AN986" s="2"/>
      <c r="AO986" s="2"/>
      <c r="AP986" s="2"/>
      <c r="AQ986" s="2"/>
      <c r="AR986" s="2"/>
      <c r="AS986" s="2"/>
    </row>
    <row r="987" spans="5:45" ht="15.75" customHeight="1">
      <c r="E987" s="2"/>
      <c r="F987" s="2"/>
      <c r="G987" s="2"/>
      <c r="M987" s="2"/>
      <c r="N987" s="2"/>
      <c r="O987" s="2"/>
      <c r="P987" s="2"/>
      <c r="U987" s="2"/>
      <c r="V987" s="2"/>
      <c r="W987" s="2"/>
      <c r="X987" s="2"/>
      <c r="AC987" s="2"/>
      <c r="AI987" s="2"/>
      <c r="AN987" s="2"/>
      <c r="AO987" s="2"/>
      <c r="AP987" s="2"/>
      <c r="AQ987" s="2"/>
      <c r="AR987" s="2"/>
      <c r="AS987" s="2"/>
    </row>
    <row r="988" spans="5:45" ht="15.75" customHeight="1">
      <c r="E988" s="2"/>
      <c r="F988" s="2"/>
      <c r="G988" s="2"/>
      <c r="M988" s="2"/>
      <c r="N988" s="2"/>
      <c r="O988" s="2"/>
      <c r="P988" s="2"/>
      <c r="U988" s="2"/>
      <c r="V988" s="2"/>
      <c r="W988" s="2"/>
      <c r="X988" s="2"/>
      <c r="AC988" s="2"/>
      <c r="AI988" s="2"/>
      <c r="AN988" s="2"/>
      <c r="AO988" s="2"/>
      <c r="AP988" s="2"/>
      <c r="AQ988" s="2"/>
      <c r="AR988" s="2"/>
      <c r="AS988" s="2"/>
    </row>
    <row r="989" spans="5:45" ht="15.75" customHeight="1">
      <c r="E989" s="2"/>
      <c r="F989" s="2"/>
      <c r="G989" s="2"/>
      <c r="M989" s="2"/>
      <c r="N989" s="2"/>
      <c r="O989" s="2"/>
      <c r="P989" s="2"/>
      <c r="U989" s="2"/>
      <c r="V989" s="2"/>
      <c r="W989" s="2"/>
      <c r="X989" s="2"/>
      <c r="AC989" s="2"/>
      <c r="AI989" s="2"/>
      <c r="AN989" s="2"/>
      <c r="AO989" s="2"/>
      <c r="AP989" s="2"/>
      <c r="AQ989" s="2"/>
      <c r="AR989" s="2"/>
      <c r="AS989" s="2"/>
    </row>
    <row r="990" spans="5:45" ht="15.75" customHeight="1">
      <c r="E990" s="2"/>
      <c r="F990" s="2"/>
      <c r="G990" s="2"/>
      <c r="M990" s="2"/>
      <c r="N990" s="2"/>
      <c r="O990" s="2"/>
      <c r="P990" s="2"/>
      <c r="U990" s="2"/>
      <c r="V990" s="2"/>
      <c r="W990" s="2"/>
      <c r="X990" s="2"/>
      <c r="AC990" s="2"/>
      <c r="AI990" s="2"/>
      <c r="AN990" s="2"/>
      <c r="AO990" s="2"/>
      <c r="AP990" s="2"/>
      <c r="AQ990" s="2"/>
      <c r="AR990" s="2"/>
      <c r="AS990" s="2"/>
    </row>
    <row r="991" spans="5:45" ht="15.75" customHeight="1">
      <c r="E991" s="2"/>
      <c r="F991" s="2"/>
      <c r="G991" s="2"/>
      <c r="M991" s="2"/>
      <c r="N991" s="2"/>
      <c r="O991" s="2"/>
      <c r="P991" s="2"/>
      <c r="U991" s="2"/>
      <c r="V991" s="2"/>
      <c r="W991" s="2"/>
      <c r="X991" s="2"/>
      <c r="AC991" s="2"/>
      <c r="AI991" s="2"/>
      <c r="AN991" s="2"/>
      <c r="AO991" s="2"/>
      <c r="AP991" s="2"/>
      <c r="AQ991" s="2"/>
      <c r="AR991" s="2"/>
      <c r="AS991" s="2"/>
    </row>
    <row r="992" spans="5:45" ht="15.75" customHeight="1">
      <c r="E992" s="2"/>
      <c r="F992" s="2"/>
      <c r="G992" s="2"/>
      <c r="M992" s="2"/>
      <c r="N992" s="2"/>
      <c r="O992" s="2"/>
      <c r="P992" s="2"/>
      <c r="U992" s="2"/>
      <c r="V992" s="2"/>
      <c r="W992" s="2"/>
      <c r="X992" s="2"/>
      <c r="AC992" s="2"/>
      <c r="AI992" s="2"/>
      <c r="AN992" s="2"/>
      <c r="AO992" s="2"/>
      <c r="AP992" s="2"/>
      <c r="AQ992" s="2"/>
      <c r="AR992" s="2"/>
      <c r="AS992" s="2"/>
    </row>
    <row r="993" spans="5:45" ht="15.75" customHeight="1">
      <c r="E993" s="2"/>
      <c r="F993" s="2"/>
      <c r="G993" s="2"/>
      <c r="M993" s="2"/>
      <c r="N993" s="2"/>
      <c r="O993" s="2"/>
      <c r="P993" s="2"/>
      <c r="U993" s="2"/>
      <c r="V993" s="2"/>
      <c r="W993" s="2"/>
      <c r="X993" s="2"/>
      <c r="AC993" s="2"/>
      <c r="AI993" s="2"/>
      <c r="AN993" s="2"/>
      <c r="AO993" s="2"/>
      <c r="AP993" s="2"/>
      <c r="AQ993" s="2"/>
      <c r="AR993" s="2"/>
      <c r="AS993" s="2"/>
    </row>
    <row r="994" spans="5:45" ht="15.75" customHeight="1">
      <c r="E994" s="2"/>
      <c r="F994" s="2"/>
      <c r="G994" s="2"/>
      <c r="M994" s="2"/>
      <c r="N994" s="2"/>
      <c r="O994" s="2"/>
      <c r="P994" s="2"/>
      <c r="U994" s="2"/>
      <c r="V994" s="2"/>
      <c r="W994" s="2"/>
      <c r="X994" s="2"/>
      <c r="AC994" s="2"/>
      <c r="AI994" s="2"/>
      <c r="AN994" s="2"/>
      <c r="AO994" s="2"/>
      <c r="AP994" s="2"/>
      <c r="AQ994" s="2"/>
      <c r="AR994" s="2"/>
      <c r="AS994" s="2"/>
    </row>
    <row r="995" spans="5:45" ht="15.75" customHeight="1">
      <c r="E995" s="2"/>
      <c r="F995" s="2"/>
      <c r="G995" s="2"/>
      <c r="M995" s="2"/>
      <c r="N995" s="2"/>
      <c r="O995" s="2"/>
      <c r="P995" s="2"/>
      <c r="U995" s="2"/>
      <c r="V995" s="2"/>
      <c r="W995" s="2"/>
      <c r="X995" s="2"/>
      <c r="AC995" s="2"/>
      <c r="AI995" s="2"/>
      <c r="AN995" s="2"/>
      <c r="AO995" s="2"/>
      <c r="AP995" s="2"/>
      <c r="AQ995" s="2"/>
      <c r="AR995" s="2"/>
      <c r="AS995" s="2"/>
    </row>
    <row r="996" spans="5:45" ht="15.75" customHeight="1">
      <c r="E996" s="2"/>
      <c r="F996" s="2"/>
      <c r="G996" s="2"/>
      <c r="M996" s="2"/>
      <c r="N996" s="2"/>
      <c r="O996" s="2"/>
      <c r="P996" s="2"/>
      <c r="U996" s="2"/>
      <c r="V996" s="2"/>
      <c r="W996" s="2"/>
      <c r="X996" s="2"/>
      <c r="AC996" s="2"/>
      <c r="AI996" s="2"/>
      <c r="AN996" s="2"/>
      <c r="AO996" s="2"/>
      <c r="AP996" s="2"/>
      <c r="AQ996" s="2"/>
      <c r="AR996" s="2"/>
      <c r="AS996" s="2"/>
    </row>
    <row r="997" spans="5:45" ht="15.75" customHeight="1">
      <c r="E997" s="2"/>
      <c r="F997" s="2"/>
      <c r="G997" s="2"/>
      <c r="M997" s="2"/>
      <c r="N997" s="2"/>
      <c r="O997" s="2"/>
      <c r="P997" s="2"/>
      <c r="U997" s="2"/>
      <c r="V997" s="2"/>
      <c r="W997" s="2"/>
      <c r="X997" s="2"/>
      <c r="AC997" s="2"/>
      <c r="AI997" s="2"/>
      <c r="AN997" s="2"/>
      <c r="AO997" s="2"/>
      <c r="AP997" s="2"/>
      <c r="AQ997" s="2"/>
      <c r="AR997" s="2"/>
      <c r="AS997" s="2"/>
    </row>
    <row r="998" spans="5:45" ht="15.75" customHeight="1">
      <c r="E998" s="2"/>
      <c r="F998" s="2"/>
      <c r="G998" s="2"/>
      <c r="M998" s="2"/>
      <c r="N998" s="2"/>
      <c r="O998" s="2"/>
      <c r="P998" s="2"/>
      <c r="U998" s="2"/>
      <c r="V998" s="2"/>
      <c r="W998" s="2"/>
      <c r="X998" s="2"/>
      <c r="AC998" s="2"/>
      <c r="AI998" s="2"/>
      <c r="AN998" s="2"/>
      <c r="AO998" s="2"/>
      <c r="AP998" s="2"/>
      <c r="AQ998" s="2"/>
      <c r="AR998" s="2"/>
      <c r="AS998" s="2"/>
    </row>
    <row r="999" spans="5:45" ht="15.75" customHeight="1">
      <c r="E999" s="2"/>
      <c r="F999" s="2"/>
      <c r="G999" s="2"/>
      <c r="M999" s="2"/>
      <c r="N999" s="2"/>
      <c r="O999" s="2"/>
      <c r="P999" s="2"/>
      <c r="U999" s="2"/>
      <c r="V999" s="2"/>
      <c r="W999" s="2"/>
      <c r="X999" s="2"/>
      <c r="AC999" s="2"/>
      <c r="AI999" s="2"/>
      <c r="AN999" s="2"/>
      <c r="AO999" s="2"/>
      <c r="AP999" s="2"/>
      <c r="AQ999" s="2"/>
      <c r="AR999" s="2"/>
      <c r="AS999" s="2"/>
    </row>
    <row r="1000" spans="5:45" ht="15.75" customHeight="1">
      <c r="E1000" s="2"/>
      <c r="F1000" s="2"/>
      <c r="G1000" s="2"/>
      <c r="M1000" s="2"/>
      <c r="N1000" s="2"/>
      <c r="O1000" s="2"/>
      <c r="P1000" s="2"/>
      <c r="U1000" s="2"/>
      <c r="V1000" s="2"/>
      <c r="W1000" s="2"/>
      <c r="X1000" s="2"/>
      <c r="AC1000" s="2"/>
      <c r="AI1000" s="2"/>
      <c r="AN1000" s="2"/>
      <c r="AO1000" s="2"/>
      <c r="AP1000" s="2"/>
      <c r="AQ1000" s="2"/>
      <c r="AR1000" s="2"/>
      <c r="AS1000" s="2"/>
    </row>
    <row r="1001" spans="5:45" ht="15.75" customHeight="1">
      <c r="E1001" s="2"/>
      <c r="F1001" s="2"/>
      <c r="G1001" s="2"/>
      <c r="M1001" s="2"/>
      <c r="N1001" s="2"/>
      <c r="O1001" s="2"/>
      <c r="P1001" s="2"/>
      <c r="U1001" s="2"/>
      <c r="V1001" s="2"/>
      <c r="W1001" s="2"/>
      <c r="X1001" s="2"/>
      <c r="AC1001" s="2"/>
      <c r="AI1001" s="2"/>
      <c r="AN1001" s="2"/>
      <c r="AO1001" s="2"/>
      <c r="AP1001" s="2"/>
      <c r="AQ1001" s="2"/>
      <c r="AR1001" s="2"/>
      <c r="AS1001" s="2"/>
    </row>
    <row r="1002" spans="5:45" ht="15.75" customHeight="1">
      <c r="E1002" s="2"/>
      <c r="F1002" s="2"/>
      <c r="G1002" s="2"/>
      <c r="M1002" s="2"/>
      <c r="N1002" s="2"/>
      <c r="O1002" s="2"/>
      <c r="P1002" s="2"/>
      <c r="U1002" s="2"/>
      <c r="V1002" s="2"/>
      <c r="W1002" s="2"/>
      <c r="X1002" s="2"/>
      <c r="AC1002" s="2"/>
      <c r="AI1002" s="2"/>
      <c r="AN1002" s="2"/>
      <c r="AO1002" s="2"/>
      <c r="AP1002" s="2"/>
      <c r="AQ1002" s="2"/>
      <c r="AR1002" s="2"/>
      <c r="AS1002" s="2"/>
    </row>
    <row r="1003" spans="5:45" ht="15.75" customHeight="1">
      <c r="E1003" s="2"/>
      <c r="F1003" s="2"/>
      <c r="G1003" s="2"/>
      <c r="M1003" s="2"/>
      <c r="N1003" s="2"/>
      <c r="O1003" s="2"/>
      <c r="P1003" s="2"/>
      <c r="U1003" s="2"/>
      <c r="V1003" s="2"/>
      <c r="W1003" s="2"/>
      <c r="X1003" s="2"/>
      <c r="AC1003" s="2"/>
      <c r="AI1003" s="2"/>
      <c r="AN1003" s="2"/>
      <c r="AO1003" s="2"/>
      <c r="AP1003" s="2"/>
      <c r="AQ1003" s="2"/>
      <c r="AR1003" s="2"/>
      <c r="AS1003" s="2"/>
    </row>
    <row r="1004" spans="5:45" ht="15.75" customHeight="1">
      <c r="E1004" s="2"/>
      <c r="F1004" s="2"/>
      <c r="G1004" s="2"/>
      <c r="M1004" s="2"/>
      <c r="N1004" s="2"/>
      <c r="O1004" s="2"/>
      <c r="P1004" s="2"/>
      <c r="U1004" s="2"/>
      <c r="V1004" s="2"/>
      <c r="W1004" s="2"/>
      <c r="X1004" s="2"/>
      <c r="AC1004" s="2"/>
      <c r="AI1004" s="2"/>
      <c r="AN1004" s="2"/>
      <c r="AO1004" s="2"/>
      <c r="AP1004" s="2"/>
      <c r="AQ1004" s="2"/>
      <c r="AR1004" s="2"/>
      <c r="AS1004" s="2"/>
    </row>
    <row r="1005" spans="5:45" ht="15.75" customHeight="1">
      <c r="E1005" s="2"/>
      <c r="F1005" s="2"/>
      <c r="G1005" s="2"/>
      <c r="M1005" s="2"/>
      <c r="N1005" s="2"/>
      <c r="O1005" s="2"/>
      <c r="P1005" s="2"/>
      <c r="U1005" s="2"/>
      <c r="V1005" s="2"/>
      <c r="W1005" s="2"/>
      <c r="X1005" s="2"/>
      <c r="AC1005" s="2"/>
      <c r="AI1005" s="2"/>
      <c r="AN1005" s="2"/>
      <c r="AO1005" s="2"/>
      <c r="AP1005" s="2"/>
      <c r="AQ1005" s="2"/>
      <c r="AR1005" s="2"/>
      <c r="AS1005" s="2"/>
    </row>
    <row r="1006" spans="5:45" ht="15.75" customHeight="1">
      <c r="E1006" s="2"/>
      <c r="F1006" s="2"/>
      <c r="G1006" s="2"/>
      <c r="M1006" s="2"/>
      <c r="N1006" s="2"/>
      <c r="O1006" s="2"/>
      <c r="P1006" s="2"/>
      <c r="U1006" s="2"/>
      <c r="V1006" s="2"/>
      <c r="W1006" s="2"/>
      <c r="X1006" s="2"/>
      <c r="AC1006" s="2"/>
      <c r="AI1006" s="2"/>
      <c r="AN1006" s="2"/>
      <c r="AO1006" s="2"/>
      <c r="AP1006" s="2"/>
      <c r="AQ1006" s="2"/>
      <c r="AR1006" s="2"/>
      <c r="AS1006" s="2"/>
    </row>
    <row r="1007" spans="5:45" ht="15.75" customHeight="1">
      <c r="E1007" s="2"/>
      <c r="F1007" s="2"/>
      <c r="G1007" s="2"/>
      <c r="M1007" s="2"/>
      <c r="N1007" s="2"/>
      <c r="O1007" s="2"/>
      <c r="P1007" s="2"/>
      <c r="U1007" s="2"/>
      <c r="V1007" s="2"/>
      <c r="W1007" s="2"/>
      <c r="X1007" s="2"/>
      <c r="AC1007" s="2"/>
      <c r="AI1007" s="2"/>
      <c r="AN1007" s="2"/>
      <c r="AO1007" s="2"/>
      <c r="AP1007" s="2"/>
      <c r="AQ1007" s="2"/>
      <c r="AR1007" s="2"/>
      <c r="AS1007" s="2"/>
    </row>
    <row r="1008" spans="5:45" ht="15.75" customHeight="1">
      <c r="E1008" s="2"/>
      <c r="F1008" s="2"/>
      <c r="G1008" s="2"/>
      <c r="M1008" s="2"/>
      <c r="N1008" s="2"/>
      <c r="O1008" s="2"/>
      <c r="P1008" s="2"/>
      <c r="U1008" s="2"/>
      <c r="V1008" s="2"/>
      <c r="W1008" s="2"/>
      <c r="X1008" s="2"/>
      <c r="AC1008" s="2"/>
      <c r="AI1008" s="2"/>
      <c r="AN1008" s="2"/>
      <c r="AO1008" s="2"/>
      <c r="AP1008" s="2"/>
      <c r="AQ1008" s="2"/>
      <c r="AR1008" s="2"/>
      <c r="AS1008" s="2"/>
    </row>
    <row r="1009" spans="5:45" ht="15.75" customHeight="1">
      <c r="E1009" s="2"/>
      <c r="F1009" s="2"/>
      <c r="G1009" s="2"/>
      <c r="M1009" s="2"/>
      <c r="N1009" s="2"/>
      <c r="O1009" s="2"/>
      <c r="P1009" s="2"/>
      <c r="U1009" s="2"/>
      <c r="V1009" s="2"/>
      <c r="W1009" s="2"/>
      <c r="X1009" s="2"/>
      <c r="AC1009" s="2"/>
      <c r="AI1009" s="2"/>
      <c r="AN1009" s="2"/>
      <c r="AO1009" s="2"/>
      <c r="AP1009" s="2"/>
      <c r="AQ1009" s="2"/>
      <c r="AR1009" s="2"/>
      <c r="AS1009" s="2"/>
    </row>
    <row r="1010" spans="5:45" ht="15.75" customHeight="1">
      <c r="E1010" s="2"/>
      <c r="F1010" s="2"/>
      <c r="G1010" s="2"/>
      <c r="M1010" s="2"/>
      <c r="N1010" s="2"/>
      <c r="O1010" s="2"/>
      <c r="P1010" s="2"/>
      <c r="U1010" s="2"/>
      <c r="V1010" s="2"/>
      <c r="W1010" s="2"/>
      <c r="X1010" s="2"/>
      <c r="AC1010" s="2"/>
      <c r="AI1010" s="2"/>
      <c r="AN1010" s="2"/>
      <c r="AO1010" s="2"/>
      <c r="AP1010" s="2"/>
      <c r="AQ1010" s="2"/>
      <c r="AR1010" s="2"/>
      <c r="AS1010" s="2"/>
    </row>
    <row r="1011" spans="5:45" ht="15.75" customHeight="1">
      <c r="E1011" s="2"/>
      <c r="F1011" s="2"/>
      <c r="G1011" s="2"/>
      <c r="M1011" s="2"/>
      <c r="N1011" s="2"/>
      <c r="O1011" s="2"/>
      <c r="P1011" s="2"/>
      <c r="U1011" s="2"/>
      <c r="V1011" s="2"/>
      <c r="W1011" s="2"/>
      <c r="X1011" s="2"/>
      <c r="AC1011" s="2"/>
      <c r="AI1011" s="2"/>
      <c r="AN1011" s="2"/>
      <c r="AO1011" s="2"/>
      <c r="AP1011" s="2"/>
      <c r="AQ1011" s="2"/>
      <c r="AR1011" s="2"/>
      <c r="AS1011" s="2"/>
    </row>
    <row r="1012" spans="5:45" ht="15.75" customHeight="1">
      <c r="E1012" s="2"/>
      <c r="F1012" s="2"/>
      <c r="G1012" s="2"/>
      <c r="M1012" s="2"/>
      <c r="N1012" s="2"/>
      <c r="O1012" s="2"/>
      <c r="P1012" s="2"/>
      <c r="U1012" s="2"/>
      <c r="V1012" s="2"/>
      <c r="W1012" s="2"/>
      <c r="X1012" s="2"/>
      <c r="AC1012" s="2"/>
      <c r="AI1012" s="2"/>
      <c r="AN1012" s="2"/>
      <c r="AO1012" s="2"/>
      <c r="AP1012" s="2"/>
      <c r="AQ1012" s="2"/>
      <c r="AR1012" s="2"/>
      <c r="AS1012" s="2"/>
    </row>
    <row r="1013" spans="5:45" ht="15.75" customHeight="1">
      <c r="E1013" s="2"/>
      <c r="F1013" s="2"/>
      <c r="G1013" s="2"/>
      <c r="M1013" s="2"/>
      <c r="N1013" s="2"/>
      <c r="O1013" s="2"/>
      <c r="P1013" s="2"/>
      <c r="U1013" s="2"/>
      <c r="V1013" s="2"/>
      <c r="W1013" s="2"/>
      <c r="X1013" s="2"/>
      <c r="AC1013" s="2"/>
      <c r="AI1013" s="2"/>
      <c r="AN1013" s="2"/>
      <c r="AO1013" s="2"/>
      <c r="AP1013" s="2"/>
      <c r="AQ1013" s="2"/>
      <c r="AR1013" s="2"/>
      <c r="AS1013" s="2"/>
    </row>
    <row r="1014" spans="5:45" ht="15.75" customHeight="1">
      <c r="E1014" s="2"/>
      <c r="F1014" s="2"/>
      <c r="G1014" s="2"/>
      <c r="M1014" s="2"/>
      <c r="N1014" s="2"/>
      <c r="O1014" s="2"/>
      <c r="P1014" s="2"/>
      <c r="U1014" s="2"/>
      <c r="V1014" s="2"/>
      <c r="W1014" s="2"/>
      <c r="X1014" s="2"/>
      <c r="AC1014" s="2"/>
      <c r="AI1014" s="2"/>
      <c r="AN1014" s="2"/>
      <c r="AO1014" s="2"/>
      <c r="AP1014" s="2"/>
      <c r="AQ1014" s="2"/>
      <c r="AR1014" s="2"/>
      <c r="AS1014" s="2"/>
    </row>
    <row r="1015" spans="5:45" ht="15.75" customHeight="1">
      <c r="E1015" s="2"/>
      <c r="F1015" s="2"/>
      <c r="G1015" s="2"/>
      <c r="M1015" s="2"/>
      <c r="N1015" s="2"/>
      <c r="O1015" s="2"/>
      <c r="P1015" s="2"/>
      <c r="U1015" s="2"/>
      <c r="V1015" s="2"/>
      <c r="W1015" s="2"/>
      <c r="X1015" s="2"/>
      <c r="AC1015" s="2"/>
      <c r="AI1015" s="2"/>
      <c r="AN1015" s="2"/>
      <c r="AO1015" s="2"/>
      <c r="AP1015" s="2"/>
      <c r="AQ1015" s="2"/>
      <c r="AR1015" s="2"/>
      <c r="AS1015" s="2"/>
    </row>
    <row r="1016" spans="5:45" ht="15.75" customHeight="1">
      <c r="E1016" s="2"/>
      <c r="F1016" s="2"/>
      <c r="G1016" s="2"/>
      <c r="M1016" s="2"/>
      <c r="N1016" s="2"/>
      <c r="O1016" s="2"/>
      <c r="P1016" s="2"/>
      <c r="U1016" s="2"/>
      <c r="V1016" s="2"/>
      <c r="W1016" s="2"/>
      <c r="X1016" s="2"/>
      <c r="AC1016" s="2"/>
      <c r="AI1016" s="2"/>
      <c r="AN1016" s="2"/>
      <c r="AO1016" s="2"/>
      <c r="AP1016" s="2"/>
      <c r="AQ1016" s="2"/>
      <c r="AR1016" s="2"/>
      <c r="AS1016" s="2"/>
    </row>
    <row r="1017" spans="5:45" ht="15.75" customHeight="1">
      <c r="E1017" s="2"/>
      <c r="F1017" s="2"/>
      <c r="G1017" s="2"/>
      <c r="M1017" s="2"/>
      <c r="N1017" s="2"/>
      <c r="O1017" s="2"/>
      <c r="P1017" s="2"/>
      <c r="U1017" s="2"/>
      <c r="V1017" s="2"/>
      <c r="W1017" s="2"/>
      <c r="X1017" s="2"/>
      <c r="AC1017" s="2"/>
      <c r="AI1017" s="2"/>
      <c r="AN1017" s="2"/>
      <c r="AO1017" s="2"/>
      <c r="AP1017" s="2"/>
      <c r="AQ1017" s="2"/>
      <c r="AR1017" s="2"/>
      <c r="AS1017" s="2"/>
    </row>
    <row r="1018" spans="5:45" ht="15.75" customHeight="1">
      <c r="E1018" s="2"/>
      <c r="F1018" s="2"/>
      <c r="G1018" s="2"/>
      <c r="M1018" s="2"/>
      <c r="N1018" s="2"/>
      <c r="O1018" s="2"/>
      <c r="P1018" s="2"/>
      <c r="U1018" s="2"/>
      <c r="V1018" s="2"/>
      <c r="W1018" s="2"/>
      <c r="X1018" s="2"/>
      <c r="AC1018" s="2"/>
      <c r="AI1018" s="2"/>
      <c r="AN1018" s="2"/>
      <c r="AO1018" s="2"/>
      <c r="AP1018" s="2"/>
      <c r="AQ1018" s="2"/>
      <c r="AR1018" s="2"/>
      <c r="AS1018" s="2"/>
    </row>
    <row r="1019" spans="5:45" ht="15.75" customHeight="1">
      <c r="E1019" s="2"/>
      <c r="F1019" s="2"/>
      <c r="G1019" s="2"/>
      <c r="M1019" s="2"/>
      <c r="N1019" s="2"/>
      <c r="O1019" s="2"/>
      <c r="P1019" s="2"/>
      <c r="U1019" s="2"/>
      <c r="V1019" s="2"/>
      <c r="W1019" s="2"/>
      <c r="X1019" s="2"/>
      <c r="AC1019" s="2"/>
      <c r="AI1019" s="2"/>
      <c r="AN1019" s="2"/>
      <c r="AO1019" s="2"/>
      <c r="AP1019" s="2"/>
      <c r="AQ1019" s="2"/>
      <c r="AR1019" s="2"/>
      <c r="AS1019" s="2"/>
    </row>
  </sheetData>
  <mergeCells count="9">
    <mergeCell ref="AF3:AI3"/>
    <mergeCell ref="AK3:AN3"/>
    <mergeCell ref="AP3:AS3"/>
    <mergeCell ref="B54:H93"/>
    <mergeCell ref="R3:X3"/>
    <mergeCell ref="R54:X87"/>
    <mergeCell ref="B3:H3"/>
    <mergeCell ref="J3:P3"/>
    <mergeCell ref="Z3:AD3"/>
  </mergeCells>
  <pageMargins left="0.7" right="0.7" top="0.75" bottom="0.75" header="0" footer="0"/>
  <pageSetup paperSize="9" orientation="portrait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Degrémont Entrée</vt:lpstr>
      <vt:lpstr>Degrémont sortie</vt:lpstr>
      <vt:lpstr>Bilan Station Degrémont</vt:lpstr>
      <vt:lpstr>Synthèse KPI mgL</vt:lpstr>
      <vt:lpstr>Parametres</vt:lpstr>
      <vt:lpstr>'Degrémont sortie'!DatesD</vt:lpstr>
      <vt:lpstr>DatesD</vt:lpstr>
      <vt:lpstr>Intitules</vt:lpstr>
      <vt:lpstr>Seuil2D1</vt:lpstr>
      <vt:lpstr>Seuil2D2</vt:lpstr>
      <vt:lpstr>Seuil2SH</vt:lpstr>
      <vt:lpstr>Seuil2UF1</vt:lpstr>
      <vt:lpstr>Seuil2UF2</vt:lpstr>
      <vt:lpstr>SeuilD1</vt:lpstr>
      <vt:lpstr>SeuilD2</vt:lpstr>
      <vt:lpstr>SeuilS</vt:lpstr>
      <vt:lpstr>SeuilS2</vt:lpstr>
      <vt:lpstr>SeuilSH</vt:lpstr>
      <vt:lpstr>SeuilUF1</vt:lpstr>
      <vt:lpstr>SeuilUF2</vt:lpstr>
      <vt:lpstr>UF1Flux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GREGOIRE Julie</cp:lastModifiedBy>
  <dcterms:created xsi:type="dcterms:W3CDTF">2020-01-16T07:17:02Z</dcterms:created>
  <dcterms:modified xsi:type="dcterms:W3CDTF">2020-01-16T07:17:03Z</dcterms:modified>
</cp:coreProperties>
</file>