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19320" windowHeight="15480" activeTab="6"/>
  </bookViews>
  <sheets>
    <sheet name="COMPTA" sheetId="3" r:id="rId1"/>
    <sheet name="PMF" sheetId="4" r:id="rId2"/>
    <sheet name="STATS" sheetId="5" r:id="rId3"/>
    <sheet name="TULIPE_4 1" sheetId="6" r:id="rId4"/>
    <sheet name="TULIPE_4 2" sheetId="7" r:id="rId5"/>
    <sheet name="R@CHID" sheetId="8" r:id="rId6"/>
    <sheet name="MES RECHERCHES" sheetId="9" r:id="rId7"/>
  </sheets>
  <functionGroups builtInGroupCount="17"/>
  <definedNames>
    <definedName name="Données">'MES RECHERCHES'!$A$57:$G$64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2" i="9" l="1"/>
  <c r="H74" i="9" s="1"/>
  <c r="F58" i="9"/>
  <c r="M5" i="6"/>
  <c r="C24" i="6" a="1"/>
  <c r="C24" i="6" s="1"/>
  <c r="F20" i="6"/>
  <c r="C20" i="6"/>
  <c r="D20" i="6"/>
  <c r="E20" i="6"/>
  <c r="B20" i="6"/>
  <c r="B20" i="7"/>
  <c r="C20" i="7"/>
  <c r="D20" i="7"/>
  <c r="E20" i="7"/>
  <c r="F20" i="7"/>
  <c r="M3" i="7" a="1"/>
  <c r="M3" i="7" s="1"/>
  <c r="I12" i="7" s="1"/>
  <c r="L271" i="3"/>
  <c r="L270" i="3"/>
  <c r="C12" i="8"/>
  <c r="M49" i="9"/>
  <c r="L49" i="9"/>
  <c r="K49" i="9"/>
  <c r="I49" i="9" a="1"/>
  <c r="J49" i="9" s="1"/>
  <c r="H54" i="9"/>
  <c r="H53" i="9"/>
  <c r="H51" i="9" a="1"/>
  <c r="H55" i="9" s="1"/>
  <c r="D49" i="9" a="1"/>
  <c r="F49" i="9" s="1"/>
  <c r="B52" i="9"/>
  <c r="B51" i="9"/>
  <c r="B50" i="9" a="1"/>
  <c r="B53" i="9" s="1"/>
  <c r="I41" i="9"/>
  <c r="H41" i="9"/>
  <c r="G41" i="9"/>
  <c r="F41" i="9" a="1"/>
  <c r="F41" i="9" s="1"/>
  <c r="G43" i="9" a="1"/>
  <c r="G46" i="9" s="1"/>
  <c r="G43" i="9"/>
  <c r="C265" i="3"/>
  <c r="C16" i="8"/>
  <c r="E45" i="9"/>
  <c r="D45" i="9"/>
  <c r="C45" i="9"/>
  <c r="D44" i="9"/>
  <c r="C44" i="9"/>
  <c r="B44" i="9"/>
  <c r="E43" i="9"/>
  <c r="D43" i="9"/>
  <c r="C43" i="9"/>
  <c r="B43" i="9" a="1"/>
  <c r="B45" i="9" s="1"/>
  <c r="L18" i="9" a="1"/>
  <c r="L18" i="9" s="1"/>
  <c r="F11" i="9" a="1"/>
  <c r="F11" i="9" s="1"/>
  <c r="E2" i="9" a="1"/>
  <c r="E2" i="9" s="1"/>
  <c r="D13" i="9"/>
  <c r="F3" i="8"/>
  <c r="M3" i="6" a="1"/>
  <c r="M3" i="6" s="1"/>
  <c r="M6" i="6" s="1"/>
  <c r="H76" i="9" l="1"/>
  <c r="H78" i="9" s="1"/>
  <c r="G24" i="6"/>
  <c r="F24" i="6"/>
  <c r="E24" i="6"/>
  <c r="D24" i="6"/>
  <c r="I14" i="7" a="1"/>
  <c r="I14" i="7" s="1"/>
  <c r="I13" i="7" a="1"/>
  <c r="I13" i="7" s="1"/>
  <c r="I10" i="7"/>
  <c r="I11" i="7"/>
  <c r="I49" i="9"/>
  <c r="H51" i="9"/>
  <c r="H52" i="9"/>
  <c r="D49" i="9"/>
  <c r="E49" i="9"/>
  <c r="B50" i="9"/>
  <c r="G44" i="9"/>
  <c r="G45" i="9"/>
  <c r="B43" i="9"/>
  <c r="E44" i="9"/>
  <c r="E9" i="9"/>
  <c r="E8" i="9"/>
  <c r="E7" i="9"/>
  <c r="E6" i="9"/>
  <c r="E5" i="9"/>
  <c r="E4" i="9"/>
  <c r="E11" i="9"/>
  <c r="E3" i="9"/>
  <c r="E10" i="9"/>
  <c r="I15" i="7"/>
  <c r="M11" i="7" a="1"/>
  <c r="M11" i="7" s="1"/>
  <c r="M13" i="7" a="1"/>
  <c r="M13" i="7" s="1"/>
  <c r="M10" i="7" a="1"/>
  <c r="M10" i="7" s="1"/>
  <c r="M12" i="7" a="1"/>
  <c r="M12" i="7" s="1"/>
  <c r="M9" i="7" a="1"/>
  <c r="M9" i="7" s="1"/>
  <c r="M13" i="6" a="1"/>
  <c r="M13" i="6" s="1"/>
  <c r="M9" i="6" a="1"/>
  <c r="M9" i="6" s="1"/>
  <c r="M12" i="6" a="1"/>
  <c r="M12" i="6" s="1"/>
  <c r="M8" i="6" a="1"/>
  <c r="M8" i="6" s="1"/>
  <c r="M7" i="6" a="1"/>
  <c r="M7" i="6" s="1"/>
  <c r="M10" i="6" a="1"/>
  <c r="M10" i="6" s="1"/>
  <c r="M11" i="6" a="1"/>
  <c r="M11" i="6" s="1"/>
  <c r="C269" i="3"/>
  <c r="F34" i="5"/>
  <c r="F36" i="5"/>
  <c r="F256" i="3"/>
  <c r="B253" i="3"/>
  <c r="H174" i="4"/>
  <c r="H175" i="4"/>
  <c r="H176" i="4"/>
  <c r="J176" i="4"/>
  <c r="D172" i="4"/>
  <c r="D173" i="4"/>
  <c r="D174" i="4"/>
  <c r="E175" i="4"/>
  <c r="D176" i="4"/>
  <c r="E183" i="4"/>
  <c r="E184" i="4"/>
  <c r="E181" i="4"/>
  <c r="C178" i="4"/>
  <c r="D175" i="4"/>
  <c r="D167" i="4"/>
  <c r="B168" i="4"/>
  <c r="B167" i="4"/>
  <c r="I115" i="4"/>
  <c r="I117" i="4"/>
  <c r="C107" i="4"/>
  <c r="D107" i="4"/>
  <c r="E107" i="4"/>
  <c r="E111" i="4"/>
  <c r="E112" i="4"/>
  <c r="E113" i="4"/>
  <c r="B107" i="4"/>
  <c r="K149" i="4"/>
  <c r="J149" i="4"/>
  <c r="H153" i="4"/>
  <c r="H154" i="4"/>
  <c r="G162" i="4"/>
  <c r="J153" i="4"/>
  <c r="H156" i="4"/>
  <c r="H157" i="4"/>
  <c r="I162" i="4"/>
  <c r="L153" i="4"/>
  <c r="H159" i="4"/>
  <c r="H160" i="4"/>
  <c r="J162" i="4"/>
  <c r="I165" i="4"/>
  <c r="K162" i="4"/>
  <c r="K164" i="4"/>
  <c r="I166" i="4"/>
  <c r="H158" i="4"/>
  <c r="H155" i="4"/>
  <c r="H152" i="4"/>
  <c r="I136" i="4"/>
  <c r="J136" i="4"/>
  <c r="K136" i="4"/>
  <c r="K143" i="4"/>
  <c r="L136" i="4"/>
  <c r="M136" i="4"/>
  <c r="N136" i="4"/>
  <c r="L143" i="4"/>
  <c r="N143" i="4"/>
  <c r="K145" i="4"/>
  <c r="H145" i="4"/>
  <c r="I145" i="4"/>
  <c r="N138" i="4"/>
  <c r="H143" i="4"/>
  <c r="H141" i="4"/>
  <c r="G132" i="4"/>
  <c r="G131" i="4"/>
  <c r="H131" i="4"/>
  <c r="I131" i="4"/>
  <c r="G126" i="4"/>
  <c r="G127" i="4"/>
  <c r="G128" i="4"/>
  <c r="G125" i="4"/>
  <c r="G124" i="4"/>
  <c r="M115" i="4"/>
  <c r="L122" i="4"/>
  <c r="L123" i="4"/>
  <c r="M125" i="4"/>
  <c r="M126" i="4"/>
  <c r="M127" i="4"/>
  <c r="M128" i="4"/>
  <c r="O126" i="4"/>
  <c r="L121" i="4"/>
  <c r="L118" i="4"/>
  <c r="N119" i="4"/>
  <c r="L119" i="4"/>
  <c r="N118" i="4"/>
  <c r="H116" i="4"/>
  <c r="H111" i="4"/>
  <c r="M111" i="4"/>
  <c r="H110" i="4"/>
  <c r="K111" i="4"/>
  <c r="J111" i="4"/>
  <c r="L111" i="4"/>
  <c r="O111" i="4"/>
  <c r="M102" i="4"/>
  <c r="K102" i="4"/>
  <c r="H100" i="4"/>
  <c r="H103" i="4"/>
  <c r="I105" i="4"/>
  <c r="H106" i="4"/>
  <c r="D134" i="3"/>
  <c r="G136" i="3"/>
  <c r="E136" i="3"/>
  <c r="B134" i="3"/>
  <c r="B133" i="3"/>
  <c r="B132" i="3"/>
  <c r="B131" i="3"/>
  <c r="H95" i="4"/>
  <c r="L98" i="4"/>
  <c r="N96" i="4"/>
  <c r="N95" i="4"/>
  <c r="L95" i="4"/>
  <c r="J125" i="3"/>
  <c r="K125" i="3"/>
  <c r="I126" i="3"/>
  <c r="J126" i="3"/>
  <c r="K126" i="3"/>
  <c r="I127" i="3"/>
  <c r="J127" i="3"/>
  <c r="K127" i="3"/>
  <c r="I128" i="3"/>
  <c r="J128" i="3"/>
  <c r="K128" i="3"/>
  <c r="I129" i="3"/>
  <c r="J129" i="3"/>
  <c r="H128" i="3"/>
  <c r="H127" i="3"/>
  <c r="H126" i="3"/>
  <c r="H125" i="3"/>
  <c r="L83" i="4"/>
  <c r="L86" i="4"/>
  <c r="M86" i="4"/>
  <c r="N86" i="4"/>
  <c r="L87" i="4"/>
  <c r="M80" i="4"/>
  <c r="K77" i="4"/>
  <c r="L77" i="4"/>
  <c r="N76" i="4"/>
  <c r="N75" i="4"/>
  <c r="N74" i="4"/>
  <c r="L74" i="4"/>
  <c r="M74" i="4"/>
  <c r="K76" i="4"/>
  <c r="L76" i="4"/>
  <c r="J72" i="4"/>
  <c r="K72" i="4"/>
  <c r="M67" i="4"/>
  <c r="M71" i="4"/>
  <c r="J71" i="4"/>
  <c r="E95" i="4"/>
  <c r="E94" i="4"/>
  <c r="D91" i="4"/>
  <c r="D90" i="4"/>
  <c r="D89" i="4"/>
  <c r="D88" i="4"/>
  <c r="D87" i="4"/>
  <c r="D86" i="4"/>
  <c r="D85" i="4"/>
  <c r="F87" i="4"/>
  <c r="F88" i="4"/>
  <c r="F89" i="4"/>
  <c r="F90" i="4"/>
  <c r="F91" i="4"/>
  <c r="F92" i="4"/>
  <c r="F86" i="4"/>
  <c r="F85" i="4"/>
  <c r="I88" i="4"/>
  <c r="I89" i="4"/>
  <c r="I90" i="4"/>
  <c r="I91" i="4"/>
  <c r="I92" i="4"/>
  <c r="I85" i="4"/>
  <c r="I86" i="4"/>
  <c r="I87" i="4"/>
  <c r="D51" i="4"/>
  <c r="E51" i="4"/>
  <c r="G59" i="4"/>
  <c r="G60" i="4"/>
  <c r="D59" i="4"/>
  <c r="D60" i="4"/>
  <c r="E60" i="4"/>
  <c r="D57" i="4"/>
  <c r="D50" i="4"/>
  <c r="F51" i="4"/>
  <c r="F27" i="4"/>
  <c r="C35" i="4"/>
  <c r="C36" i="4"/>
  <c r="C38" i="4"/>
  <c r="I30" i="4"/>
  <c r="I31" i="4"/>
  <c r="D30" i="4"/>
  <c r="F30" i="4"/>
  <c r="F32" i="4"/>
  <c r="D26" i="4"/>
  <c r="D27" i="4"/>
  <c r="E27" i="4"/>
  <c r="D22" i="4"/>
  <c r="D23" i="4"/>
  <c r="H23" i="4"/>
  <c r="F22" i="4"/>
  <c r="F23" i="4"/>
  <c r="F24" i="4"/>
  <c r="M72" i="3"/>
  <c r="M71" i="3"/>
  <c r="M69" i="3"/>
  <c r="R70" i="3"/>
  <c r="P70" i="3"/>
  <c r="P68" i="3"/>
  <c r="Q68" i="3"/>
  <c r="S66" i="3"/>
  <c r="Q66" i="3"/>
  <c r="T66" i="3"/>
  <c r="P65" i="3"/>
  <c r="Q65" i="3"/>
  <c r="I71" i="3"/>
  <c r="J69" i="3"/>
  <c r="I63" i="3"/>
  <c r="G66" i="3"/>
  <c r="I67" i="3"/>
  <c r="J67" i="3"/>
</calcChain>
</file>

<file path=xl/sharedStrings.xml><?xml version="1.0" encoding="utf-8"?>
<sst xmlns="http://schemas.openxmlformats.org/spreadsheetml/2006/main" count="693" uniqueCount="391">
  <si>
    <t xml:space="preserve">Classes </t>
  </si>
  <si>
    <t>Tiers</t>
  </si>
  <si>
    <t>Capital</t>
  </si>
  <si>
    <t>Immos</t>
  </si>
  <si>
    <t>Banque</t>
  </si>
  <si>
    <t>Charges</t>
  </si>
  <si>
    <t>Produits</t>
  </si>
  <si>
    <t>Stocks</t>
  </si>
  <si>
    <t>Capitaux propres</t>
  </si>
  <si>
    <t>Banque, VPM --&gt;</t>
  </si>
  <si>
    <t>COMPTES FINANCERs</t>
  </si>
  <si>
    <t>Un actif est un élément identifiable du patrimoine</t>
  </si>
  <si>
    <t>Dont on attend des avantages futurs</t>
  </si>
  <si>
    <t>Forte probabilité de donner ces avantages futurs</t>
  </si>
  <si>
    <t>Impots</t>
  </si>
  <si>
    <t>Résultat</t>
  </si>
  <si>
    <t>Intérêts dus</t>
  </si>
  <si>
    <t>payement des sszervices internes et externes</t>
  </si>
  <si>
    <t>Produits de la vente</t>
  </si>
  <si>
    <t>Intérêts reçus</t>
  </si>
  <si>
    <t xml:space="preserve">Principe de prudence </t>
  </si>
  <si>
    <t>Appréciation raisonnable des faits</t>
  </si>
  <si>
    <t>Afin d'éviter le risque de transfert sur l'avenir d'incertitudes présentes pouvant greffer le patrimoine de l'entreprise</t>
  </si>
  <si>
    <t>Produits constatés d'avance :</t>
  </si>
  <si>
    <t>exemple :</t>
  </si>
  <si>
    <t>Une livraison de nos produits avec facture émise, mais paiemet non reçu encore</t>
  </si>
  <si>
    <t>Régularité</t>
  </si>
  <si>
    <t>Sincérité</t>
  </si>
  <si>
    <t>Image fidèle</t>
  </si>
  <si>
    <t>Régularité:</t>
  </si>
  <si>
    <t>Image fidèle :</t>
  </si>
  <si>
    <t>l'image doit être proche de la réalité économique, apprécier la réalité</t>
  </si>
  <si>
    <t>sincérité : bonne foi, loyal</t>
  </si>
  <si>
    <t>Principe de PRUDENCE :</t>
  </si>
  <si>
    <t>Appréciation raisonnable des faits afin d'éviter le transfert sur l'avenir d'éléments présents suceptibles de grever le patrimoine de l'ets.</t>
  </si>
  <si>
    <t>Entreprise</t>
  </si>
  <si>
    <t>Cotée</t>
  </si>
  <si>
    <t>IFRS</t>
  </si>
  <si>
    <t>non cotée</t>
  </si>
  <si>
    <t>Optin IFRS</t>
  </si>
  <si>
    <t>"+" PCG</t>
  </si>
  <si>
    <t>Groupe</t>
  </si>
  <si>
    <t>Seule</t>
  </si>
  <si>
    <t>PCG</t>
  </si>
  <si>
    <t>Loyal, de bonne foi</t>
  </si>
  <si>
    <t>Représente bien la situation économique de l'entreprise</t>
  </si>
  <si>
    <t>Conformité aux règles</t>
  </si>
  <si>
    <t>Actif : élément identifiable du patrimoine, que l'entreprise CONTRÔLE et dont elle attend des AVANTAGES FUTURS ECONOMIQUES</t>
  </si>
  <si>
    <t>Valeur économique positiv</t>
  </si>
  <si>
    <t>Element identifiable du patrimoine</t>
  </si>
  <si>
    <t>val économique positive</t>
  </si>
  <si>
    <t>générant une ressource que l'ets contrôle du fait d'évé passés</t>
  </si>
  <si>
    <t>et dont elle attend avantages futurs</t>
  </si>
  <si>
    <t>Compte financier</t>
  </si>
  <si>
    <t>stocks</t>
  </si>
  <si>
    <t>tiers</t>
  </si>
  <si>
    <t>Captiaux</t>
  </si>
  <si>
    <t>charges</t>
  </si>
  <si>
    <t>produtis</t>
  </si>
  <si>
    <t>de grever le patrimoine de l'ets</t>
  </si>
  <si>
    <t>Appréciation raisonnable des faits afin d'éviter lerisque de transfert sur l'avenir d'incertitudes suscpetible</t>
  </si>
  <si>
    <t>Nominal</t>
  </si>
  <si>
    <t>Maturité</t>
  </si>
  <si>
    <t>Facial rate</t>
  </si>
  <si>
    <t>A l'échéance remboursement des intérêts capitalisés chaque année et du capital</t>
  </si>
  <si>
    <t>Calcul des intérêts</t>
  </si>
  <si>
    <t xml:space="preserve">Les intérêts sont de </t>
  </si>
  <si>
    <t>chaque année</t>
  </si>
  <si>
    <t>Suite géométrique</t>
  </si>
  <si>
    <t>Remboursement total :</t>
  </si>
  <si>
    <t>En millions :</t>
  </si>
  <si>
    <t>750*1,068^12</t>
  </si>
  <si>
    <t>Classes :</t>
  </si>
  <si>
    <t>Comptes financiers</t>
  </si>
  <si>
    <t>Immo</t>
  </si>
  <si>
    <t>Copte de capitaux propres et emprunts</t>
  </si>
  <si>
    <t>Vo =</t>
  </si>
  <si>
    <t>+</t>
  </si>
  <si>
    <t>Actif : élément identifiable du patrimoine</t>
  </si>
  <si>
    <t>sur lequel l'entreprise à un certain contrôle</t>
  </si>
  <si>
    <t>Dont elle attend des avantages économiques futurs</t>
  </si>
  <si>
    <t xml:space="preserve">Les frais de développement : </t>
  </si>
  <si>
    <t>Préferentiellement, on les active</t>
  </si>
  <si>
    <t>On peut aussi les passer en charges.</t>
  </si>
  <si>
    <t>La valeur recouvrable est le maximum entre la valeur de marché  (revente) et la valeur d'utilité pour l'ets.</t>
  </si>
  <si>
    <t>Actif :</t>
  </si>
  <si>
    <t>générant des ressources que l'entreprise contrôle du fait d'événements passés</t>
  </si>
  <si>
    <t>Et dont elle attend una vantage économique pour l'avenir.</t>
  </si>
  <si>
    <t>ET VALEUR ECONOMIQUE POSITIVE</t>
  </si>
  <si>
    <t>Element identifiable du patrimoine ayant une valeur positive pour l'entreprise, générant une ressource que l'ets contrôle du fait d'événements passés, et dont elle attend pour l'avenir un avantage économique.</t>
  </si>
  <si>
    <t>Que l'entreprise contrôle</t>
  </si>
  <si>
    <t>Dont elle attend un avantage économique futur</t>
  </si>
  <si>
    <t>ayant une valeur positive</t>
  </si>
  <si>
    <t>Calcul méthode 1</t>
  </si>
  <si>
    <t>Calcul méthode 2</t>
  </si>
  <si>
    <t>Taux</t>
  </si>
  <si>
    <t>Périodes</t>
  </si>
  <si>
    <t>1/1+i :</t>
  </si>
  <si>
    <t>Val totale</t>
  </si>
  <si>
    <t>Une mensualité</t>
  </si>
  <si>
    <t>Total</t>
  </si>
  <si>
    <t>Nomi</t>
  </si>
  <si>
    <t>mensualité :</t>
  </si>
  <si>
    <t>Marchés organisés</t>
  </si>
  <si>
    <t>Produits standardisés</t>
  </si>
  <si>
    <t>Autorité de régulation</t>
  </si>
  <si>
    <t>Monopole de négociation</t>
  </si>
  <si>
    <t>Liquidité</t>
  </si>
  <si>
    <t>De gré à gré</t>
  </si>
  <si>
    <t>Produits sur mesure</t>
  </si>
  <si>
    <t>Pas d'autorité de régulation</t>
  </si>
  <si>
    <t>N'importe qui peut négocier</t>
  </si>
  <si>
    <t>Système centralisé de négociation</t>
  </si>
  <si>
    <t>pas de système centralisé de négociatoin</t>
  </si>
  <si>
    <t>Proportion</t>
  </si>
  <si>
    <t>A</t>
  </si>
  <si>
    <t>B</t>
  </si>
  <si>
    <t>C</t>
  </si>
  <si>
    <t>Renta</t>
  </si>
  <si>
    <t>Coeff</t>
  </si>
  <si>
    <t>R = (A+C)/2</t>
  </si>
  <si>
    <t>Espérance :</t>
  </si>
  <si>
    <t>Variance :</t>
  </si>
  <si>
    <t>EcType</t>
  </si>
  <si>
    <t xml:space="preserve">EcType </t>
  </si>
  <si>
    <t>%</t>
  </si>
  <si>
    <t>La BCE est composée de</t>
  </si>
  <si>
    <t>Conseil des gouverneurs</t>
  </si>
  <si>
    <t>Directoir</t>
  </si>
  <si>
    <t>Conseil général</t>
  </si>
  <si>
    <t>Chargé de l'exécutif</t>
  </si>
  <si>
    <t>Chargé de la mise en place de la politique</t>
  </si>
  <si>
    <t>Chargé de prendre les décisions</t>
  </si>
  <si>
    <t>TCN :</t>
  </si>
  <si>
    <t>Bons de Trésor</t>
  </si>
  <si>
    <t>Billets de Tréso</t>
  </si>
  <si>
    <t>Certificats de dépôt</t>
  </si>
  <si>
    <t xml:space="preserve">A MT : </t>
  </si>
  <si>
    <t>A CT :</t>
  </si>
  <si>
    <t>BTAN</t>
  </si>
  <si>
    <t>EMTN</t>
  </si>
  <si>
    <t>Couts explicites</t>
  </si>
  <si>
    <t>Couts implicites</t>
  </si>
  <si>
    <t>Fourchette</t>
  </si>
  <si>
    <t>Cout d'opportunité de temps</t>
  </si>
  <si>
    <t>Couts d analyse</t>
  </si>
  <si>
    <t>Couts de conservation</t>
  </si>
  <si>
    <t>Couts de négociation</t>
  </si>
  <si>
    <t>Achat</t>
  </si>
  <si>
    <t>Cumul achat</t>
  </si>
  <si>
    <t>Cours</t>
  </si>
  <si>
    <t>Cumul vente</t>
  </si>
  <si>
    <t>Vente</t>
  </si>
  <si>
    <t xml:space="preserve">COURS </t>
  </si>
  <si>
    <t>Conditions d'activation des frais de R&amp;D</t>
  </si>
  <si>
    <t xml:space="preserve"> 1/ projet nettement individualisé</t>
  </si>
  <si>
    <t>2/ Avec un coût distinctement établi dans le temps</t>
  </si>
  <si>
    <t>3/ sérieuses chances de réussite technique et de rentabilité</t>
  </si>
  <si>
    <t>Si ces trois conditions sont réunies, alors on peut activer les frais de R&amp;D</t>
  </si>
  <si>
    <t>3 conditions pour activer les frias de RD</t>
  </si>
  <si>
    <t>Un projet nettement individualisé</t>
  </si>
  <si>
    <t>Coût distinctement établi dans le temps</t>
  </si>
  <si>
    <t>Sérieuses chances de réussites techniques et de renta commerciale</t>
  </si>
  <si>
    <t>Principe d'éthique :</t>
  </si>
  <si>
    <t>. image fidèle</t>
  </si>
  <si>
    <t>. Sincérité</t>
  </si>
  <si>
    <t>.régularité</t>
  </si>
  <si>
    <t>Suis les règles comptables établies</t>
  </si>
  <si>
    <t>Représentation fidèle de l'entreprise dans le paysage économique</t>
  </si>
  <si>
    <t xml:space="preserve">De bonne foi, </t>
  </si>
  <si>
    <t>loyal</t>
  </si>
  <si>
    <t>Principe de Prudence :</t>
  </si>
  <si>
    <t>éviter le risque de transfert sur l'avenir d'incertitudes présentes ayant une probabilité non nulle de grever le patrimoine de l'ets</t>
  </si>
  <si>
    <t>Capitaux propres emprunts</t>
  </si>
  <si>
    <t>Banque et comptes fin</t>
  </si>
  <si>
    <t>Intérêts mensuels :</t>
  </si>
  <si>
    <t>309/365 :</t>
  </si>
  <si>
    <t>cc1</t>
  </si>
  <si>
    <t>CC2</t>
  </si>
  <si>
    <t>cc3 + Remb</t>
  </si>
  <si>
    <t>Somme</t>
  </si>
  <si>
    <t>La valeur recouvrable est la valeur la plus grande entre</t>
  </si>
  <si>
    <t>La valeur de revente sur le marché</t>
  </si>
  <si>
    <t>La valeur d'usage pour l'ets</t>
  </si>
  <si>
    <t>COMPTABILITE D'ENGAGEMENT</t>
  </si>
  <si>
    <t>Comptes :</t>
  </si>
  <si>
    <t>101 capital</t>
  </si>
  <si>
    <t>16 emprunt</t>
  </si>
  <si>
    <t>401 fournisseurs</t>
  </si>
  <si>
    <t>411 clients</t>
  </si>
  <si>
    <t>532 caisse</t>
  </si>
  <si>
    <t>512 banque</t>
  </si>
  <si>
    <t>Ammortissement dégressif</t>
  </si>
  <si>
    <t>Année</t>
  </si>
  <si>
    <t>N+5 =</t>
  </si>
  <si>
    <t>Taux dégressif</t>
  </si>
  <si>
    <t>Taux lin équi</t>
  </si>
  <si>
    <t>Premier am</t>
  </si>
  <si>
    <t>Base de calcul</t>
  </si>
  <si>
    <t>Annuité</t>
  </si>
  <si>
    <t>VNC</t>
  </si>
  <si>
    <t>Maturité (mois)</t>
  </si>
  <si>
    <t>Il revend au bout de 45 jours (1,5 mois)</t>
  </si>
  <si>
    <t xml:space="preserve">Taux actuariel à ce jour : </t>
  </si>
  <si>
    <t>Taux facial</t>
  </si>
  <si>
    <t>Sur l'année il aurait gagné :</t>
  </si>
  <si>
    <t xml:space="preserve"> </t>
  </si>
  <si>
    <t>Prix après émission :</t>
  </si>
  <si>
    <t>Taux 6 mois :</t>
  </si>
  <si>
    <t>Taux 1 an :</t>
  </si>
  <si>
    <t>Nominal :</t>
  </si>
  <si>
    <t>Intérêts 6mois :</t>
  </si>
  <si>
    <t>Somme des intérêts capitalisés :</t>
  </si>
  <si>
    <t>Somme total :</t>
  </si>
  <si>
    <t>Environ bon mais pas sûr 100%</t>
  </si>
  <si>
    <t>Coupon</t>
  </si>
  <si>
    <t>Taux d'actu</t>
  </si>
  <si>
    <t xml:space="preserve">Nombre de jours </t>
  </si>
  <si>
    <t>Coupon 1</t>
  </si>
  <si>
    <t>Coupon 2</t>
  </si>
  <si>
    <t>Coupon 3</t>
  </si>
  <si>
    <t>Remboursement</t>
  </si>
  <si>
    <t>Taux 1/2</t>
  </si>
  <si>
    <t>BCE</t>
  </si>
  <si>
    <t>Directoire</t>
  </si>
  <si>
    <t xml:space="preserve">DPS : </t>
  </si>
  <si>
    <t>Prix</t>
  </si>
  <si>
    <t>Nbre de jours</t>
  </si>
  <si>
    <t>Taux +1 :</t>
  </si>
  <si>
    <t>22/365</t>
  </si>
  <si>
    <t>Coupon 9</t>
  </si>
  <si>
    <t>Coupon 10</t>
  </si>
  <si>
    <t>Coupon 11</t>
  </si>
  <si>
    <t>Remboursement 11</t>
  </si>
  <si>
    <t>Somme actualisée</t>
  </si>
  <si>
    <t>(Donc le prix)</t>
  </si>
  <si>
    <t>Intérêt</t>
  </si>
  <si>
    <t>3 ans à 6% puis à 7</t>
  </si>
  <si>
    <t>à 6%</t>
  </si>
  <si>
    <t>E(P)</t>
  </si>
  <si>
    <t>EcT(P)</t>
  </si>
  <si>
    <t>E(A)</t>
  </si>
  <si>
    <t>EcT(A)</t>
  </si>
  <si>
    <t>E(B)</t>
  </si>
  <si>
    <t>EcT(B)</t>
  </si>
  <si>
    <t xml:space="preserve">V(B) </t>
  </si>
  <si>
    <t>V(A)</t>
  </si>
  <si>
    <t>V(P)</t>
  </si>
  <si>
    <t>p</t>
  </si>
  <si>
    <t>1-p</t>
  </si>
  <si>
    <t>Donc le portefeuille :</t>
  </si>
  <si>
    <t>1,15 A - 0,15 B</t>
  </si>
  <si>
    <t>=</t>
  </si>
  <si>
    <t>RHO =</t>
  </si>
  <si>
    <t>bières manche</t>
  </si>
  <si>
    <t>bière village</t>
  </si>
  <si>
    <t>miam</t>
  </si>
  <si>
    <t>Aurèle me doit</t>
  </si>
  <si>
    <t>tot</t>
  </si>
  <si>
    <t>Et + bouffe midi : 6</t>
  </si>
  <si>
    <t>j 2 :</t>
  </si>
  <si>
    <t>4.5 e pintes</t>
  </si>
  <si>
    <t xml:space="preserve"> mais -1.3 (déj sandwitch)</t>
  </si>
  <si>
    <t>j3 :</t>
  </si>
  <si>
    <t>2,3 petit dej</t>
  </si>
  <si>
    <t>Mes dépenses</t>
  </si>
  <si>
    <t>moins biere manche</t>
  </si>
  <si>
    <t>DPS</t>
  </si>
  <si>
    <t xml:space="preserve">avec un nominal de 220 €, remboursable au pair et payant chaque année un intérêt de 8 % du nominal </t>
  </si>
  <si>
    <t>si les taux d'intérêt pour le même type de titre sont de 7 % ?</t>
  </si>
  <si>
    <t>Quel est, en date du 17/03/2018, le prix d'une obligation émise le 16/03/2014 et remboursable le 16/03/2024</t>
  </si>
  <si>
    <t>Coupon courru :</t>
  </si>
  <si>
    <t>Suite annuité :</t>
  </si>
  <si>
    <t>Remboursement :</t>
  </si>
  <si>
    <t>E</t>
  </si>
  <si>
    <t>Indépendance des exercices</t>
  </si>
  <si>
    <t>ectype</t>
  </si>
  <si>
    <t>Continuité de l'exploitation</t>
  </si>
  <si>
    <t>Intérêt sur un an</t>
  </si>
  <si>
    <t>Permanence des méthodes comptables</t>
  </si>
  <si>
    <t>Simple</t>
  </si>
  <si>
    <t xml:space="preserve">Coef </t>
  </si>
  <si>
    <t>Composé</t>
  </si>
  <si>
    <t>Prop</t>
  </si>
  <si>
    <t>E port:</t>
  </si>
  <si>
    <t xml:space="preserve">Renta : </t>
  </si>
  <si>
    <t>Var :</t>
  </si>
  <si>
    <t xml:space="preserve">V(0.4A + 0.6B) = </t>
  </si>
  <si>
    <t>Var =</t>
  </si>
  <si>
    <t>EcType :</t>
  </si>
  <si>
    <t>Jean</t>
  </si>
  <si>
    <t>Pierre</t>
  </si>
  <si>
    <t>Louis</t>
  </si>
  <si>
    <t>Marie</t>
  </si>
  <si>
    <t>JEAN</t>
  </si>
  <si>
    <t>PAUL</t>
  </si>
  <si>
    <t>ROUVE</t>
  </si>
  <si>
    <t>LOUIS</t>
  </si>
  <si>
    <t>CELINE</t>
  </si>
  <si>
    <t>CELIA</t>
  </si>
  <si>
    <t>Eleve</t>
  </si>
  <si>
    <t>Note</t>
  </si>
  <si>
    <t>Matière</t>
  </si>
  <si>
    <t>Etudiant</t>
  </si>
  <si>
    <t>Base données</t>
  </si>
  <si>
    <t>Excel</t>
  </si>
  <si>
    <t>VBA</t>
  </si>
  <si>
    <t>Anglais</t>
  </si>
  <si>
    <t>Info</t>
  </si>
  <si>
    <t>Projet</t>
  </si>
  <si>
    <t>Index renvoie la valeur selon num ligne et num col</t>
  </si>
  <si>
    <t>Equiv donne la valeur selon une donnée (ici l'élève) et un tableau</t>
  </si>
  <si>
    <t>Je dois d'abord trouver partant de LOUIS dans le tableau sa ligne</t>
  </si>
  <si>
    <t>Ligne de Louis :</t>
  </si>
  <si>
    <t>Je veux l'élève qui a eu la meilleure note :</t>
  </si>
  <si>
    <t>en info :</t>
  </si>
  <si>
    <t xml:space="preserve">Capitaux propres </t>
  </si>
  <si>
    <t>Résultats</t>
  </si>
  <si>
    <t>RechV</t>
  </si>
  <si>
    <t>RechH</t>
  </si>
  <si>
    <t>Moins bonne note en VBA :</t>
  </si>
  <si>
    <t>Chercher la ligne :</t>
  </si>
  <si>
    <t>Chercher la col VBA :</t>
  </si>
  <si>
    <t>Chercher la moins bonne note :</t>
  </si>
  <si>
    <t>Gré à gré</t>
  </si>
  <si>
    <t>Organisés</t>
  </si>
  <si>
    <t>Pas de produits standardisés</t>
  </si>
  <si>
    <t>prod standardisés</t>
  </si>
  <si>
    <t>Pas d'autorité de tutelle</t>
  </si>
  <si>
    <t>Autorité de tutelle</t>
  </si>
  <si>
    <t>Centralisation</t>
  </si>
  <si>
    <t>Moins bonne note en</t>
  </si>
  <si>
    <t>EQUIV(D33;B19:H19)</t>
  </si>
  <si>
    <t>INDEX(B19:H26;F35;F34;)</t>
  </si>
  <si>
    <t>(formule :</t>
  </si>
  <si>
    <t>Là, il faudrait que je puisse rech le min des données de la COLONNE 4 du tableau, et en renvoyer la ligne !</t>
  </si>
  <si>
    <t xml:space="preserve">formule </t>
  </si>
  <si>
    <t>vba</t>
  </si>
  <si>
    <t>tcd</t>
  </si>
  <si>
    <t xml:space="preserve">info </t>
  </si>
  <si>
    <t>projet</t>
  </si>
  <si>
    <t xml:space="preserve">les vides ne  sont pas pris en compte </t>
  </si>
  <si>
    <t>tulipe1</t>
  </si>
  <si>
    <t xml:space="preserve">la moins bonne note en </t>
  </si>
  <si>
    <t>tulipe2</t>
  </si>
  <si>
    <t>tulipe3</t>
  </si>
  <si>
    <t>and the winner is (are)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</si>
  <si>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</si>
  <si>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</si>
  <si>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</si>
  <si>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</si>
  <si>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</si>
  <si>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</si>
  <si>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</si>
  <si>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</si>
  <si>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</si>
  <si>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sans validation matricielle</t>
  </si>
  <si>
    <t>Vendeur</t>
  </si>
  <si>
    <t>Prix unitaire</t>
  </si>
  <si>
    <t>Jacques</t>
  </si>
  <si>
    <t>Berline</t>
  </si>
  <si>
    <t>Coupé</t>
  </si>
  <si>
    <t>Osorio</t>
  </si>
  <si>
    <t>Thierry</t>
  </si>
  <si>
    <t>Antoine</t>
  </si>
  <si>
    <t>Durrer</t>
  </si>
  <si>
    <t>Formule (total général)</t>
  </si>
  <si>
    <t>Total général</t>
  </si>
  <si>
    <t>'=SOMME(C2:C11*D2:D11)</t>
  </si>
  <si>
    <t>Total des ventes</t>
  </si>
  <si>
    <t>Mangel</t>
  </si>
  <si>
    <t>Garcia</t>
  </si>
  <si>
    <t>Gregor</t>
  </si>
  <si>
    <t>D</t>
  </si>
  <si>
    <t xml:space="preserve">Moins bonne note en </t>
  </si>
  <si>
    <t>Revoie le minimum de la valeur entrée en K3</t>
  </si>
  <si>
    <r>
      <t>=SIERREUR(INDEX(A$3:A$14;PETITE.VALEUR(SI(</t>
    </r>
    <r>
      <rPr>
        <sz val="11"/>
        <color theme="2" tint="-0.499984740745262"/>
        <rFont val="Calibri"/>
        <family val="2"/>
        <scheme val="minor"/>
      </rPr>
      <t>DECALER(B$3:B$14;;</t>
    </r>
    <r>
      <rPr>
        <sz val="11"/>
        <color rgb="FFFF0000"/>
        <rFont val="Calibri"/>
        <family val="2"/>
        <scheme val="minor"/>
      </rPr>
      <t>EQUIV(K$3;B$2:F$2;0)</t>
    </r>
    <r>
      <rPr>
        <sz val="11"/>
        <color theme="2" tint="-0.499984740745262"/>
        <rFont val="Calibri"/>
        <family val="2"/>
        <scheme val="minor"/>
      </rPr>
      <t>-1;)=M$3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LIGNE(A$3:A$14)</t>
    </r>
    <r>
      <rPr>
        <sz val="11"/>
        <color theme="1"/>
        <rFont val="Calibri"/>
        <family val="2"/>
        <scheme val="minor"/>
      </rPr>
      <t>-2;"");</t>
    </r>
    <r>
      <rPr>
        <sz val="11"/>
        <color rgb="FFFF0000"/>
        <rFont val="Calibri"/>
        <family val="2"/>
        <scheme val="minor"/>
      </rPr>
      <t>LIGNE($A1)</t>
    </r>
    <r>
      <rPr>
        <sz val="11"/>
        <color theme="6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>);"")</t>
    </r>
  </si>
  <si>
    <t>Je cherche :</t>
  </si>
  <si>
    <t>Et qui l'a eue</t>
  </si>
  <si>
    <r>
      <t>Voiture</t>
    </r>
    <r>
      <rPr>
        <sz val="18"/>
        <color theme="1"/>
        <rFont val="Calibri"/>
        <family val="2"/>
        <scheme val="minor"/>
      </rPr>
      <t xml:space="preserve"> type</t>
    </r>
  </si>
  <si>
    <r>
      <t>Numéro de</t>
    </r>
    <r>
      <rPr>
        <sz val="18"/>
        <color theme="1"/>
        <rFont val="Calibri"/>
        <family val="2"/>
        <scheme val="minor"/>
      </rPr>
      <t xml:space="preserve"> vendues</t>
    </r>
  </si>
  <si>
    <t>Recherche de la colonne VBA :</t>
  </si>
  <si>
    <r>
      <t>(Obtenu grace à : =</t>
    </r>
    <r>
      <rPr>
        <sz val="18"/>
        <color rgb="FFFF0000"/>
        <rFont val="Calibri"/>
        <family val="2"/>
        <scheme val="minor"/>
      </rPr>
      <t>EQUIV(E77;</t>
    </r>
    <r>
      <rPr>
        <sz val="18"/>
        <color rgb="FF00B0F0"/>
        <rFont val="Calibri"/>
        <family val="2"/>
        <scheme val="minor"/>
      </rPr>
      <t>DECALER(Données;0;0;1;</t>
    </r>
    <r>
      <rPr>
        <sz val="18"/>
        <color theme="2" tint="-0.499984740745262"/>
        <rFont val="Calibri"/>
        <family val="2"/>
        <scheme val="minor"/>
      </rPr>
      <t>COLONNES(Données)</t>
    </r>
    <r>
      <rPr>
        <sz val="18"/>
        <color rgb="FF00B0F0"/>
        <rFont val="Calibri"/>
        <family val="2"/>
        <scheme val="minor"/>
      </rPr>
      <t>)</t>
    </r>
    <r>
      <rPr>
        <sz val="18"/>
        <color rgb="FFFF0000"/>
        <rFont val="Calibri"/>
        <family val="2"/>
        <scheme val="minor"/>
      </rPr>
      <t>)</t>
    </r>
    <r>
      <rPr>
        <sz val="18"/>
        <color theme="1"/>
        <rFont val="Calibri"/>
        <family val="2"/>
        <scheme val="minor"/>
      </rPr>
      <t xml:space="preserve">     )</t>
    </r>
  </si>
  <si>
    <t>Recherche de la ligne correspondante :</t>
  </si>
  <si>
    <t>NB : j'aurais des soucis s'il y a plusieurs meilleures notes, auquel cas si je comprends bien il faut que j'utilise la fonction donnée par Tulipe_4, Grandes.valeur()</t>
  </si>
  <si>
    <t xml:space="preserve">J'en suis là, j'ai déjà bien progressé </t>
  </si>
  <si>
    <t>Recherche du MAX dans cette colonne :</t>
  </si>
  <si>
    <t>Recherche du nom :</t>
  </si>
  <si>
    <t>(obtenu grace à =INDEX(Données;H76;1) )</t>
  </si>
  <si>
    <r>
      <t>(Obtenu grace à :</t>
    </r>
    <r>
      <rPr>
        <sz val="18"/>
        <color rgb="FFFF0000"/>
        <rFont val="Calibri"/>
        <family val="2"/>
        <scheme val="minor"/>
      </rPr>
      <t xml:space="preserve"> =MAX</t>
    </r>
    <r>
      <rPr>
        <sz val="18"/>
        <color theme="1"/>
        <rFont val="Calibri"/>
        <family val="2"/>
        <scheme val="minor"/>
      </rPr>
      <t>(</t>
    </r>
    <r>
      <rPr>
        <sz val="18"/>
        <color rgb="FF00B0F0"/>
        <rFont val="Calibri"/>
        <family val="2"/>
        <scheme val="minor"/>
      </rPr>
      <t>DECALER(Données;0;</t>
    </r>
    <r>
      <rPr>
        <sz val="18"/>
        <color theme="9" tint="-0.499984740745262"/>
        <rFont val="Calibri"/>
        <family val="2"/>
        <scheme val="minor"/>
      </rPr>
      <t>H72</t>
    </r>
    <r>
      <rPr>
        <sz val="18"/>
        <color rgb="FF00B0F0"/>
        <rFont val="Calibri"/>
        <family val="2"/>
        <scheme val="minor"/>
      </rPr>
      <t>;</t>
    </r>
    <r>
      <rPr>
        <sz val="18"/>
        <color theme="2" tint="-0.499984740745262"/>
        <rFont val="Calibri"/>
        <family val="2"/>
        <scheme val="minor"/>
      </rPr>
      <t>LIGNES(Données)</t>
    </r>
    <r>
      <rPr>
        <sz val="18"/>
        <color rgb="FF00B0F0"/>
        <rFont val="Calibri"/>
        <family val="2"/>
        <scheme val="minor"/>
      </rPr>
      <t>;1)</t>
    </r>
    <r>
      <rPr>
        <sz val="18"/>
        <color rgb="FFFF0000"/>
        <rFont val="Calibri"/>
        <family val="2"/>
        <scheme val="minor"/>
      </rPr>
      <t>)</t>
    </r>
    <r>
      <rPr>
        <sz val="18"/>
        <color theme="1"/>
        <rFont val="Calibri"/>
        <family val="2"/>
        <scheme val="minor"/>
      </rPr>
      <t xml:space="preserve">    )</t>
    </r>
  </si>
  <si>
    <r>
      <t xml:space="preserve">(Obtenu grace à : </t>
    </r>
    <r>
      <rPr>
        <sz val="18"/>
        <color rgb="FF00B0F0"/>
        <rFont val="Calibri"/>
        <family val="2"/>
        <scheme val="minor"/>
      </rPr>
      <t>=EQUIV(</t>
    </r>
    <r>
      <rPr>
        <sz val="18"/>
        <color theme="1"/>
        <rFont val="Calibri"/>
        <family val="2"/>
        <scheme val="minor"/>
      </rPr>
      <t>H74;</t>
    </r>
    <r>
      <rPr>
        <sz val="18"/>
        <color rgb="FF00B050"/>
        <rFont val="Calibri"/>
        <family val="2"/>
        <scheme val="minor"/>
      </rPr>
      <t>DECALER(Données;0;H72-1;</t>
    </r>
    <r>
      <rPr>
        <sz val="18"/>
        <color theme="9" tint="-0.499984740745262"/>
        <rFont val="Calibri"/>
        <family val="2"/>
        <scheme val="minor"/>
      </rPr>
      <t>LIGNES(Données)</t>
    </r>
    <r>
      <rPr>
        <sz val="18"/>
        <color rgb="FF00B050"/>
        <rFont val="Calibri"/>
        <family val="2"/>
        <scheme val="minor"/>
      </rPr>
      <t>;1)</t>
    </r>
    <r>
      <rPr>
        <sz val="18"/>
        <color rgb="FF00B0F0"/>
        <rFont val="Calibri"/>
        <family val="2"/>
        <scheme val="minor"/>
      </rPr>
      <t>;0)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</si>
</sst>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scheme val="minor"/>
    </font>
    <font>
      <sz val="18"/>
      <color theme="1"/>
      <name val="Calibri"/>
      <scheme val="minor"/>
    </font>
    <font>
      <sz val="12"/>
      <color rgb="FF000000"/>
      <name val="Lucida Grande"/>
    </font>
    <font>
      <sz val="20"/>
      <color indexed="8"/>
      <name val="Calibri"/>
      <scheme val="minor"/>
    </font>
    <font>
      <sz val="18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rgb="FFFF0000"/>
      <name val="Calibri"/>
      <scheme val="minor"/>
    </font>
    <font>
      <sz val="11"/>
      <color rgb="FF000000"/>
      <name val="Calibri"/>
      <family val="2"/>
      <scheme val="minor"/>
    </font>
    <font>
      <sz val="18"/>
      <color theme="6" tint="-0.249977111117893"/>
      <name val="Calibri"/>
      <scheme val="minor"/>
    </font>
    <font>
      <sz val="18"/>
      <color theme="7" tint="-0.249977111117893"/>
      <name val="Calibri"/>
      <scheme val="minor"/>
    </font>
    <font>
      <sz val="18"/>
      <color theme="9" tint="-0.249977111117893"/>
      <name val="Calibri"/>
      <scheme val="minor"/>
    </font>
    <font>
      <sz val="20"/>
      <color rgb="FF000000"/>
      <name val="Calibri"/>
      <scheme val="minor"/>
    </font>
    <font>
      <sz val="20"/>
      <color theme="1"/>
      <name val="Calibri"/>
      <scheme val="minor"/>
    </font>
    <font>
      <sz val="20"/>
      <color rgb="FFFF0000"/>
      <name val="Calibri"/>
      <scheme val="minor"/>
    </font>
    <font>
      <sz val="20"/>
      <color rgb="FF76933C"/>
      <name val="Calibri"/>
      <scheme val="minor"/>
    </font>
    <font>
      <sz val="20"/>
      <color rgb="FFE26B0A"/>
      <name val="Calibri"/>
      <scheme val="minor"/>
    </font>
    <font>
      <sz val="20"/>
      <color rgb="FF60497A"/>
      <name val="Calibri"/>
      <scheme val="minor"/>
    </font>
    <font>
      <b/>
      <sz val="20"/>
      <color theme="8" tint="-0.249977111117893"/>
      <name val="Calibri"/>
      <scheme val="minor"/>
    </font>
    <font>
      <sz val="20"/>
      <color theme="8" tint="-0.249977111117893"/>
      <name val="Calibri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6" tint="-0.249977111117893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18"/>
      <color theme="2" tint="-0.499984740745262"/>
      <name val="Calibri"/>
      <family val="2"/>
      <scheme val="minor"/>
    </font>
    <font>
      <sz val="18"/>
      <color rgb="FF00B0F0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2" borderId="0" xfId="0" applyFont="1" applyFill="1" applyBorder="1" applyAlignment="1">
      <alignment vertical="top"/>
    </xf>
    <xf numFmtId="0" fontId="4" fillId="0" borderId="0" xfId="0" applyFont="1"/>
    <xf numFmtId="0" fontId="7" fillId="0" borderId="0" xfId="0" applyFont="1"/>
    <xf numFmtId="0" fontId="1" fillId="0" borderId="0" xfId="0" applyNumberFormat="1" applyFont="1"/>
    <xf numFmtId="9" fontId="1" fillId="0" borderId="0" xfId="0" applyNumberFormat="1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0" xfId="0" applyFill="1"/>
    <xf numFmtId="0" fontId="8" fillId="0" borderId="0" xfId="0" applyFont="1" applyFill="1"/>
    <xf numFmtId="0" fontId="10" fillId="0" borderId="1" xfId="0" applyFont="1" applyBorder="1"/>
    <xf numFmtId="0" fontId="7" fillId="0" borderId="1" xfId="0" applyFont="1" applyBorder="1"/>
    <xf numFmtId="0" fontId="9" fillId="0" borderId="1" xfId="0" applyFont="1" applyBorder="1"/>
    <xf numFmtId="0" fontId="11" fillId="0" borderId="1" xfId="0" applyFont="1" applyBorder="1"/>
    <xf numFmtId="0" fontId="12" fillId="0" borderId="0" xfId="0" applyFont="1"/>
    <xf numFmtId="0" fontId="13" fillId="0" borderId="0" xfId="0" applyFont="1"/>
    <xf numFmtId="0" fontId="14" fillId="0" borderId="1" xfId="0" applyFont="1" applyBorder="1"/>
    <xf numFmtId="0" fontId="14" fillId="0" borderId="2" xfId="0" applyFont="1" applyBorder="1"/>
    <xf numFmtId="0" fontId="15" fillId="0" borderId="3" xfId="0" applyFont="1" applyBorder="1"/>
    <xf numFmtId="0" fontId="16" fillId="0" borderId="4" xfId="0" applyFont="1" applyBorder="1"/>
    <xf numFmtId="0" fontId="17" fillId="0" borderId="1" xfId="0" applyFont="1" applyBorder="1"/>
    <xf numFmtId="0" fontId="17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3" fillId="0" borderId="0" xfId="0" applyFont="1" applyAlignment="1">
      <alignment wrapText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/>
    <xf numFmtId="0" fontId="0" fillId="0" borderId="1" xfId="0" applyBorder="1"/>
    <xf numFmtId="0" fontId="0" fillId="4" borderId="0" xfId="0" applyFill="1"/>
    <xf numFmtId="0" fontId="0" fillId="5" borderId="0" xfId="0" applyFill="1"/>
    <xf numFmtId="0" fontId="0" fillId="3" borderId="1" xfId="0" applyFill="1" applyBorder="1"/>
    <xf numFmtId="0" fontId="20" fillId="0" borderId="1" xfId="0" applyFont="1" applyBorder="1"/>
    <xf numFmtId="0" fontId="0" fillId="0" borderId="0" xfId="0" quotePrefix="1"/>
    <xf numFmtId="0" fontId="24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NumberFormat="1" applyFont="1" applyAlignment="1">
      <alignment vertical="center" wrapText="1"/>
    </xf>
    <xf numFmtId="0" fontId="24" fillId="0" borderId="0" xfId="0" applyFont="1"/>
    <xf numFmtId="0" fontId="25" fillId="0" borderId="1" xfId="0" applyFont="1" applyBorder="1"/>
    <xf numFmtId="0" fontId="26" fillId="0" borderId="1" xfId="0" applyFont="1" applyBorder="1"/>
    <xf numFmtId="0" fontId="27" fillId="0" borderId="1" xfId="0" applyFont="1" applyBorder="1"/>
    <xf numFmtId="0" fontId="20" fillId="0" borderId="0" xfId="0" quotePrefix="1" applyFont="1"/>
    <xf numFmtId="0" fontId="4" fillId="0" borderId="0" xfId="0" applyFont="1"/>
    <xf numFmtId="0" fontId="4" fillId="0" borderId="5" xfId="0" applyFont="1" applyBorder="1"/>
    <xf numFmtId="0" fontId="25" fillId="0" borderId="0" xfId="0" applyFont="1"/>
    <xf numFmtId="0" fontId="25" fillId="0" borderId="0" xfId="0" applyFont="1" applyAlignment="1">
      <alignment horizontal="right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695325</xdr:colOff>
          <xdr:row>3</xdr:row>
          <xdr:rowOff>161925</xdr:rowOff>
        </xdr:from>
        <xdr:to>
          <xdr:col>11</xdr:col>
          <xdr:colOff>790575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676275</xdr:colOff>
          <xdr:row>16</xdr:row>
          <xdr:rowOff>123825</xdr:rowOff>
        </xdr:from>
        <xdr:to>
          <xdr:col>11</xdr:col>
          <xdr:colOff>723900</xdr:colOff>
          <xdr:row>22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0</xdr:colOff>
      <xdr:row>141</xdr:row>
      <xdr:rowOff>0</xdr:rowOff>
    </xdr:from>
    <xdr:to>
      <xdr:col>12</xdr:col>
      <xdr:colOff>241300</xdr:colOff>
      <xdr:row>145</xdr:row>
      <xdr:rowOff>139700</xdr:rowOff>
    </xdr:to>
    <xdr:pic>
      <xdr:nvPicPr>
        <xdr:cNvPr id="1028" name="Picture 4" descr="aille des colonn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00" y="41186100"/>
          <a:ext cx="2654300" cy="130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154</xdr:row>
      <xdr:rowOff>0</xdr:rowOff>
    </xdr:from>
    <xdr:to>
      <xdr:col>12</xdr:col>
      <xdr:colOff>203200</xdr:colOff>
      <xdr:row>160</xdr:row>
      <xdr:rowOff>165100</xdr:rowOff>
    </xdr:to>
    <xdr:pic>
      <xdr:nvPicPr>
        <xdr:cNvPr id="1029" name="Picture 5" descr="aille texte&#10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00" y="44983400"/>
          <a:ext cx="2616200" cy="191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276225</xdr:colOff>
          <xdr:row>1</xdr:row>
          <xdr:rowOff>161925</xdr:rowOff>
        </xdr:from>
        <xdr:to>
          <xdr:col>17</xdr:col>
          <xdr:colOff>304800</xdr:colOff>
          <xdr:row>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695325</xdr:colOff>
          <xdr:row>3</xdr:row>
          <xdr:rowOff>123825</xdr:rowOff>
        </xdr:from>
        <xdr:to>
          <xdr:col>9</xdr:col>
          <xdr:colOff>1571625</xdr:colOff>
          <xdr:row>9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10</xdr:row>
          <xdr:rowOff>114300</xdr:rowOff>
        </xdr:from>
        <xdr:to>
          <xdr:col>6</xdr:col>
          <xdr:colOff>1219200</xdr:colOff>
          <xdr:row>14</xdr:row>
          <xdr:rowOff>266700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CALCUL VAL ACTUELLE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828675</xdr:colOff>
          <xdr:row>112</xdr:row>
          <xdr:rowOff>228600</xdr:rowOff>
        </xdr:from>
        <xdr:to>
          <xdr:col>10</xdr:col>
          <xdr:colOff>1381125</xdr:colOff>
          <xdr:row>114</xdr:row>
          <xdr:rowOff>47625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Formule ou pas ?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3</xdr:row>
          <xdr:rowOff>0</xdr:rowOff>
        </xdr:from>
        <xdr:to>
          <xdr:col>7</xdr:col>
          <xdr:colOff>238125</xdr:colOff>
          <xdr:row>12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Taille texte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4</xdr:row>
      <xdr:rowOff>82550</xdr:rowOff>
    </xdr:from>
    <xdr:to>
      <xdr:col>11</xdr:col>
      <xdr:colOff>692150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7581900" y="844550"/>
          <a:ext cx="1492250" cy="24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4</xdr:row>
      <xdr:rowOff>82550</xdr:rowOff>
    </xdr:from>
    <xdr:to>
      <xdr:col>11</xdr:col>
      <xdr:colOff>692150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7581900" y="844550"/>
          <a:ext cx="1492250" cy="24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5</xdr:row>
      <xdr:rowOff>12700</xdr:rowOff>
    </xdr:from>
    <xdr:to>
      <xdr:col>8</xdr:col>
      <xdr:colOff>508000</xdr:colOff>
      <xdr:row>7</xdr:row>
      <xdr:rowOff>63500</xdr:rowOff>
    </xdr:to>
    <xdr:cxnSp macro="">
      <xdr:nvCxnSpPr>
        <xdr:cNvPr id="3" name="Connecteur droit avec flèche 2"/>
        <xdr:cNvCxnSpPr/>
      </xdr:nvCxnSpPr>
      <xdr:spPr>
        <a:xfrm rot="5400000">
          <a:off x="6381750" y="1174750"/>
          <a:ext cx="4318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T272"/>
  <sheetViews>
    <sheetView topLeftCell="A246" zoomScale="60" zoomScaleNormal="60" workbookViewId="0">
      <selection activeCell="A255" sqref="A255:P275"/>
    </sheetView>
  </sheetViews>
  <sheetFormatPr baseColWidth="10" defaultColWidth="15.85546875" defaultRowHeight="23.25"/>
  <cols>
    <col min="1" max="3" width="15.85546875" style="2"/>
    <col min="4" max="4" width="16.42578125" style="2" bestFit="1" customWidth="1"/>
    <col min="5" max="6" width="15.85546875" style="2"/>
    <col min="7" max="7" width="16.42578125" style="2" bestFit="1" customWidth="1"/>
    <col min="8" max="8" width="15.85546875" style="2"/>
    <col min="9" max="9" width="21.42578125" style="2" customWidth="1"/>
    <col min="10" max="15" width="15.85546875" style="2"/>
    <col min="16" max="16" width="19.140625" style="2" bestFit="1" customWidth="1"/>
    <col min="17" max="16384" width="15.85546875" style="2"/>
  </cols>
  <sheetData>
    <row r="2" spans="2:16">
      <c r="C2" s="1" t="s">
        <v>0</v>
      </c>
      <c r="D2" s="1">
        <v>1</v>
      </c>
      <c r="E2" s="1" t="s">
        <v>2</v>
      </c>
      <c r="F2" s="1"/>
      <c r="G2" s="1">
        <v>5</v>
      </c>
      <c r="H2" s="1"/>
      <c r="I2" s="1" t="s">
        <v>9</v>
      </c>
      <c r="J2" s="2" t="s">
        <v>10</v>
      </c>
      <c r="N2" s="2" t="s">
        <v>56</v>
      </c>
    </row>
    <row r="3" spans="2:16">
      <c r="C3" s="1"/>
      <c r="D3" s="1">
        <v>2</v>
      </c>
      <c r="E3" s="1" t="s">
        <v>3</v>
      </c>
      <c r="F3" s="1"/>
      <c r="G3" s="1">
        <v>4</v>
      </c>
      <c r="H3" s="1"/>
      <c r="I3" s="1" t="s">
        <v>1</v>
      </c>
      <c r="N3" s="2" t="s">
        <v>3</v>
      </c>
    </row>
    <row r="4" spans="2:16">
      <c r="C4" s="1"/>
      <c r="D4" s="1">
        <v>3</v>
      </c>
      <c r="E4" s="1" t="s">
        <v>7</v>
      </c>
      <c r="F4" s="1"/>
      <c r="G4" s="1">
        <v>3</v>
      </c>
      <c r="H4" s="1"/>
      <c r="I4" s="1" t="s">
        <v>7</v>
      </c>
      <c r="N4" s="2" t="s">
        <v>54</v>
      </c>
    </row>
    <row r="5" spans="2:16">
      <c r="C5" s="1"/>
      <c r="D5" s="1">
        <v>4</v>
      </c>
      <c r="E5" s="1" t="s">
        <v>1</v>
      </c>
      <c r="F5" s="1"/>
      <c r="G5" s="1">
        <v>2</v>
      </c>
      <c r="H5" s="1"/>
      <c r="I5" s="1" t="s">
        <v>3</v>
      </c>
      <c r="N5" s="2" t="s">
        <v>55</v>
      </c>
    </row>
    <row r="6" spans="2:16">
      <c r="C6" s="1"/>
      <c r="D6" s="1">
        <v>5</v>
      </c>
      <c r="E6" s="1" t="s">
        <v>4</v>
      </c>
      <c r="F6" s="1"/>
      <c r="G6" s="1">
        <v>1</v>
      </c>
      <c r="H6" s="1"/>
      <c r="I6" s="1" t="s">
        <v>8</v>
      </c>
      <c r="N6" s="2" t="s">
        <v>53</v>
      </c>
    </row>
    <row r="7" spans="2:16">
      <c r="C7" s="1"/>
      <c r="D7" s="1">
        <v>6</v>
      </c>
      <c r="E7" s="1" t="s">
        <v>5</v>
      </c>
      <c r="F7" s="1"/>
      <c r="G7" s="1">
        <v>6</v>
      </c>
      <c r="H7" s="1"/>
      <c r="I7" s="1" t="s">
        <v>5</v>
      </c>
      <c r="N7" s="2" t="s">
        <v>57</v>
      </c>
    </row>
    <row r="8" spans="2:16">
      <c r="C8" s="1"/>
      <c r="D8" s="1">
        <v>7</v>
      </c>
      <c r="E8" s="1" t="s">
        <v>6</v>
      </c>
      <c r="F8" s="1"/>
      <c r="G8" s="1">
        <v>7</v>
      </c>
      <c r="H8" s="1"/>
      <c r="I8" s="1" t="s">
        <v>6</v>
      </c>
      <c r="N8" s="2" t="s">
        <v>58</v>
      </c>
    </row>
    <row r="10" spans="2:16">
      <c r="B10" s="2">
        <v>1</v>
      </c>
      <c r="C10" s="2" t="s">
        <v>316</v>
      </c>
    </row>
    <row r="11" spans="2:16">
      <c r="B11" s="2">
        <v>2</v>
      </c>
      <c r="C11" s="2" t="s">
        <v>3</v>
      </c>
    </row>
    <row r="12" spans="2:16">
      <c r="B12" s="2">
        <v>3</v>
      </c>
      <c r="C12" s="2" t="s">
        <v>7</v>
      </c>
      <c r="E12" s="2" t="s">
        <v>11</v>
      </c>
      <c r="K12" s="2" t="s">
        <v>47</v>
      </c>
    </row>
    <row r="13" spans="2:16">
      <c r="B13" s="2">
        <v>4</v>
      </c>
      <c r="C13" s="2" t="s">
        <v>1</v>
      </c>
      <c r="E13" s="2" t="s">
        <v>12</v>
      </c>
      <c r="K13" s="2" t="s">
        <v>48</v>
      </c>
    </row>
    <row r="14" spans="2:16">
      <c r="B14" s="2">
        <v>5</v>
      </c>
      <c r="C14" s="2" t="s">
        <v>317</v>
      </c>
      <c r="E14" s="2" t="s">
        <v>13</v>
      </c>
    </row>
    <row r="15" spans="2:16">
      <c r="B15" s="2">
        <v>6</v>
      </c>
      <c r="C15" s="2" t="s">
        <v>5</v>
      </c>
      <c r="K15" s="2" t="s">
        <v>49</v>
      </c>
      <c r="N15" s="2" t="s">
        <v>50</v>
      </c>
      <c r="P15" s="2" t="s">
        <v>51</v>
      </c>
    </row>
    <row r="16" spans="2:16">
      <c r="B16" s="2">
        <v>7</v>
      </c>
      <c r="C16" s="2" t="s">
        <v>6</v>
      </c>
      <c r="F16" s="2" t="s">
        <v>5</v>
      </c>
      <c r="I16" s="2" t="s">
        <v>6</v>
      </c>
      <c r="L16" s="2" t="s">
        <v>52</v>
      </c>
    </row>
    <row r="18" spans="2:13">
      <c r="F18" s="2" t="s">
        <v>17</v>
      </c>
    </row>
    <row r="19" spans="2:13">
      <c r="F19" s="2" t="s">
        <v>16</v>
      </c>
      <c r="I19" s="2" t="s">
        <v>18</v>
      </c>
    </row>
    <row r="20" spans="2:13">
      <c r="F20" s="2" t="s">
        <v>14</v>
      </c>
      <c r="I20" s="2" t="s">
        <v>19</v>
      </c>
    </row>
    <row r="21" spans="2:13">
      <c r="F21" s="2" t="s">
        <v>15</v>
      </c>
    </row>
    <row r="26" spans="2:13">
      <c r="B26" s="2" t="s">
        <v>20</v>
      </c>
    </row>
    <row r="27" spans="2:13">
      <c r="B27" s="2" t="s">
        <v>21</v>
      </c>
      <c r="M27" s="2" t="s">
        <v>60</v>
      </c>
    </row>
    <row r="28" spans="2:13">
      <c r="B28" s="2" t="s">
        <v>22</v>
      </c>
      <c r="M28" s="2" t="s">
        <v>59</v>
      </c>
    </row>
    <row r="32" spans="2:13">
      <c r="B32" s="2" t="s">
        <v>23</v>
      </c>
      <c r="E32" s="2" t="s">
        <v>24</v>
      </c>
      <c r="F32" s="2" t="s">
        <v>25</v>
      </c>
    </row>
    <row r="36" spans="1:8">
      <c r="C36" s="2" t="s">
        <v>26</v>
      </c>
    </row>
    <row r="37" spans="1:8">
      <c r="C37" s="2" t="s">
        <v>27</v>
      </c>
    </row>
    <row r="38" spans="1:8">
      <c r="C38" s="2" t="s">
        <v>28</v>
      </c>
    </row>
    <row r="39" spans="1:8">
      <c r="C39" s="2" t="s">
        <v>29</v>
      </c>
      <c r="H39" s="2" t="s">
        <v>32</v>
      </c>
    </row>
    <row r="41" spans="1:8">
      <c r="C41" s="2" t="s">
        <v>30</v>
      </c>
      <c r="E41" s="2" t="s">
        <v>31</v>
      </c>
    </row>
    <row r="43" spans="1:8">
      <c r="B43" s="2" t="s">
        <v>33</v>
      </c>
    </row>
    <row r="44" spans="1:8">
      <c r="B44" s="2" t="s">
        <v>34</v>
      </c>
    </row>
    <row r="46" spans="1:8">
      <c r="B46" s="2" t="s">
        <v>35</v>
      </c>
    </row>
    <row r="47" spans="1:8">
      <c r="A47" s="2" t="s">
        <v>41</v>
      </c>
      <c r="B47" s="2" t="s">
        <v>36</v>
      </c>
      <c r="C47" s="2" t="s">
        <v>37</v>
      </c>
      <c r="E47" s="2" t="s">
        <v>38</v>
      </c>
      <c r="F47" s="2" t="s">
        <v>39</v>
      </c>
      <c r="G47" s="2" t="s">
        <v>40</v>
      </c>
    </row>
    <row r="48" spans="1:8">
      <c r="A48" s="2" t="s">
        <v>42</v>
      </c>
      <c r="B48" s="2" t="s">
        <v>43</v>
      </c>
      <c r="F48" s="2" t="s">
        <v>43</v>
      </c>
    </row>
    <row r="50" spans="2:10">
      <c r="B50" s="2" t="s">
        <v>26</v>
      </c>
      <c r="C50" s="2" t="s">
        <v>46</v>
      </c>
    </row>
    <row r="51" spans="2:10">
      <c r="B51" s="2" t="s">
        <v>28</v>
      </c>
      <c r="C51" s="2" t="s">
        <v>45</v>
      </c>
    </row>
    <row r="52" spans="2:10">
      <c r="B52" s="2" t="s">
        <v>27</v>
      </c>
      <c r="C52" s="2" t="s">
        <v>44</v>
      </c>
    </row>
    <row r="61" spans="2:10">
      <c r="G61" s="2" t="s">
        <v>64</v>
      </c>
    </row>
    <row r="62" spans="2:10">
      <c r="C62" s="2" t="s">
        <v>61</v>
      </c>
      <c r="D62" s="2">
        <v>750000000</v>
      </c>
      <c r="G62" s="2" t="s">
        <v>65</v>
      </c>
    </row>
    <row r="63" spans="2:10">
      <c r="C63" s="2" t="s">
        <v>62</v>
      </c>
      <c r="D63" s="2">
        <v>12</v>
      </c>
      <c r="G63" s="2" t="s">
        <v>66</v>
      </c>
      <c r="I63" s="2">
        <f>D62*D64/100</f>
        <v>51000000</v>
      </c>
      <c r="J63" s="2" t="s">
        <v>67</v>
      </c>
    </row>
    <row r="64" spans="2:10">
      <c r="C64" s="2" t="s">
        <v>63</v>
      </c>
      <c r="D64" s="2">
        <v>6.8</v>
      </c>
    </row>
    <row r="65" spans="2:20">
      <c r="G65" s="2" t="s">
        <v>68</v>
      </c>
      <c r="P65" s="2">
        <f>80*(1-(1+(5/100))^-5)/(5/100)</f>
        <v>346.35813365046562</v>
      </c>
      <c r="Q65" s="2">
        <f>P65+2000/(1+(5/100))^5</f>
        <v>1913.4104665873836</v>
      </c>
    </row>
    <row r="66" spans="2:20">
      <c r="G66" s="2">
        <f>I63*((1+D64/100)^D63-1)/(D64/100)</f>
        <v>901643435.9573741</v>
      </c>
      <c r="J66" s="2" t="s">
        <v>70</v>
      </c>
      <c r="P66" s="2" t="s">
        <v>76</v>
      </c>
      <c r="Q66" s="2">
        <f>50*(1-(1.05)^-4)/0.05</f>
        <v>177.29752520811803</v>
      </c>
      <c r="R66" s="2" t="s">
        <v>77</v>
      </c>
      <c r="S66" s="2">
        <f>1000/(1.05)^4</f>
        <v>822.70247479188197</v>
      </c>
      <c r="T66" s="2">
        <f>S66+Q66</f>
        <v>1000</v>
      </c>
    </row>
    <row r="67" spans="2:20">
      <c r="G67" s="2" t="s">
        <v>69</v>
      </c>
      <c r="I67" s="2">
        <f>G66+D62</f>
        <v>1651643435.9573741</v>
      </c>
      <c r="J67" s="2">
        <f>I67/1000000</f>
        <v>1651.6434359573741</v>
      </c>
    </row>
    <row r="68" spans="2:20">
      <c r="P68" s="2">
        <f>5451/5400-1</f>
        <v>9.4444444444443665E-3</v>
      </c>
      <c r="Q68" s="2">
        <f>P68*100/4.3*365</f>
        <v>80.167958656330086</v>
      </c>
    </row>
    <row r="69" spans="2:20">
      <c r="I69" s="2" t="s">
        <v>71</v>
      </c>
      <c r="J69" s="2">
        <f>750*1.068^12</f>
        <v>1651.6434359573741</v>
      </c>
      <c r="M69" s="2">
        <f>10000*(1.008)^6</f>
        <v>10489.703016368703</v>
      </c>
    </row>
    <row r="70" spans="2:20">
      <c r="P70" s="2">
        <f>50*(1-1.06^-4)/0.06+1000/1.06^4</f>
        <v>965.34894387300346</v>
      </c>
      <c r="R70" s="2">
        <f>173.26+1000/1.06^4</f>
        <v>965.35366323802043</v>
      </c>
    </row>
    <row r="71" spans="2:20">
      <c r="I71" s="2">
        <f>750+750*6.8/100*(1.068^12-1)/0.068</f>
        <v>1651.6434359573741</v>
      </c>
      <c r="M71" s="2">
        <f>10000*(1+0.8/100)^6</f>
        <v>10489.703016368703</v>
      </c>
    </row>
    <row r="72" spans="2:20">
      <c r="M72" s="2">
        <f>10000*(1+4.8/100)</f>
        <v>10480</v>
      </c>
    </row>
    <row r="75" spans="2:20">
      <c r="B75" s="2" t="s">
        <v>72</v>
      </c>
    </row>
    <row r="76" spans="2:20">
      <c r="B76" s="2">
        <v>1</v>
      </c>
      <c r="C76" s="2" t="s">
        <v>75</v>
      </c>
    </row>
    <row r="77" spans="2:20">
      <c r="B77" s="2">
        <v>2</v>
      </c>
      <c r="C77" s="2" t="s">
        <v>74</v>
      </c>
    </row>
    <row r="78" spans="2:20">
      <c r="B78" s="2">
        <v>3</v>
      </c>
      <c r="C78" s="2" t="s">
        <v>7</v>
      </c>
      <c r="H78" s="2" t="s">
        <v>84</v>
      </c>
    </row>
    <row r="79" spans="2:20">
      <c r="B79" s="2">
        <v>4</v>
      </c>
      <c r="C79" s="2" t="s">
        <v>1</v>
      </c>
    </row>
    <row r="80" spans="2:20">
      <c r="B80" s="2">
        <v>5</v>
      </c>
      <c r="C80" s="2" t="s">
        <v>73</v>
      </c>
    </row>
    <row r="81" spans="2:11">
      <c r="B81" s="2">
        <v>6</v>
      </c>
      <c r="C81" s="2" t="s">
        <v>5</v>
      </c>
    </row>
    <row r="82" spans="2:11">
      <c r="B82" s="2">
        <v>7</v>
      </c>
      <c r="C82" s="2" t="s">
        <v>6</v>
      </c>
    </row>
    <row r="84" spans="2:11">
      <c r="H84" s="2" t="s">
        <v>85</v>
      </c>
    </row>
    <row r="85" spans="2:11">
      <c r="B85" s="2" t="s">
        <v>78</v>
      </c>
      <c r="H85" s="2" t="s">
        <v>49</v>
      </c>
      <c r="K85" s="2" t="s">
        <v>88</v>
      </c>
    </row>
    <row r="86" spans="2:11">
      <c r="B86" s="2" t="s">
        <v>79</v>
      </c>
      <c r="H86" s="2" t="s">
        <v>86</v>
      </c>
    </row>
    <row r="87" spans="2:11">
      <c r="B87" s="2" t="s">
        <v>80</v>
      </c>
      <c r="H87" s="2" t="s">
        <v>87</v>
      </c>
    </row>
    <row r="89" spans="2:11">
      <c r="H89" s="2" t="s">
        <v>85</v>
      </c>
    </row>
    <row r="90" spans="2:11">
      <c r="B90" s="2" t="s">
        <v>81</v>
      </c>
      <c r="H90" s="2" t="s">
        <v>89</v>
      </c>
    </row>
    <row r="91" spans="2:11">
      <c r="B91" s="2" t="s">
        <v>82</v>
      </c>
    </row>
    <row r="92" spans="2:11">
      <c r="B92" s="2" t="s">
        <v>83</v>
      </c>
      <c r="H92" s="2" t="s">
        <v>49</v>
      </c>
    </row>
    <row r="93" spans="2:11">
      <c r="H93" s="2" t="s">
        <v>90</v>
      </c>
    </row>
    <row r="94" spans="2:11">
      <c r="H94" s="2" t="s">
        <v>91</v>
      </c>
    </row>
    <row r="95" spans="2:11">
      <c r="H95" s="2" t="s">
        <v>92</v>
      </c>
    </row>
    <row r="97" spans="2:12">
      <c r="B97" s="2" t="s">
        <v>154</v>
      </c>
      <c r="L97" s="2" t="s">
        <v>159</v>
      </c>
    </row>
    <row r="98" spans="2:12">
      <c r="B98" s="2" t="s">
        <v>155</v>
      </c>
      <c r="L98" s="2" t="s">
        <v>160</v>
      </c>
    </row>
    <row r="99" spans="2:12">
      <c r="B99" s="2" t="s">
        <v>156</v>
      </c>
      <c r="L99" s="2" t="s">
        <v>161</v>
      </c>
    </row>
    <row r="100" spans="2:12">
      <c r="B100" s="2" t="s">
        <v>157</v>
      </c>
      <c r="L100" s="2" t="s">
        <v>162</v>
      </c>
    </row>
    <row r="102" spans="2:12">
      <c r="B102" s="2" t="s">
        <v>158</v>
      </c>
    </row>
    <row r="104" spans="2:12">
      <c r="B104" s="2" t="s">
        <v>163</v>
      </c>
    </row>
    <row r="105" spans="2:12">
      <c r="B105" s="2" t="s">
        <v>164</v>
      </c>
      <c r="C105" s="2" t="s">
        <v>168</v>
      </c>
    </row>
    <row r="106" spans="2:12">
      <c r="B106" s="2" t="s">
        <v>165</v>
      </c>
      <c r="C106" s="2" t="s">
        <v>169</v>
      </c>
      <c r="D106" s="2" t="s">
        <v>170</v>
      </c>
    </row>
    <row r="107" spans="2:12">
      <c r="B107" s="2" t="s">
        <v>166</v>
      </c>
      <c r="C107" s="2" t="s">
        <v>167</v>
      </c>
    </row>
    <row r="109" spans="2:12">
      <c r="B109" s="2" t="s">
        <v>171</v>
      </c>
    </row>
    <row r="110" spans="2:12">
      <c r="B110" s="2" t="s">
        <v>21</v>
      </c>
    </row>
    <row r="111" spans="2:12">
      <c r="B111" s="2" t="s">
        <v>172</v>
      </c>
    </row>
    <row r="113" spans="2:11">
      <c r="B113" s="2">
        <v>1</v>
      </c>
      <c r="C113" s="2" t="s">
        <v>173</v>
      </c>
    </row>
    <row r="114" spans="2:11">
      <c r="B114" s="2">
        <v>2</v>
      </c>
      <c r="C114" s="2" t="s">
        <v>74</v>
      </c>
    </row>
    <row r="115" spans="2:11">
      <c r="B115" s="2">
        <v>3</v>
      </c>
      <c r="C115" s="2" t="s">
        <v>7</v>
      </c>
    </row>
    <row r="116" spans="2:11">
      <c r="B116" s="2">
        <v>4</v>
      </c>
      <c r="C116" s="2" t="s">
        <v>1</v>
      </c>
    </row>
    <row r="117" spans="2:11">
      <c r="B117" s="2">
        <v>5</v>
      </c>
      <c r="C117" s="2" t="s">
        <v>174</v>
      </c>
      <c r="F117" s="2" t="s">
        <v>181</v>
      </c>
    </row>
    <row r="118" spans="2:11">
      <c r="B118" s="2">
        <v>6</v>
      </c>
      <c r="C118" s="2" t="s">
        <v>5</v>
      </c>
      <c r="F118" s="2" t="s">
        <v>182</v>
      </c>
    </row>
    <row r="119" spans="2:11">
      <c r="B119" s="2">
        <v>7</v>
      </c>
      <c r="C119" s="2" t="s">
        <v>6</v>
      </c>
      <c r="F119" s="2" t="s">
        <v>183</v>
      </c>
    </row>
    <row r="122" spans="2:11">
      <c r="B122" s="2" t="s">
        <v>184</v>
      </c>
      <c r="F122" s="2" t="s">
        <v>192</v>
      </c>
    </row>
    <row r="123" spans="2:11">
      <c r="B123" s="2" t="s">
        <v>185</v>
      </c>
      <c r="C123" s="2" t="s">
        <v>186</v>
      </c>
    </row>
    <row r="124" spans="2:11">
      <c r="C124" s="2" t="s">
        <v>187</v>
      </c>
      <c r="F124" s="2" t="s">
        <v>193</v>
      </c>
      <c r="G124" s="2" t="s">
        <v>195</v>
      </c>
      <c r="H124" s="2" t="s">
        <v>196</v>
      </c>
      <c r="I124" s="2" t="s">
        <v>198</v>
      </c>
      <c r="J124" s="2" t="s">
        <v>199</v>
      </c>
      <c r="K124" s="2" t="s">
        <v>200</v>
      </c>
    </row>
    <row r="125" spans="2:11">
      <c r="C125" s="2" t="s">
        <v>188</v>
      </c>
      <c r="E125" s="2" t="s">
        <v>197</v>
      </c>
      <c r="F125" s="2">
        <v>1</v>
      </c>
      <c r="G125" s="5">
        <v>0.35</v>
      </c>
      <c r="H125" s="2">
        <f>1/5</f>
        <v>0.2</v>
      </c>
      <c r="I125" s="2">
        <v>22800</v>
      </c>
      <c r="J125" s="2">
        <f>I125*G125*8/12</f>
        <v>5319.9999999999991</v>
      </c>
      <c r="K125" s="2">
        <f>I125-J125</f>
        <v>17480</v>
      </c>
    </row>
    <row r="126" spans="2:11">
      <c r="C126" s="2" t="s">
        <v>189</v>
      </c>
      <c r="F126" s="2">
        <v>2</v>
      </c>
      <c r="G126" s="5">
        <v>0.35</v>
      </c>
      <c r="H126" s="6">
        <f>1/4</f>
        <v>0.25</v>
      </c>
      <c r="I126" s="2">
        <f>K125</f>
        <v>17480</v>
      </c>
      <c r="J126" s="2">
        <f>I126*G126</f>
        <v>6118</v>
      </c>
      <c r="K126" s="2">
        <f>I126-J126</f>
        <v>11362</v>
      </c>
    </row>
    <row r="127" spans="2:11">
      <c r="C127" s="2" t="s">
        <v>190</v>
      </c>
      <c r="F127" s="2">
        <v>3</v>
      </c>
      <c r="G127" s="5">
        <v>0.35</v>
      </c>
      <c r="H127" s="2">
        <f>1/3</f>
        <v>0.33333333333333331</v>
      </c>
      <c r="I127" s="2">
        <f>K126</f>
        <v>11362</v>
      </c>
      <c r="J127" s="2">
        <f>I127*G127</f>
        <v>3976.7</v>
      </c>
      <c r="K127" s="2">
        <f>I127-J127</f>
        <v>7385.3</v>
      </c>
    </row>
    <row r="128" spans="2:11">
      <c r="C128" s="2" t="s">
        <v>191</v>
      </c>
      <c r="F128" s="2">
        <v>4</v>
      </c>
      <c r="G128" s="2">
        <v>0.35</v>
      </c>
      <c r="H128" s="5">
        <f>1/2</f>
        <v>0.5</v>
      </c>
      <c r="I128" s="2">
        <f>K127</f>
        <v>7385.3</v>
      </c>
      <c r="J128" s="2">
        <f>I128/2</f>
        <v>3692.65</v>
      </c>
      <c r="K128" s="2">
        <f>J128</f>
        <v>3692.65</v>
      </c>
    </row>
    <row r="129" spans="1:20">
      <c r="E129" s="2" t="s">
        <v>194</v>
      </c>
      <c r="F129" s="2">
        <v>5</v>
      </c>
      <c r="G129" s="2">
        <v>0.35</v>
      </c>
      <c r="H129" s="5">
        <v>1</v>
      </c>
      <c r="I129" s="2">
        <f>K128</f>
        <v>3692.65</v>
      </c>
      <c r="J129" s="2">
        <f>I129</f>
        <v>3692.65</v>
      </c>
      <c r="K129" s="2">
        <v>0</v>
      </c>
    </row>
    <row r="131" spans="1:20">
      <c r="B131" s="2">
        <f>2.5/101</f>
        <v>2.4752475247524754E-2</v>
      </c>
    </row>
    <row r="132" spans="1:20">
      <c r="B132" s="2">
        <f>2.5/26</f>
        <v>9.6153846153846159E-2</v>
      </c>
    </row>
    <row r="133" spans="1:20">
      <c r="B133" s="2">
        <f>9.5-0.08</f>
        <v>9.42</v>
      </c>
    </row>
    <row r="134" spans="1:20">
      <c r="B134" s="2">
        <f>7.5+24*0.08</f>
        <v>9.42</v>
      </c>
      <c r="D134" s="2">
        <f>2/26</f>
        <v>7.6923076923076927E-2</v>
      </c>
    </row>
    <row r="136" spans="1:20">
      <c r="C136" s="2" t="s">
        <v>207</v>
      </c>
      <c r="E136" s="2">
        <f>9.5-D134</f>
        <v>9.4230769230769234</v>
      </c>
      <c r="G136" s="2">
        <f>25*D134+7.5</f>
        <v>9.4230769230769234</v>
      </c>
    </row>
    <row r="138" spans="1:20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>
      <c r="A139" s="4"/>
      <c r="B139" s="4"/>
      <c r="C139" s="8" t="s">
        <v>0</v>
      </c>
      <c r="D139" s="9">
        <v>1</v>
      </c>
      <c r="E139" s="9" t="s">
        <v>2</v>
      </c>
      <c r="F139" s="9"/>
      <c r="G139" s="9">
        <v>5</v>
      </c>
      <c r="H139" s="9"/>
      <c r="I139" s="9" t="s">
        <v>9</v>
      </c>
      <c r="J139" s="49" t="s">
        <v>10</v>
      </c>
      <c r="K139" s="48"/>
      <c r="L139" s="4"/>
      <c r="M139" s="4"/>
      <c r="N139" s="4" t="s">
        <v>56</v>
      </c>
      <c r="O139" s="4"/>
      <c r="P139" s="4"/>
      <c r="Q139" s="4"/>
      <c r="R139" s="4"/>
      <c r="S139" s="4"/>
      <c r="T139" s="4"/>
    </row>
    <row r="140" spans="1:20">
      <c r="A140" s="4"/>
      <c r="B140" s="4"/>
      <c r="C140" s="10"/>
      <c r="D140" s="11">
        <v>2</v>
      </c>
      <c r="E140" s="11" t="s">
        <v>3</v>
      </c>
      <c r="F140" s="11"/>
      <c r="G140" s="11">
        <v>4</v>
      </c>
      <c r="H140" s="11"/>
      <c r="I140" s="11" t="s">
        <v>1</v>
      </c>
      <c r="J140" s="4"/>
      <c r="K140" s="4"/>
      <c r="L140" s="4"/>
      <c r="M140" s="4"/>
      <c r="N140" s="4" t="s">
        <v>3</v>
      </c>
      <c r="O140" s="4"/>
      <c r="P140" s="4"/>
      <c r="Q140" s="4"/>
      <c r="R140" s="4"/>
      <c r="S140" s="4"/>
      <c r="T140" s="4"/>
    </row>
    <row r="141" spans="1:20">
      <c r="A141" s="4"/>
      <c r="B141" s="4"/>
      <c r="C141" s="10"/>
      <c r="D141" s="11">
        <v>3</v>
      </c>
      <c r="E141" s="11" t="s">
        <v>7</v>
      </c>
      <c r="F141" s="11"/>
      <c r="G141" s="11">
        <v>3</v>
      </c>
      <c r="H141" s="11"/>
      <c r="I141" s="11" t="s">
        <v>7</v>
      </c>
      <c r="J141" s="13"/>
      <c r="K141" s="12"/>
      <c r="L141" s="12"/>
      <c r="M141" s="4"/>
      <c r="N141" s="4" t="s">
        <v>54</v>
      </c>
      <c r="O141" s="4"/>
      <c r="P141" s="4"/>
      <c r="Q141" s="4"/>
      <c r="R141" s="4"/>
      <c r="S141" s="4"/>
      <c r="T141" s="4"/>
    </row>
    <row r="142" spans="1:20">
      <c r="A142" s="4"/>
      <c r="B142" s="4"/>
      <c r="C142" s="10"/>
      <c r="D142" s="11">
        <v>4</v>
      </c>
      <c r="E142" s="11" t="s">
        <v>1</v>
      </c>
      <c r="F142" s="11"/>
      <c r="G142" s="11">
        <v>2</v>
      </c>
      <c r="H142" s="11"/>
      <c r="I142" s="11" t="s">
        <v>3</v>
      </c>
      <c r="J142" s="13"/>
      <c r="K142" s="13"/>
      <c r="L142" s="13"/>
      <c r="M142" s="4"/>
      <c r="N142" s="4" t="s">
        <v>55</v>
      </c>
      <c r="O142" s="4"/>
      <c r="P142" s="4"/>
      <c r="Q142" s="4"/>
      <c r="R142" s="4"/>
      <c r="S142" s="4"/>
      <c r="T142" s="4"/>
    </row>
    <row r="143" spans="1:20">
      <c r="A143" s="4"/>
      <c r="B143" s="4"/>
      <c r="C143" s="10"/>
      <c r="D143" s="11">
        <v>5</v>
      </c>
      <c r="E143" s="11" t="s">
        <v>4</v>
      </c>
      <c r="F143" s="11"/>
      <c r="G143" s="11">
        <v>1</v>
      </c>
      <c r="H143" s="11"/>
      <c r="I143" s="11" t="s">
        <v>8</v>
      </c>
      <c r="J143" s="13"/>
      <c r="K143" s="12"/>
      <c r="L143" s="12"/>
      <c r="M143" s="4"/>
      <c r="N143" s="48" t="s">
        <v>53</v>
      </c>
      <c r="O143" s="48"/>
      <c r="P143" s="4"/>
      <c r="Q143" s="4"/>
      <c r="R143" s="4"/>
      <c r="S143" s="4"/>
      <c r="T143" s="4"/>
    </row>
    <row r="144" spans="1:20">
      <c r="A144" s="4"/>
      <c r="B144" s="4"/>
      <c r="C144" s="10"/>
      <c r="D144" s="11">
        <v>6</v>
      </c>
      <c r="E144" s="11" t="s">
        <v>5</v>
      </c>
      <c r="F144" s="11"/>
      <c r="G144" s="11">
        <v>6</v>
      </c>
      <c r="H144" s="11"/>
      <c r="I144" s="11" t="s">
        <v>5</v>
      </c>
      <c r="J144"/>
      <c r="K144"/>
      <c r="L144"/>
      <c r="M144" s="4"/>
      <c r="N144" s="4" t="s">
        <v>57</v>
      </c>
      <c r="O144" s="4"/>
      <c r="P144" s="4"/>
      <c r="Q144" s="4"/>
      <c r="R144" s="4"/>
      <c r="S144" s="4"/>
      <c r="T144" s="4"/>
    </row>
    <row r="145" spans="1:20">
      <c r="A145" s="4"/>
      <c r="B145" s="4"/>
      <c r="C145" s="10"/>
      <c r="D145" s="11">
        <v>7</v>
      </c>
      <c r="E145" s="11" t="s">
        <v>6</v>
      </c>
      <c r="F145" s="11"/>
      <c r="G145" s="11">
        <v>7</v>
      </c>
      <c r="H145" s="11"/>
      <c r="I145" s="11" t="s">
        <v>6</v>
      </c>
      <c r="J145"/>
      <c r="K145"/>
      <c r="L145"/>
      <c r="M145" s="4"/>
      <c r="N145" s="4" t="s">
        <v>58</v>
      </c>
      <c r="O145" s="4"/>
      <c r="P145" s="4"/>
      <c r="Q145" s="4"/>
      <c r="R145" s="4"/>
      <c r="S145" s="4"/>
      <c r="T145" s="4"/>
    </row>
    <row r="146" spans="1:20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>
      <c r="A149" s="4"/>
      <c r="B149" s="4"/>
      <c r="C149" s="4"/>
      <c r="D149" s="4"/>
      <c r="E149" s="48" t="s">
        <v>11</v>
      </c>
      <c r="F149" s="48"/>
      <c r="G149" s="48"/>
      <c r="H149" s="48"/>
      <c r="I149" s="48"/>
      <c r="J149" s="4"/>
      <c r="K149" s="48" t="s">
        <v>47</v>
      </c>
      <c r="L149" s="48"/>
      <c r="M149" s="48"/>
      <c r="N149" s="48"/>
      <c r="O149" s="48"/>
      <c r="P149" s="48"/>
      <c r="Q149" s="48"/>
      <c r="R149" s="48"/>
      <c r="S149" s="48"/>
      <c r="T149" s="48"/>
    </row>
    <row r="150" spans="1:20">
      <c r="A150" s="4"/>
      <c r="B150" s="4"/>
      <c r="C150" s="4"/>
      <c r="D150" s="4"/>
      <c r="E150" s="48" t="s">
        <v>12</v>
      </c>
      <c r="F150" s="48"/>
      <c r="G150" s="48"/>
      <c r="H150" s="48"/>
      <c r="I150" s="4"/>
      <c r="J150" s="4"/>
      <c r="K150" s="48" t="s">
        <v>48</v>
      </c>
      <c r="L150" s="48"/>
      <c r="M150" s="48"/>
      <c r="N150" s="4"/>
      <c r="O150" s="4"/>
      <c r="P150" s="4"/>
      <c r="Q150" s="4"/>
      <c r="R150" s="4"/>
      <c r="S150" s="4"/>
      <c r="T150" s="4"/>
    </row>
    <row r="151" spans="1:20">
      <c r="A151" s="4"/>
      <c r="B151" s="4"/>
      <c r="C151" s="4"/>
      <c r="D151" s="4"/>
      <c r="E151" s="48" t="s">
        <v>13</v>
      </c>
      <c r="F151" s="48"/>
      <c r="G151" s="48"/>
      <c r="H151" s="48"/>
      <c r="I151" s="48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8" t="s">
        <v>49</v>
      </c>
      <c r="L152" s="48"/>
      <c r="M152" s="48"/>
      <c r="N152" s="48" t="s">
        <v>50</v>
      </c>
      <c r="O152" s="48"/>
      <c r="P152" s="48" t="s">
        <v>51</v>
      </c>
      <c r="Q152" s="48"/>
      <c r="R152" s="48"/>
      <c r="S152" s="48"/>
      <c r="T152" s="48"/>
    </row>
    <row r="153" spans="1:20">
      <c r="A153" s="4"/>
      <c r="B153" s="4"/>
      <c r="C153" s="4"/>
      <c r="D153" s="4"/>
      <c r="E153" s="4"/>
      <c r="F153" s="4" t="s">
        <v>5</v>
      </c>
      <c r="G153" s="4"/>
      <c r="H153" s="4"/>
      <c r="I153" s="4" t="s">
        <v>6</v>
      </c>
      <c r="J153" s="4"/>
      <c r="K153" s="4"/>
      <c r="L153" s="48" t="s">
        <v>52</v>
      </c>
      <c r="M153" s="48"/>
      <c r="N153" s="48"/>
      <c r="O153" s="48"/>
      <c r="P153" s="4"/>
      <c r="Q153" s="4"/>
      <c r="R153" s="4"/>
      <c r="S153" s="4"/>
      <c r="T153" s="4"/>
    </row>
    <row r="154" spans="1:20">
      <c r="A154" s="4"/>
      <c r="B154" s="4"/>
      <c r="C154" s="4"/>
      <c r="D154" s="4"/>
      <c r="E154" s="4"/>
      <c r="F154" s="4"/>
      <c r="G154" s="4"/>
      <c r="H154" s="4"/>
      <c r="I154" s="4"/>
      <c r="J154" s="13"/>
      <c r="K154" s="12"/>
      <c r="L154" s="12"/>
      <c r="M154" s="4"/>
      <c r="N154" s="4"/>
      <c r="O154" s="4"/>
      <c r="P154" s="4"/>
      <c r="Q154" s="4"/>
      <c r="R154" s="4"/>
      <c r="S154" s="4"/>
      <c r="T154" s="4"/>
    </row>
    <row r="155" spans="1:20">
      <c r="A155" s="4"/>
      <c r="B155" s="4"/>
      <c r="C155" s="4"/>
      <c r="D155" s="4"/>
      <c r="E155" s="4"/>
      <c r="F155" s="48" t="s">
        <v>17</v>
      </c>
      <c r="G155" s="48"/>
      <c r="H155" s="48"/>
      <c r="I155" s="48"/>
      <c r="J155" s="13"/>
      <c r="K155" s="13"/>
      <c r="L155" s="13"/>
      <c r="M155" s="4"/>
      <c r="N155" s="4"/>
      <c r="O155" s="4"/>
      <c r="P155" s="4"/>
      <c r="Q155" s="4"/>
      <c r="R155" s="4"/>
      <c r="S155" s="4"/>
      <c r="T155" s="4"/>
    </row>
    <row r="156" spans="1:20">
      <c r="A156" s="4"/>
      <c r="B156" s="4"/>
      <c r="C156" s="4"/>
      <c r="D156" s="4"/>
      <c r="E156" s="4"/>
      <c r="F156" s="48" t="s">
        <v>16</v>
      </c>
      <c r="G156" s="48"/>
      <c r="H156" s="4"/>
      <c r="I156" s="4" t="s">
        <v>18</v>
      </c>
      <c r="J156" s="13"/>
      <c r="K156" s="12"/>
      <c r="L156" s="12"/>
      <c r="M156" s="4"/>
      <c r="N156" s="4"/>
      <c r="O156" s="4"/>
      <c r="P156" s="4"/>
      <c r="Q156" s="4"/>
      <c r="R156" s="4"/>
      <c r="S156" s="4"/>
      <c r="T156" s="4"/>
    </row>
    <row r="157" spans="1:20">
      <c r="A157" s="4"/>
      <c r="B157" s="4"/>
      <c r="C157" s="4"/>
      <c r="D157" s="4"/>
      <c r="E157" s="4"/>
      <c r="F157" s="4" t="s">
        <v>14</v>
      </c>
      <c r="G157" s="4"/>
      <c r="H157" s="4"/>
      <c r="I157" s="4" t="s">
        <v>19</v>
      </c>
      <c r="J157"/>
      <c r="K157"/>
      <c r="L157"/>
      <c r="M157" s="4"/>
      <c r="N157" s="4"/>
      <c r="O157" s="4"/>
      <c r="P157" s="4"/>
      <c r="Q157" s="4"/>
      <c r="R157" s="4"/>
      <c r="S157" s="4"/>
      <c r="T157" s="4"/>
    </row>
    <row r="158" spans="1:20">
      <c r="A158" s="4"/>
      <c r="B158" s="4"/>
      <c r="C158" s="4"/>
      <c r="D158" s="4"/>
      <c r="E158" s="4"/>
      <c r="F158" s="4" t="s">
        <v>15</v>
      </c>
      <c r="G158" s="4"/>
      <c r="H158" s="4"/>
      <c r="I158" s="4"/>
      <c r="J158"/>
      <c r="K158"/>
      <c r="L158"/>
      <c r="M158" s="4"/>
      <c r="N158" s="4"/>
      <c r="O158" s="4"/>
      <c r="P158" s="4"/>
      <c r="Q158" s="4"/>
      <c r="R158" s="4"/>
      <c r="S158" s="4"/>
      <c r="T158" s="4"/>
    </row>
    <row r="159" spans="1:20">
      <c r="A159" s="4"/>
      <c r="B159" s="4"/>
      <c r="C159" s="4"/>
      <c r="D159" s="4"/>
      <c r="E159" s="4"/>
      <c r="F159" s="4"/>
      <c r="G159" s="4"/>
      <c r="H159" s="4"/>
      <c r="I159" s="4"/>
      <c r="J159"/>
      <c r="K159"/>
      <c r="L159"/>
      <c r="M159" s="4"/>
      <c r="N159" s="4"/>
      <c r="O159" s="4"/>
      <c r="P159" s="4"/>
      <c r="Q159" s="4"/>
      <c r="R159" s="4"/>
      <c r="S159" s="4"/>
      <c r="T159" s="4"/>
    </row>
    <row r="160" spans="1:20">
      <c r="A160" s="4"/>
      <c r="B160" s="4"/>
      <c r="C160" s="4"/>
      <c r="D160" s="4"/>
      <c r="E160" s="4"/>
      <c r="F160" s="4"/>
      <c r="G160" s="4"/>
      <c r="H160" s="4"/>
      <c r="I160" s="4"/>
      <c r="J160"/>
      <c r="K160"/>
      <c r="L160"/>
      <c r="M160" s="4"/>
      <c r="N160" s="4"/>
      <c r="O160" s="4"/>
      <c r="P160" s="4"/>
      <c r="Q160" s="4"/>
      <c r="R160" s="4"/>
      <c r="S160" s="4"/>
      <c r="T160" s="4"/>
    </row>
    <row r="161" spans="1:20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>
      <c r="A163" s="4"/>
      <c r="B163" s="48" t="s">
        <v>20</v>
      </c>
      <c r="C163" s="48"/>
      <c r="D163" s="48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>
      <c r="A164" s="4"/>
      <c r="B164" s="48" t="s">
        <v>21</v>
      </c>
      <c r="C164" s="48"/>
      <c r="D164" s="48"/>
      <c r="E164" s="48"/>
      <c r="F164" s="4"/>
      <c r="G164" s="4"/>
      <c r="H164" s="4"/>
      <c r="I164" s="4"/>
      <c r="J164" s="4"/>
      <c r="K164" s="4"/>
      <c r="L164" s="4"/>
      <c r="M164" s="48" t="s">
        <v>60</v>
      </c>
      <c r="N164" s="48"/>
      <c r="O164" s="48"/>
      <c r="P164" s="48"/>
      <c r="Q164" s="48"/>
      <c r="R164" s="48"/>
      <c r="S164" s="48"/>
      <c r="T164" s="48"/>
    </row>
    <row r="165" spans="1:20">
      <c r="A165" s="4"/>
      <c r="B165" s="48" t="s">
        <v>22</v>
      </c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 t="s">
        <v>59</v>
      </c>
      <c r="N165" s="48"/>
      <c r="O165" s="48"/>
      <c r="P165" s="4"/>
      <c r="Q165" s="4"/>
      <c r="R165" s="4"/>
      <c r="S165" s="4"/>
      <c r="T165" s="4"/>
    </row>
    <row r="166" spans="1:20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>
      <c r="A169" s="4"/>
      <c r="B169" s="48" t="s">
        <v>23</v>
      </c>
      <c r="C169" s="48"/>
      <c r="D169" s="48"/>
      <c r="E169" s="4" t="s">
        <v>24</v>
      </c>
      <c r="F169" s="48" t="s">
        <v>25</v>
      </c>
      <c r="G169" s="48"/>
      <c r="H169" s="48"/>
      <c r="I169" s="48"/>
      <c r="J169" s="48"/>
      <c r="K169" s="48"/>
      <c r="L169" s="48"/>
      <c r="M169" s="48"/>
      <c r="N169" s="4"/>
      <c r="O169" s="4"/>
      <c r="P169" s="4"/>
      <c r="Q169" s="4"/>
      <c r="R169" s="4"/>
      <c r="S169" s="4"/>
      <c r="T169" s="4"/>
    </row>
    <row r="170" spans="1:2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>
      <c r="A173" s="4"/>
      <c r="B173" s="4"/>
      <c r="C173" s="4" t="s">
        <v>26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>
      <c r="A174" s="4"/>
      <c r="B174" s="4"/>
      <c r="C174" s="4" t="s">
        <v>27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>
      <c r="A175" s="4"/>
      <c r="B175" s="4"/>
      <c r="C175" s="48" t="s">
        <v>28</v>
      </c>
      <c r="D175" s="48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>
      <c r="A176" s="4"/>
      <c r="B176" s="4"/>
      <c r="C176" s="48" t="s">
        <v>29</v>
      </c>
      <c r="D176" s="48"/>
      <c r="E176" s="4"/>
      <c r="F176" s="4"/>
      <c r="G176" s="4"/>
      <c r="H176" s="48" t="s">
        <v>32</v>
      </c>
      <c r="I176" s="48"/>
      <c r="J176" s="48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>
      <c r="A178" s="4"/>
      <c r="B178" s="4"/>
      <c r="C178" s="48" t="s">
        <v>30</v>
      </c>
      <c r="D178" s="48"/>
      <c r="E178" s="48" t="s">
        <v>31</v>
      </c>
      <c r="F178" s="48"/>
      <c r="G178" s="48"/>
      <c r="H178" s="48"/>
      <c r="I178" s="48"/>
      <c r="J178" s="48"/>
      <c r="K178" s="48"/>
      <c r="L178" s="4"/>
      <c r="M178" s="4"/>
      <c r="N178" s="4"/>
      <c r="O178" s="4"/>
      <c r="P178" s="4"/>
      <c r="Q178" s="4"/>
      <c r="R178" s="4"/>
      <c r="S178" s="4"/>
      <c r="T178" s="4"/>
    </row>
    <row r="179" spans="1:20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>
      <c r="A180" s="4"/>
      <c r="B180" s="48" t="s">
        <v>33</v>
      </c>
      <c r="C180" s="48"/>
      <c r="D180" s="48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>
      <c r="A181" s="4"/>
      <c r="B181" s="48" t="s">
        <v>34</v>
      </c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"/>
      <c r="P181" s="4"/>
      <c r="Q181" s="4"/>
      <c r="R181" s="4"/>
      <c r="S181" s="4"/>
      <c r="T181" s="4"/>
    </row>
    <row r="182" spans="1:20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>
      <c r="A183" s="4"/>
      <c r="B183" s="4" t="s">
        <v>35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>
      <c r="A184" s="4" t="s">
        <v>41</v>
      </c>
      <c r="B184" s="4" t="s">
        <v>36</v>
      </c>
      <c r="C184" s="4" t="s">
        <v>37</v>
      </c>
      <c r="D184" s="4"/>
      <c r="E184" s="4" t="s">
        <v>38</v>
      </c>
      <c r="F184" s="4" t="s">
        <v>39</v>
      </c>
      <c r="G184" s="4" t="s">
        <v>40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>
      <c r="A185" s="4" t="s">
        <v>42</v>
      </c>
      <c r="B185" s="4" t="s">
        <v>43</v>
      </c>
      <c r="C185" s="4"/>
      <c r="D185" s="4"/>
      <c r="E185" s="4"/>
      <c r="F185" s="4" t="s">
        <v>43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>
      <c r="A187" s="4"/>
      <c r="B187" s="4" t="s">
        <v>26</v>
      </c>
      <c r="C187" s="48" t="s">
        <v>46</v>
      </c>
      <c r="D187" s="48"/>
      <c r="E187" s="48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>
      <c r="A188" s="4"/>
      <c r="B188" s="4" t="s">
        <v>28</v>
      </c>
      <c r="C188" s="48" t="s">
        <v>45</v>
      </c>
      <c r="D188" s="48"/>
      <c r="E188" s="48"/>
      <c r="F188" s="48"/>
      <c r="G188" s="48"/>
      <c r="H188" s="48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>
      <c r="A189" s="4"/>
      <c r="B189" s="4" t="s">
        <v>27</v>
      </c>
      <c r="C189" s="48" t="s">
        <v>44</v>
      </c>
      <c r="D189" s="48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>
      <c r="A198" s="4"/>
      <c r="B198" s="4"/>
      <c r="C198" s="4"/>
      <c r="D198" s="4"/>
      <c r="E198" s="4"/>
      <c r="F198" s="4"/>
      <c r="G198" s="48" t="s">
        <v>64</v>
      </c>
      <c r="H198" s="48"/>
      <c r="I198" s="48"/>
      <c r="J198" s="48"/>
      <c r="K198" s="48"/>
      <c r="L198" s="48"/>
      <c r="M198" s="48"/>
      <c r="N198" s="48"/>
      <c r="O198" s="4"/>
      <c r="P198" s="4"/>
      <c r="Q198" s="4"/>
      <c r="R198" s="4"/>
      <c r="S198" s="4"/>
      <c r="T198" s="4"/>
    </row>
    <row r="199" spans="1:20">
      <c r="A199" s="4"/>
      <c r="B199" s="4"/>
      <c r="C199" s="4" t="s">
        <v>61</v>
      </c>
      <c r="D199" s="4">
        <v>750000000</v>
      </c>
      <c r="E199" s="4"/>
      <c r="F199" s="4"/>
      <c r="G199" s="48" t="s">
        <v>65</v>
      </c>
      <c r="H199" s="48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>
      <c r="A200" s="4"/>
      <c r="B200" s="4"/>
      <c r="C200" s="4" t="s">
        <v>62</v>
      </c>
      <c r="D200" s="4">
        <v>12</v>
      </c>
      <c r="E200" s="4"/>
      <c r="F200" s="4"/>
      <c r="G200" s="48" t="s">
        <v>66</v>
      </c>
      <c r="H200" s="48"/>
      <c r="I200" s="4">
        <v>51000000</v>
      </c>
      <c r="J200" s="48" t="s">
        <v>67</v>
      </c>
      <c r="K200" s="48"/>
      <c r="L200" s="4"/>
      <c r="M200" s="4"/>
      <c r="N200" s="4"/>
      <c r="O200" s="4"/>
      <c r="P200" s="4"/>
      <c r="Q200" s="4"/>
      <c r="R200" s="4"/>
      <c r="S200" s="4"/>
      <c r="T200" s="4"/>
    </row>
    <row r="201" spans="1:20">
      <c r="A201" s="4"/>
      <c r="B201" s="4"/>
      <c r="C201" s="4" t="s">
        <v>63</v>
      </c>
      <c r="D201" s="4">
        <v>6.8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>
      <c r="A202" s="4"/>
      <c r="B202" s="4"/>
      <c r="C202" s="4"/>
      <c r="D202" s="4"/>
      <c r="E202" s="4"/>
      <c r="F202" s="4"/>
      <c r="G202" s="48" t="s">
        <v>68</v>
      </c>
      <c r="H202" s="48"/>
      <c r="I202" s="4"/>
      <c r="J202" s="4"/>
      <c r="K202" s="4"/>
      <c r="L202" s="4"/>
      <c r="M202" s="4"/>
      <c r="N202" s="4"/>
      <c r="O202" s="4"/>
      <c r="P202" s="4">
        <v>346.3581337</v>
      </c>
      <c r="Q202" s="4">
        <v>1913.4104669999999</v>
      </c>
      <c r="R202" s="4"/>
      <c r="S202" s="4"/>
      <c r="T202" s="4"/>
    </row>
    <row r="203" spans="1:20">
      <c r="A203" s="4"/>
      <c r="B203" s="4"/>
      <c r="C203" s="4"/>
      <c r="D203" s="4"/>
      <c r="E203" s="4"/>
      <c r="F203" s="4"/>
      <c r="G203" s="4">
        <v>901643436</v>
      </c>
      <c r="H203" s="4"/>
      <c r="I203" s="4"/>
      <c r="J203" s="48" t="s">
        <v>70</v>
      </c>
      <c r="K203" s="48"/>
      <c r="L203" s="4"/>
      <c r="M203" s="4"/>
      <c r="N203" s="4"/>
      <c r="O203" s="4"/>
      <c r="P203" s="4" t="s">
        <v>76</v>
      </c>
      <c r="Q203" s="4">
        <v>177.2975252</v>
      </c>
      <c r="R203" s="4" t="s">
        <v>77</v>
      </c>
      <c r="S203" s="4">
        <v>822.7024748</v>
      </c>
      <c r="T203" s="4">
        <v>1000</v>
      </c>
    </row>
    <row r="204" spans="1:20">
      <c r="A204" s="4"/>
      <c r="B204" s="4"/>
      <c r="C204" s="4"/>
      <c r="D204" s="4"/>
      <c r="E204" s="4"/>
      <c r="F204" s="4"/>
      <c r="G204" s="48" t="s">
        <v>69</v>
      </c>
      <c r="H204" s="48"/>
      <c r="I204" s="4">
        <v>1651643436</v>
      </c>
      <c r="J204" s="4">
        <v>1651.6434360000001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>
        <v>9.4444439999999998E-3</v>
      </c>
      <c r="Q205" s="4">
        <v>80.167958659999996</v>
      </c>
      <c r="R205" s="4"/>
      <c r="S205" s="4"/>
      <c r="T205" s="4"/>
    </row>
    <row r="206" spans="1:20">
      <c r="A206" s="4"/>
      <c r="B206" s="4"/>
      <c r="C206" s="4"/>
      <c r="D206" s="4"/>
      <c r="E206" s="4"/>
      <c r="F206" s="4"/>
      <c r="G206" s="4"/>
      <c r="H206" s="4"/>
      <c r="I206" s="4" t="s">
        <v>71</v>
      </c>
      <c r="J206" s="4">
        <v>1651.6434360000001</v>
      </c>
      <c r="K206" s="4"/>
      <c r="L206" s="4"/>
      <c r="M206" s="4">
        <v>10489.703020000001</v>
      </c>
      <c r="N206" s="4"/>
      <c r="O206" s="4"/>
      <c r="P206" s="4"/>
      <c r="Q206" s="4"/>
      <c r="R206" s="4"/>
      <c r="S206" s="4"/>
      <c r="T206" s="4"/>
    </row>
    <row r="207" spans="1:20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>
        <v>965.34894389999999</v>
      </c>
      <c r="Q207" s="4"/>
      <c r="R207" s="4">
        <v>965.35366320000003</v>
      </c>
      <c r="S207" s="4"/>
      <c r="T207" s="4"/>
    </row>
    <row r="208" spans="1:20">
      <c r="A208" s="4"/>
      <c r="B208" s="4"/>
      <c r="C208" s="4"/>
      <c r="D208" s="4"/>
      <c r="E208" s="4"/>
      <c r="F208" s="4"/>
      <c r="G208" s="4"/>
      <c r="H208" s="4"/>
      <c r="I208" s="4">
        <v>1651.6434360000001</v>
      </c>
      <c r="J208" s="4"/>
      <c r="K208" s="4"/>
      <c r="L208" s="4"/>
      <c r="M208" s="4">
        <v>10489.703020000001</v>
      </c>
      <c r="N208" s="4"/>
      <c r="O208" s="4"/>
      <c r="P208" s="4"/>
      <c r="Q208" s="4"/>
      <c r="R208" s="4"/>
      <c r="S208" s="4"/>
      <c r="T208" s="4"/>
    </row>
    <row r="209" spans="1:20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>
        <v>10480</v>
      </c>
      <c r="N209" s="4"/>
      <c r="O209" s="4"/>
      <c r="P209" s="4"/>
      <c r="Q209" s="4"/>
      <c r="R209" s="4"/>
      <c r="S209" s="4"/>
      <c r="T209" s="4"/>
    </row>
    <row r="210" spans="1:2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>
      <c r="A212" s="4"/>
      <c r="B212" s="4" t="s">
        <v>72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>
      <c r="A213" s="4"/>
      <c r="B213" s="4">
        <v>1</v>
      </c>
      <c r="C213" s="48" t="s">
        <v>75</v>
      </c>
      <c r="D213" s="48"/>
      <c r="E213" s="48"/>
      <c r="F213" s="48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>
      <c r="A214" s="4"/>
      <c r="B214" s="4">
        <v>2</v>
      </c>
      <c r="C214" s="4" t="s">
        <v>74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>
      <c r="A215" s="4"/>
      <c r="B215" s="4">
        <v>3</v>
      </c>
      <c r="C215" s="4" t="s">
        <v>7</v>
      </c>
      <c r="D215" s="4"/>
      <c r="E215" s="4"/>
      <c r="F215" s="4"/>
      <c r="G215" s="4"/>
      <c r="H215" s="48" t="s">
        <v>84</v>
      </c>
      <c r="I215" s="48"/>
      <c r="J215" s="48"/>
      <c r="K215" s="48"/>
      <c r="L215" s="48"/>
      <c r="M215" s="48"/>
      <c r="N215" s="48"/>
      <c r="O215" s="48"/>
      <c r="P215" s="48"/>
      <c r="Q215" s="48"/>
      <c r="R215" s="4"/>
      <c r="S215" s="4"/>
      <c r="T215" s="4"/>
    </row>
    <row r="216" spans="1:20">
      <c r="A216" s="4"/>
      <c r="B216" s="4">
        <v>4</v>
      </c>
      <c r="C216" s="4" t="s">
        <v>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>
      <c r="A217" s="4"/>
      <c r="B217" s="4">
        <v>5</v>
      </c>
      <c r="C217" s="48" t="s">
        <v>73</v>
      </c>
      <c r="D217" s="48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>
      <c r="A218" s="4"/>
      <c r="B218" s="4">
        <v>6</v>
      </c>
      <c r="C218" s="4" t="s">
        <v>5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>
      <c r="A219" s="4"/>
      <c r="B219" s="4">
        <v>7</v>
      </c>
      <c r="C219" s="4" t="s">
        <v>6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>
      <c r="A221" s="4"/>
      <c r="B221" s="4"/>
      <c r="C221" s="4"/>
      <c r="D221" s="4"/>
      <c r="E221" s="4"/>
      <c r="F221" s="4"/>
      <c r="G221" s="4"/>
      <c r="H221" s="4" t="s">
        <v>85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>
      <c r="A222" s="4"/>
      <c r="B222" s="48" t="s">
        <v>78</v>
      </c>
      <c r="C222" s="48"/>
      <c r="D222" s="48"/>
      <c r="E222" s="48"/>
      <c r="F222" s="4"/>
      <c r="G222" s="4"/>
      <c r="H222" s="48" t="s">
        <v>49</v>
      </c>
      <c r="I222" s="48"/>
      <c r="J222" s="48"/>
      <c r="K222" s="48" t="s">
        <v>88</v>
      </c>
      <c r="L222" s="48"/>
      <c r="M222" s="48"/>
      <c r="N222" s="48"/>
      <c r="O222" s="4"/>
      <c r="P222" s="4"/>
      <c r="Q222" s="4"/>
      <c r="R222" s="4"/>
      <c r="S222" s="4"/>
      <c r="T222" s="4"/>
    </row>
    <row r="223" spans="1:20">
      <c r="A223" s="4"/>
      <c r="B223" s="48" t="s">
        <v>79</v>
      </c>
      <c r="C223" s="48"/>
      <c r="D223" s="48"/>
      <c r="E223" s="48"/>
      <c r="F223" s="4"/>
      <c r="G223" s="4"/>
      <c r="H223" s="48" t="s">
        <v>86</v>
      </c>
      <c r="I223" s="48"/>
      <c r="J223" s="48"/>
      <c r="K223" s="48"/>
      <c r="L223" s="48"/>
      <c r="M223" s="48"/>
      <c r="N223" s="48"/>
      <c r="O223" s="48"/>
      <c r="P223" s="4"/>
      <c r="Q223" s="4"/>
      <c r="R223" s="4"/>
      <c r="S223" s="4"/>
      <c r="T223" s="4"/>
    </row>
    <row r="224" spans="1:20">
      <c r="A224" s="4"/>
      <c r="B224" s="48" t="s">
        <v>80</v>
      </c>
      <c r="C224" s="48"/>
      <c r="D224" s="48"/>
      <c r="E224" s="48"/>
      <c r="F224" s="48"/>
      <c r="G224" s="4"/>
      <c r="H224" s="48" t="s">
        <v>87</v>
      </c>
      <c r="I224" s="48"/>
      <c r="J224" s="48"/>
      <c r="K224" s="48"/>
      <c r="L224" s="48"/>
      <c r="M224" s="48"/>
      <c r="N224" s="4"/>
      <c r="O224" s="4"/>
      <c r="P224" s="4"/>
      <c r="Q224" s="4"/>
      <c r="R224" s="4"/>
      <c r="S224" s="4"/>
      <c r="T224" s="4"/>
    </row>
    <row r="225" spans="1:20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>
      <c r="A226" s="4"/>
      <c r="B226" s="4"/>
      <c r="C226" s="4"/>
      <c r="D226" s="4"/>
      <c r="E226" s="4"/>
      <c r="F226" s="4"/>
      <c r="G226" s="4"/>
      <c r="H226" s="4" t="s">
        <v>85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>
      <c r="A227" s="4"/>
      <c r="B227" s="48" t="s">
        <v>81</v>
      </c>
      <c r="C227" s="48"/>
      <c r="D227" s="48"/>
      <c r="E227" s="4"/>
      <c r="F227" s="4"/>
      <c r="G227" s="4"/>
      <c r="H227" s="48" t="s">
        <v>89</v>
      </c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</row>
    <row r="228" spans="1:20">
      <c r="A228" s="4"/>
      <c r="B228" s="48" t="s">
        <v>82</v>
      </c>
      <c r="C228" s="48"/>
      <c r="D228" s="48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>
      <c r="A229" s="4"/>
      <c r="B229" s="48" t="s">
        <v>83</v>
      </c>
      <c r="C229" s="48"/>
      <c r="D229" s="48"/>
      <c r="E229" s="48"/>
      <c r="F229" s="4"/>
      <c r="G229" s="4"/>
      <c r="H229" s="48" t="s">
        <v>49</v>
      </c>
      <c r="I229" s="48"/>
      <c r="J229" s="48"/>
      <c r="K229" s="48"/>
      <c r="L229" s="4"/>
      <c r="M229" s="4"/>
      <c r="N229" s="4"/>
      <c r="O229" s="4"/>
      <c r="P229" s="4"/>
      <c r="Q229" s="4"/>
      <c r="R229" s="4"/>
      <c r="S229" s="4"/>
      <c r="T229" s="4"/>
    </row>
    <row r="230" spans="1:20">
      <c r="A230" s="4"/>
      <c r="B230" s="4"/>
      <c r="C230" s="4"/>
      <c r="D230" s="4"/>
      <c r="E230" s="4"/>
      <c r="F230" s="4"/>
      <c r="G230" s="4"/>
      <c r="H230" s="48" t="s">
        <v>90</v>
      </c>
      <c r="I230" s="48"/>
      <c r="J230" s="48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>
      <c r="A231" s="4"/>
      <c r="B231" s="4"/>
      <c r="C231" s="4"/>
      <c r="D231" s="4"/>
      <c r="E231" s="4"/>
      <c r="F231" s="4"/>
      <c r="G231" s="4"/>
      <c r="H231" s="48" t="s">
        <v>91</v>
      </c>
      <c r="I231" s="48"/>
      <c r="J231" s="48"/>
      <c r="K231" s="48"/>
      <c r="L231" s="48"/>
      <c r="M231" s="4"/>
      <c r="N231" s="4"/>
      <c r="O231" s="4"/>
      <c r="P231" s="4"/>
      <c r="Q231" s="4"/>
      <c r="R231" s="4"/>
      <c r="S231" s="4"/>
      <c r="T231" s="4"/>
    </row>
    <row r="232" spans="1:20">
      <c r="A232" s="4"/>
      <c r="B232" s="4"/>
      <c r="C232" s="4"/>
      <c r="D232" s="4"/>
      <c r="E232" s="4"/>
      <c r="F232" s="4"/>
      <c r="G232" s="4"/>
      <c r="H232" s="48" t="s">
        <v>92</v>
      </c>
      <c r="I232" s="48"/>
      <c r="J232" s="48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8"/>
      <c r="N233" s="9" t="s">
        <v>115</v>
      </c>
      <c r="O233" s="9" t="s">
        <v>116</v>
      </c>
      <c r="P233" s="4"/>
      <c r="Q233" s="4"/>
      <c r="R233" s="4"/>
      <c r="S233" s="4"/>
      <c r="T233" s="4"/>
    </row>
    <row r="234" spans="1:20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10"/>
      <c r="N234" s="11"/>
      <c r="O234" s="11"/>
      <c r="P234" s="4"/>
      <c r="Q234" s="4"/>
      <c r="R234" s="4"/>
      <c r="S234" s="4"/>
      <c r="T234" s="4"/>
    </row>
    <row r="235" spans="1:20">
      <c r="A235" s="4"/>
      <c r="B235" s="4"/>
      <c r="C235" s="4"/>
      <c r="D235" s="4"/>
      <c r="E235" s="4"/>
      <c r="F235" s="4"/>
      <c r="G235" s="4"/>
      <c r="H235" s="4">
        <v>1</v>
      </c>
      <c r="I235" s="4">
        <v>2</v>
      </c>
      <c r="J235" s="4">
        <v>3</v>
      </c>
      <c r="K235" s="4"/>
      <c r="L235" s="4"/>
      <c r="M235" s="10" t="s">
        <v>274</v>
      </c>
      <c r="N235" s="11">
        <v>0.12</v>
      </c>
      <c r="O235" s="11">
        <v>0.17</v>
      </c>
      <c r="P235" s="4"/>
      <c r="Q235" s="4"/>
      <c r="R235" s="4"/>
      <c r="S235" s="4"/>
      <c r="T235" s="4"/>
    </row>
    <row r="236" spans="1:20">
      <c r="A236" s="4"/>
      <c r="B236" s="48" t="s">
        <v>275</v>
      </c>
      <c r="C236" s="48"/>
      <c r="D236" s="48"/>
      <c r="E236" s="5" t="s">
        <v>61</v>
      </c>
      <c r="F236" s="5">
        <v>2290</v>
      </c>
      <c r="G236" s="4"/>
      <c r="H236" s="4"/>
      <c r="I236" s="4"/>
      <c r="J236" s="4"/>
      <c r="K236" s="4"/>
      <c r="L236" s="4"/>
      <c r="M236" s="10" t="s">
        <v>276</v>
      </c>
      <c r="N236" s="11">
        <v>0.08</v>
      </c>
      <c r="O236" s="11">
        <v>0.1</v>
      </c>
      <c r="P236" s="4"/>
      <c r="Q236" s="4"/>
      <c r="R236" s="4"/>
      <c r="S236" s="4"/>
      <c r="T236" s="4"/>
    </row>
    <row r="237" spans="1:20">
      <c r="A237" s="4"/>
      <c r="B237" s="48" t="s">
        <v>277</v>
      </c>
      <c r="C237" s="48"/>
      <c r="D237" s="48"/>
      <c r="E237" s="48" t="s">
        <v>278</v>
      </c>
      <c r="F237" s="48"/>
      <c r="G237" s="4">
        <v>68.7</v>
      </c>
      <c r="H237" s="4"/>
      <c r="I237" s="4"/>
      <c r="J237" s="4"/>
      <c r="K237" s="4"/>
      <c r="L237" s="4"/>
      <c r="M237" s="10"/>
      <c r="N237" s="11"/>
      <c r="O237" s="11"/>
      <c r="P237" s="4"/>
      <c r="Q237" s="4"/>
      <c r="R237" s="4"/>
      <c r="S237" s="4"/>
      <c r="T237" s="4"/>
    </row>
    <row r="238" spans="1:20">
      <c r="A238" s="4"/>
      <c r="B238" s="48" t="s">
        <v>279</v>
      </c>
      <c r="C238" s="48"/>
      <c r="D238" s="48"/>
      <c r="E238" s="4" t="s">
        <v>280</v>
      </c>
      <c r="F238" s="4"/>
      <c r="G238" s="4"/>
      <c r="H238" s="4">
        <v>2358.6999999999998</v>
      </c>
      <c r="I238" s="4">
        <v>2427.4</v>
      </c>
      <c r="J238" s="4">
        <v>2496.1</v>
      </c>
      <c r="K238" s="4"/>
      <c r="L238" s="4"/>
      <c r="M238" s="10" t="s">
        <v>281</v>
      </c>
      <c r="N238" s="11">
        <v>0.375</v>
      </c>
      <c r="O238" s="11"/>
      <c r="P238" s="4"/>
      <c r="Q238" s="4"/>
      <c r="R238" s="4"/>
      <c r="S238" s="4"/>
      <c r="T238" s="4"/>
    </row>
    <row r="239" spans="1:20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10"/>
      <c r="N239" s="11"/>
      <c r="O239" s="11"/>
      <c r="P239" s="4"/>
      <c r="Q239" s="4"/>
      <c r="R239" s="4"/>
      <c r="S239" s="4"/>
      <c r="T239" s="4"/>
    </row>
    <row r="240" spans="1:20">
      <c r="A240" s="4"/>
      <c r="B240" s="4"/>
      <c r="C240" s="4"/>
      <c r="D240" s="4"/>
      <c r="E240" s="4" t="s">
        <v>282</v>
      </c>
      <c r="F240" s="4"/>
      <c r="G240" s="4"/>
      <c r="H240" s="4">
        <v>2358.6999999999998</v>
      </c>
      <c r="I240" s="4">
        <v>2429.4609999999998</v>
      </c>
      <c r="J240" s="4">
        <v>2502.34483</v>
      </c>
      <c r="K240" s="4"/>
      <c r="L240" s="4"/>
      <c r="M240" s="10" t="s">
        <v>283</v>
      </c>
      <c r="N240" s="11">
        <v>0.4</v>
      </c>
      <c r="O240" s="11">
        <v>0.6</v>
      </c>
      <c r="P240" s="4"/>
      <c r="Q240" s="4"/>
      <c r="R240" s="4"/>
      <c r="S240" s="4"/>
      <c r="T240" s="4"/>
    </row>
    <row r="241" spans="1:20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 t="s">
        <v>284</v>
      </c>
      <c r="N242" s="4">
        <v>0.15</v>
      </c>
      <c r="O242" s="4">
        <v>15</v>
      </c>
      <c r="P242" s="4" t="s">
        <v>125</v>
      </c>
      <c r="Q242" s="4"/>
      <c r="R242" s="4"/>
      <c r="S242" s="4"/>
      <c r="T242" s="4"/>
    </row>
    <row r="243" spans="1:20">
      <c r="A243" s="4"/>
      <c r="B243" s="4"/>
      <c r="C243" s="4"/>
      <c r="D243" s="4"/>
      <c r="E243" s="4">
        <v>3252.167751</v>
      </c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>
      <c r="A244" s="4"/>
      <c r="B244" s="4"/>
      <c r="C244" s="4"/>
      <c r="D244" s="4"/>
      <c r="E244" s="4" t="s">
        <v>285</v>
      </c>
      <c r="F244" s="4">
        <v>-10</v>
      </c>
      <c r="G244" s="4"/>
      <c r="H244" s="4"/>
      <c r="I244" s="4"/>
      <c r="J244" s="4"/>
      <c r="K244" s="4"/>
      <c r="L244" s="4"/>
      <c r="M244" s="4" t="s">
        <v>286</v>
      </c>
      <c r="N244" s="48" t="s">
        <v>287</v>
      </c>
      <c r="O244" s="48"/>
      <c r="P244" s="4">
        <v>1.024E-3</v>
      </c>
      <c r="Q244" s="4">
        <v>3.5999999999999999E-3</v>
      </c>
      <c r="R244" s="4">
        <v>1.4400000000000001E-3</v>
      </c>
      <c r="S244" s="4"/>
      <c r="T244" s="4"/>
    </row>
    <row r="245" spans="1:20">
      <c r="A245" s="4"/>
      <c r="B245" s="4"/>
      <c r="C245" s="4"/>
      <c r="D245" s="4"/>
      <c r="E245" s="4">
        <v>1156.2585670000001</v>
      </c>
      <c r="F245" s="4">
        <v>4.1666666999999998E-2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 t="s">
        <v>288</v>
      </c>
      <c r="N246" s="4">
        <v>6.0639999999999999E-3</v>
      </c>
      <c r="O246" s="4"/>
      <c r="P246" s="4"/>
      <c r="Q246" s="4"/>
      <c r="R246" s="4"/>
      <c r="S246" s="4"/>
      <c r="T246" s="4"/>
    </row>
    <row r="247" spans="1:20">
      <c r="A247" s="4"/>
      <c r="B247" s="4" t="s">
        <v>290</v>
      </c>
      <c r="C247" s="4" t="s">
        <v>291</v>
      </c>
      <c r="D247" s="4" t="s">
        <v>292</v>
      </c>
      <c r="E247" s="4" t="s">
        <v>293</v>
      </c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>
      <c r="A248" s="4"/>
      <c r="B248" s="4">
        <v>1</v>
      </c>
      <c r="C248" s="4">
        <v>6</v>
      </c>
      <c r="D248" s="4">
        <v>7</v>
      </c>
      <c r="E248" s="4">
        <v>12</v>
      </c>
      <c r="F248" s="4"/>
      <c r="G248" s="4"/>
      <c r="H248" s="4"/>
      <c r="I248" s="4"/>
      <c r="J248" s="4"/>
      <c r="K248" s="4"/>
      <c r="L248" s="4"/>
      <c r="M248" s="4" t="s">
        <v>289</v>
      </c>
      <c r="N248" s="4">
        <v>7.7871688999999994E-2</v>
      </c>
      <c r="O248" s="4"/>
      <c r="P248" s="4">
        <v>7.7871689340000003</v>
      </c>
      <c r="Q248" s="4" t="s">
        <v>125</v>
      </c>
      <c r="R248" s="4"/>
      <c r="S248" s="4"/>
      <c r="T248" s="4"/>
    </row>
    <row r="249" spans="1:20">
      <c r="A249" s="4"/>
      <c r="B249" s="4">
        <v>2</v>
      </c>
      <c r="C249" s="4">
        <v>5</v>
      </c>
      <c r="D249" s="4">
        <v>8</v>
      </c>
      <c r="E249" s="4">
        <v>232</v>
      </c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>
      <c r="A250" s="4"/>
      <c r="B250" s="4">
        <v>3</v>
      </c>
      <c r="C250" s="4">
        <v>4</v>
      </c>
      <c r="D250" s="4">
        <v>0</v>
      </c>
      <c r="E250" s="4">
        <v>2323</v>
      </c>
      <c r="F250" s="4"/>
      <c r="G250" s="4"/>
      <c r="H250" s="4"/>
      <c r="I250" s="4"/>
      <c r="J250" s="4"/>
      <c r="K250" s="4"/>
      <c r="L250" s="4"/>
      <c r="M250" s="4">
        <v>0.995024876</v>
      </c>
      <c r="N250" s="4"/>
      <c r="O250" s="4"/>
      <c r="P250" s="4"/>
      <c r="Q250" s="4"/>
      <c r="R250" s="4"/>
      <c r="S250" s="4"/>
      <c r="T250" s="4"/>
    </row>
    <row r="252" spans="1:20">
      <c r="B252" s="2" t="s">
        <v>291</v>
      </c>
    </row>
    <row r="253" spans="1:20">
      <c r="B253" s="2">
        <f>HLOOKUP(B252,B247:E250,4)</f>
        <v>4</v>
      </c>
    </row>
    <row r="255" spans="1:20">
      <c r="A255" s="15" t="s">
        <v>303</v>
      </c>
      <c r="B255" s="15" t="s">
        <v>304</v>
      </c>
      <c r="C255" s="15" t="s">
        <v>305</v>
      </c>
      <c r="D255" s="15" t="s">
        <v>306</v>
      </c>
      <c r="E255" s="15" t="s">
        <v>307</v>
      </c>
      <c r="F255" s="15" t="s">
        <v>308</v>
      </c>
      <c r="G255" s="15" t="s">
        <v>309</v>
      </c>
    </row>
    <row r="256" spans="1:20">
      <c r="A256" s="16" t="s">
        <v>294</v>
      </c>
      <c r="B256" s="17">
        <v>0</v>
      </c>
      <c r="C256" s="17">
        <v>10</v>
      </c>
      <c r="D256" s="17">
        <v>11</v>
      </c>
      <c r="E256" s="17">
        <v>3</v>
      </c>
      <c r="F256" s="17">
        <f>{0;0;0;0;0;0}</f>
        <v>0</v>
      </c>
      <c r="G256" s="17">
        <v>15</v>
      </c>
      <c r="K256" s="2" t="s">
        <v>310</v>
      </c>
    </row>
    <row r="257" spans="1:12">
      <c r="A257" s="16" t="s">
        <v>295</v>
      </c>
      <c r="B257" s="17">
        <v>0</v>
      </c>
      <c r="C257" s="17">
        <v>15</v>
      </c>
      <c r="D257" s="17">
        <v>16</v>
      </c>
      <c r="E257" s="17">
        <v>14</v>
      </c>
      <c r="F257" s="17">
        <v>0</v>
      </c>
      <c r="G257" s="17">
        <v>8</v>
      </c>
      <c r="K257" s="2" t="s">
        <v>311</v>
      </c>
    </row>
    <row r="258" spans="1:12">
      <c r="A258" s="16" t="s">
        <v>296</v>
      </c>
      <c r="B258" s="17">
        <v>0</v>
      </c>
      <c r="C258" s="17">
        <v>15</v>
      </c>
      <c r="D258" s="17">
        <v>7</v>
      </c>
      <c r="E258" s="17">
        <v>19</v>
      </c>
      <c r="F258" s="17">
        <v>17</v>
      </c>
      <c r="G258" s="17">
        <v>1</v>
      </c>
      <c r="K258" s="2" t="s">
        <v>312</v>
      </c>
    </row>
    <row r="259" spans="1:12">
      <c r="A259" s="16" t="s">
        <v>295</v>
      </c>
      <c r="B259" s="17">
        <v>0</v>
      </c>
      <c r="C259" s="17">
        <v>7</v>
      </c>
      <c r="D259" s="17">
        <v>10</v>
      </c>
      <c r="E259" s="17">
        <v>15</v>
      </c>
      <c r="F259" s="17">
        <v>1</v>
      </c>
      <c r="G259" s="17">
        <v>11</v>
      </c>
    </row>
    <row r="260" spans="1:12">
      <c r="A260" s="16" t="s">
        <v>297</v>
      </c>
      <c r="B260" s="17">
        <v>0</v>
      </c>
      <c r="C260" s="17">
        <v>0</v>
      </c>
      <c r="D260" s="17">
        <v>12</v>
      </c>
      <c r="E260" s="17">
        <v>15</v>
      </c>
      <c r="F260" s="17">
        <v>5</v>
      </c>
      <c r="G260" s="17">
        <v>5</v>
      </c>
    </row>
    <row r="261" spans="1:12">
      <c r="A261" s="16" t="s">
        <v>298</v>
      </c>
      <c r="B261" s="17">
        <v>16</v>
      </c>
      <c r="C261" s="17">
        <v>16</v>
      </c>
      <c r="D261" s="17">
        <v>11</v>
      </c>
      <c r="E261" s="17">
        <v>2</v>
      </c>
      <c r="F261" s="17">
        <v>18</v>
      </c>
      <c r="G261" s="17">
        <v>4</v>
      </c>
    </row>
    <row r="262" spans="1:12">
      <c r="A262" s="16" t="s">
        <v>299</v>
      </c>
      <c r="B262" s="17">
        <v>13</v>
      </c>
      <c r="C262" s="17">
        <v>2</v>
      </c>
      <c r="D262" s="17">
        <v>4</v>
      </c>
      <c r="E262" s="17">
        <v>10</v>
      </c>
      <c r="F262" s="17">
        <v>2</v>
      </c>
      <c r="G262" s="17">
        <v>8</v>
      </c>
    </row>
    <row r="264" spans="1:12">
      <c r="A264" s="14" t="s">
        <v>300</v>
      </c>
      <c r="B264" s="14" t="s">
        <v>302</v>
      </c>
      <c r="C264" s="14" t="s">
        <v>301</v>
      </c>
      <c r="H264" s="2" t="s">
        <v>313</v>
      </c>
    </row>
    <row r="265" spans="1:12">
      <c r="A265" s="1" t="s">
        <v>297</v>
      </c>
      <c r="B265" s="1" t="s">
        <v>307</v>
      </c>
      <c r="C265" s="32">
        <f>VLOOKUP(A265,A255:G262,MATCH(B265,A255:G255,0),0)</f>
        <v>15</v>
      </c>
    </row>
    <row r="268" spans="1:12">
      <c r="B268" s="2" t="s">
        <v>314</v>
      </c>
    </row>
    <row r="269" spans="1:12">
      <c r="B269" s="31" t="s">
        <v>308</v>
      </c>
      <c r="C269" s="33" t="str">
        <f ca="1">INDEX(A256:A262,MATCH(MAX(OFFSET(A256:A262,,MATCH(B269,B255:G255,0))),OFFSET(A256:A262,,MATCH(B269,B255:G255,0)),0))</f>
        <v>CELINE</v>
      </c>
      <c r="H269" s="31" t="s">
        <v>374</v>
      </c>
      <c r="J269" s="31" t="s">
        <v>306</v>
      </c>
    </row>
    <row r="270" spans="1:12">
      <c r="H270" s="2" t="s">
        <v>322</v>
      </c>
      <c r="L270" s="2">
        <f>MATCH(J269,A255:G255)</f>
        <v>4</v>
      </c>
    </row>
    <row r="271" spans="1:12">
      <c r="H271" s="2" t="s">
        <v>321</v>
      </c>
      <c r="L271" s="2">
        <f ca="1">MAX(OFFSET(A255:G262,0,0))</f>
        <v>19</v>
      </c>
    </row>
    <row r="272" spans="1:12">
      <c r="H272" s="2" t="s">
        <v>323</v>
      </c>
    </row>
  </sheetData>
  <mergeCells count="60">
    <mergeCell ref="F155:I155"/>
    <mergeCell ref="J139:K139"/>
    <mergeCell ref="N143:O143"/>
    <mergeCell ref="E149:I149"/>
    <mergeCell ref="K149:T149"/>
    <mergeCell ref="E150:H150"/>
    <mergeCell ref="K150:M150"/>
    <mergeCell ref="E151:I151"/>
    <mergeCell ref="K152:M152"/>
    <mergeCell ref="N152:O152"/>
    <mergeCell ref="P152:T152"/>
    <mergeCell ref="L153:O153"/>
    <mergeCell ref="C178:D178"/>
    <mergeCell ref="E178:K178"/>
    <mergeCell ref="F156:G156"/>
    <mergeCell ref="B163:D163"/>
    <mergeCell ref="B164:E164"/>
    <mergeCell ref="B169:D169"/>
    <mergeCell ref="F169:M169"/>
    <mergeCell ref="C175:D175"/>
    <mergeCell ref="C176:D176"/>
    <mergeCell ref="H176:J176"/>
    <mergeCell ref="M164:T164"/>
    <mergeCell ref="B165:L165"/>
    <mergeCell ref="M165:O165"/>
    <mergeCell ref="G204:H204"/>
    <mergeCell ref="B180:D180"/>
    <mergeCell ref="B181:N181"/>
    <mergeCell ref="C187:E187"/>
    <mergeCell ref="C188:H188"/>
    <mergeCell ref="C189:D189"/>
    <mergeCell ref="G198:N198"/>
    <mergeCell ref="G199:H199"/>
    <mergeCell ref="G200:H200"/>
    <mergeCell ref="J200:K200"/>
    <mergeCell ref="G202:H202"/>
    <mergeCell ref="J203:K203"/>
    <mergeCell ref="C213:F213"/>
    <mergeCell ref="H215:Q215"/>
    <mergeCell ref="C217:D217"/>
    <mergeCell ref="B222:E222"/>
    <mergeCell ref="H222:J222"/>
    <mergeCell ref="K222:N222"/>
    <mergeCell ref="H232:J232"/>
    <mergeCell ref="B223:E223"/>
    <mergeCell ref="H223:O223"/>
    <mergeCell ref="B224:F224"/>
    <mergeCell ref="H224:M224"/>
    <mergeCell ref="B227:D227"/>
    <mergeCell ref="H227:T227"/>
    <mergeCell ref="B228:D228"/>
    <mergeCell ref="B229:E229"/>
    <mergeCell ref="H229:K229"/>
    <mergeCell ref="H230:J230"/>
    <mergeCell ref="H231:L231"/>
    <mergeCell ref="B236:D236"/>
    <mergeCell ref="B237:D237"/>
    <mergeCell ref="E237:F237"/>
    <mergeCell ref="B238:D238"/>
    <mergeCell ref="N244:O244"/>
  </mergeCells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gmentTaille">
                <anchor moveWithCells="1" sizeWithCells="1">
                  <from>
                    <xdr:col>9</xdr:col>
                    <xdr:colOff>695325</xdr:colOff>
                    <xdr:row>3</xdr:row>
                    <xdr:rowOff>161925</xdr:rowOff>
                  </from>
                  <to>
                    <xdr:col>11</xdr:col>
                    <xdr:colOff>790575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ailleText">
                <anchor moveWithCells="1" sizeWithCells="1">
                  <from>
                    <xdr:col>9</xdr:col>
                    <xdr:colOff>676275</xdr:colOff>
                    <xdr:row>16</xdr:row>
                    <xdr:rowOff>123825</xdr:rowOff>
                  </from>
                  <to>
                    <xdr:col>11</xdr:col>
                    <xdr:colOff>723900</xdr:colOff>
                    <xdr:row>22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O194"/>
  <sheetViews>
    <sheetView topLeftCell="A109" workbookViewId="0">
      <selection activeCell="B193" sqref="B193"/>
    </sheetView>
  </sheetViews>
  <sheetFormatPr baseColWidth="10" defaultColWidth="20.85546875" defaultRowHeight="23.25"/>
  <cols>
    <col min="1" max="6" width="20.85546875" style="2"/>
    <col min="7" max="7" width="24.140625" style="2" customWidth="1"/>
    <col min="8" max="8" width="20.85546875" style="2"/>
    <col min="9" max="9" width="24.140625" style="2" customWidth="1"/>
    <col min="10" max="16384" width="20.85546875" style="2"/>
  </cols>
  <sheetData>
    <row r="1" spans="1:9">
      <c r="A1" s="4"/>
      <c r="B1" s="4"/>
      <c r="C1" s="4"/>
      <c r="D1" s="4"/>
      <c r="E1" s="4"/>
      <c r="F1" s="4"/>
      <c r="G1" s="4"/>
      <c r="H1" s="4"/>
      <c r="I1" s="4"/>
    </row>
    <row r="2" spans="1:9">
      <c r="A2" s="4"/>
      <c r="B2" s="4"/>
      <c r="C2" s="4"/>
      <c r="D2" s="4"/>
      <c r="E2" s="4"/>
      <c r="F2" s="4"/>
      <c r="G2" s="4"/>
      <c r="H2" s="4"/>
      <c r="I2" s="4"/>
    </row>
    <row r="3" spans="1:9">
      <c r="A3" s="4"/>
      <c r="B3" s="4"/>
      <c r="C3" s="4"/>
      <c r="D3" s="4"/>
      <c r="E3" s="4"/>
      <c r="F3" s="4"/>
      <c r="G3" s="4"/>
      <c r="H3" s="4"/>
      <c r="I3" s="4"/>
    </row>
    <row r="4" spans="1:9">
      <c r="A4" s="4"/>
      <c r="B4" s="4"/>
      <c r="C4" s="4"/>
      <c r="D4" s="4"/>
      <c r="E4" s="4"/>
      <c r="F4" s="4" t="s">
        <v>93</v>
      </c>
      <c r="G4" s="4"/>
      <c r="H4" s="4" t="s">
        <v>94</v>
      </c>
      <c r="I4" s="4"/>
    </row>
    <row r="5" spans="1:9">
      <c r="A5" s="4"/>
      <c r="B5" s="4" t="s">
        <v>61</v>
      </c>
      <c r="C5" s="4">
        <v>2870</v>
      </c>
      <c r="D5" s="4"/>
      <c r="E5" s="4"/>
      <c r="F5" s="4"/>
      <c r="G5" s="4"/>
      <c r="H5" s="4"/>
      <c r="I5" s="4"/>
    </row>
    <row r="6" spans="1:9">
      <c r="A6" s="4"/>
      <c r="B6" s="4" t="s">
        <v>95</v>
      </c>
      <c r="C6" s="4">
        <v>5.0000000000000001E-3</v>
      </c>
      <c r="D6" s="4"/>
      <c r="E6" s="4"/>
      <c r="F6" s="4">
        <v>77297.779550000007</v>
      </c>
      <c r="G6" s="4"/>
      <c r="H6" s="4">
        <v>77297.779550000007</v>
      </c>
      <c r="I6" s="4"/>
    </row>
    <row r="7" spans="1:9">
      <c r="A7" s="4"/>
      <c r="B7" s="4" t="s">
        <v>96</v>
      </c>
      <c r="C7" s="4">
        <v>29</v>
      </c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 t="s">
        <v>97</v>
      </c>
      <c r="C10" s="4">
        <v>0.995024876</v>
      </c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5" spans="1:9">
      <c r="H15" s="2">
        <v>83.89</v>
      </c>
    </row>
    <row r="22" spans="3:9">
      <c r="C22" s="2" t="s">
        <v>99</v>
      </c>
      <c r="D22" s="2">
        <f>47000*(1.008)</f>
        <v>47376</v>
      </c>
      <c r="F22" s="2">
        <f>1-1.007^(-22)</f>
        <v>0.14226793104010693</v>
      </c>
      <c r="H22" s="2" t="s">
        <v>98</v>
      </c>
    </row>
    <row r="23" spans="3:9">
      <c r="C23" s="2" t="s">
        <v>100</v>
      </c>
      <c r="D23" s="2">
        <f>D22*31</f>
        <v>1468656</v>
      </c>
      <c r="F23" s="2">
        <f>F22/0.007</f>
        <v>20.323990148586706</v>
      </c>
      <c r="H23" s="2">
        <f>55700*(1.01^48-1)/0.01</f>
        <v>3410099.2526913318</v>
      </c>
    </row>
    <row r="24" spans="3:9">
      <c r="F24" s="2">
        <f>F23*3630</f>
        <v>73776.084239369738</v>
      </c>
    </row>
    <row r="25" spans="3:9">
      <c r="D25" s="2">
        <v>20100</v>
      </c>
    </row>
    <row r="26" spans="3:9">
      <c r="D26" s="2">
        <f>1.04^3 -1</f>
        <v>0.12486400000000009</v>
      </c>
    </row>
    <row r="27" spans="3:9">
      <c r="D27" s="2">
        <f>D26/0.04*D25</f>
        <v>62744.16000000004</v>
      </c>
      <c r="E27" s="2">
        <f>D27*1.04</f>
        <v>65253.92640000004</v>
      </c>
      <c r="F27" s="2">
        <f>47300</f>
        <v>47300</v>
      </c>
    </row>
    <row r="29" spans="3:9">
      <c r="D29" s="2">
        <v>3470</v>
      </c>
    </row>
    <row r="30" spans="3:9">
      <c r="D30" s="2">
        <f>0.3/12</f>
        <v>2.4999999999999998E-2</v>
      </c>
      <c r="F30" s="2">
        <f>D29*D30</f>
        <v>86.749999999999986</v>
      </c>
      <c r="I30" s="2">
        <f>53000*8/100/12</f>
        <v>353.33333333333331</v>
      </c>
    </row>
    <row r="31" spans="3:9">
      <c r="I31" s="2">
        <f>I30/(1-(1+8/12/100))^-4</f>
        <v>6.9794238683124736E-7</v>
      </c>
    </row>
    <row r="32" spans="3:9">
      <c r="F32" s="2">
        <f>F30/(1-D30)^-14</f>
        <v>60.860302023251649</v>
      </c>
    </row>
    <row r="35" spans="2:8">
      <c r="B35" s="2" t="s">
        <v>101</v>
      </c>
      <c r="C35" s="2">
        <f>F27</f>
        <v>47300</v>
      </c>
    </row>
    <row r="36" spans="2:8">
      <c r="B36" s="2" t="s">
        <v>95</v>
      </c>
      <c r="C36" s="2">
        <f>0.6/100</f>
        <v>6.0000000000000001E-3</v>
      </c>
    </row>
    <row r="38" spans="2:8">
      <c r="B38" s="2" t="s">
        <v>102</v>
      </c>
      <c r="C38" s="2">
        <f>C35*C36/(1-(1+C36)^-43)</f>
        <v>1251.273479479815</v>
      </c>
    </row>
    <row r="39" spans="2:8">
      <c r="E39" s="2" t="s">
        <v>103</v>
      </c>
      <c r="H39" s="2" t="s">
        <v>108</v>
      </c>
    </row>
    <row r="40" spans="2:8">
      <c r="E40" s="2" t="s">
        <v>104</v>
      </c>
      <c r="H40" s="2" t="s">
        <v>109</v>
      </c>
    </row>
    <row r="41" spans="2:8">
      <c r="E41" s="2" t="s">
        <v>105</v>
      </c>
      <c r="H41" s="2" t="s">
        <v>110</v>
      </c>
    </row>
    <row r="42" spans="2:8">
      <c r="E42" s="2" t="s">
        <v>106</v>
      </c>
      <c r="H42" s="2" t="s">
        <v>111</v>
      </c>
    </row>
    <row r="43" spans="2:8">
      <c r="E43" s="2" t="s">
        <v>107</v>
      </c>
    </row>
    <row r="44" spans="2:8">
      <c r="E44" s="2" t="s">
        <v>112</v>
      </c>
      <c r="H44" s="2" t="s">
        <v>113</v>
      </c>
    </row>
    <row r="48" spans="2:8">
      <c r="D48" s="2" t="s">
        <v>115</v>
      </c>
      <c r="E48" s="2" t="s">
        <v>116</v>
      </c>
      <c r="F48" s="2" t="s">
        <v>117</v>
      </c>
    </row>
    <row r="49" spans="2:8">
      <c r="C49" s="2" t="s">
        <v>114</v>
      </c>
      <c r="D49" s="2">
        <v>50</v>
      </c>
      <c r="E49" s="2">
        <v>50</v>
      </c>
      <c r="F49" s="2">
        <v>50</v>
      </c>
    </row>
    <row r="50" spans="2:8">
      <c r="C50" s="2" t="s">
        <v>118</v>
      </c>
      <c r="D50" s="2">
        <f>12/100</f>
        <v>0.12</v>
      </c>
      <c r="E50" s="2">
        <v>0.16</v>
      </c>
      <c r="F50" s="2">
        <v>0.16</v>
      </c>
    </row>
    <row r="51" spans="2:8">
      <c r="C51" s="2" t="s">
        <v>123</v>
      </c>
      <c r="D51" s="2">
        <f>0.1</f>
        <v>0.1</v>
      </c>
      <c r="E51" s="2">
        <f>12/100</f>
        <v>0.12</v>
      </c>
      <c r="F51" s="2">
        <f>12/100</f>
        <v>0.12</v>
      </c>
    </row>
    <row r="52" spans="2:8">
      <c r="C52" s="2" t="s">
        <v>119</v>
      </c>
      <c r="E52" s="2">
        <v>0.65</v>
      </c>
      <c r="F52" s="2">
        <v>0.2</v>
      </c>
    </row>
    <row r="56" spans="2:8">
      <c r="C56" s="2" t="s">
        <v>120</v>
      </c>
    </row>
    <row r="57" spans="2:8">
      <c r="C57" s="2" t="s">
        <v>121</v>
      </c>
      <c r="D57" s="2">
        <f>1/2*(0.12+0.16)</f>
        <v>0.14000000000000001</v>
      </c>
    </row>
    <row r="59" spans="2:8">
      <c r="C59" s="2" t="s">
        <v>122</v>
      </c>
      <c r="D59" s="2">
        <f>D51^2/4+E51^2/4+2/4*D51*E51*E52</f>
        <v>0.01</v>
      </c>
      <c r="G59" s="2">
        <f>D51^2/4+E51^2/4+2/4*D51*E51*F52</f>
        <v>7.3000000000000009E-3</v>
      </c>
    </row>
    <row r="60" spans="2:8">
      <c r="C60" s="2" t="s">
        <v>124</v>
      </c>
      <c r="D60" s="2">
        <f>SQRT(D59)</f>
        <v>0.1</v>
      </c>
      <c r="E60" s="2">
        <f>D60*100</f>
        <v>10</v>
      </c>
      <c r="F60" s="2" t="s">
        <v>125</v>
      </c>
      <c r="G60" s="2">
        <f>SQRT(G59)*100</f>
        <v>8.5440037453175322</v>
      </c>
      <c r="H60" s="2" t="s">
        <v>125</v>
      </c>
    </row>
    <row r="63" spans="2:8">
      <c r="B63" s="2" t="s">
        <v>126</v>
      </c>
    </row>
    <row r="64" spans="2:8">
      <c r="B64" s="2" t="s">
        <v>127</v>
      </c>
      <c r="D64" s="2" t="s">
        <v>132</v>
      </c>
    </row>
    <row r="65" spans="2:14">
      <c r="B65" s="2" t="s">
        <v>128</v>
      </c>
      <c r="D65" s="2" t="s">
        <v>130</v>
      </c>
    </row>
    <row r="66" spans="2:14">
      <c r="B66" s="2" t="s">
        <v>129</v>
      </c>
      <c r="D66" s="2" t="s">
        <v>131</v>
      </c>
      <c r="K66" s="2" t="s">
        <v>2</v>
      </c>
      <c r="M66" s="2">
        <v>2500</v>
      </c>
    </row>
    <row r="67" spans="2:14">
      <c r="K67" s="2" t="s">
        <v>175</v>
      </c>
      <c r="M67" s="2">
        <f>M66*K72*100</f>
        <v>5.087478242586374</v>
      </c>
    </row>
    <row r="70" spans="2:14">
      <c r="D70" s="2" t="s">
        <v>133</v>
      </c>
      <c r="G70" s="2" t="s">
        <v>141</v>
      </c>
      <c r="H70" s="2" t="s">
        <v>146</v>
      </c>
    </row>
    <row r="71" spans="2:14">
      <c r="C71" s="2" t="s">
        <v>138</v>
      </c>
      <c r="D71" s="2" t="s">
        <v>134</v>
      </c>
      <c r="H71" s="2" t="s">
        <v>147</v>
      </c>
      <c r="J71" s="2">
        <f>100000*(1+5/100*39/360)</f>
        <v>100541.66666666666</v>
      </c>
      <c r="M71" s="2">
        <f>M66+9*M67</f>
        <v>2545.7873041832772</v>
      </c>
    </row>
    <row r="72" spans="2:14">
      <c r="D72" s="2" t="s">
        <v>135</v>
      </c>
      <c r="G72" s="2" t="s">
        <v>142</v>
      </c>
      <c r="H72" s="2" t="s">
        <v>143</v>
      </c>
      <c r="J72" s="2">
        <f>(SQRT(1.05))^(1/12)-1</f>
        <v>2.0349912970345496E-3</v>
      </c>
      <c r="K72" s="2">
        <f>J72/100</f>
        <v>2.0349912970345497E-5</v>
      </c>
    </row>
    <row r="73" spans="2:14">
      <c r="D73" s="2" t="s">
        <v>136</v>
      </c>
    </row>
    <row r="74" spans="2:14">
      <c r="H74" s="2" t="s">
        <v>144</v>
      </c>
      <c r="L74" s="2">
        <f>1.08^(1/4)-1</f>
        <v>1.9426546908273501E-2</v>
      </c>
      <c r="M74" s="2">
        <f>L74*100</f>
        <v>1.9426546908273501</v>
      </c>
      <c r="N74" s="2">
        <f>1.06^(1/12)-1</f>
        <v>4.8675505653430484E-3</v>
      </c>
    </row>
    <row r="75" spans="2:14">
      <c r="D75" s="2" t="s">
        <v>137</v>
      </c>
      <c r="E75" s="2" t="s">
        <v>139</v>
      </c>
      <c r="F75" s="2" t="s">
        <v>140</v>
      </c>
      <c r="H75" s="2" t="s">
        <v>145</v>
      </c>
      <c r="N75" s="2">
        <f>25000*1.1^-3</f>
        <v>18782.870022539439</v>
      </c>
    </row>
    <row r="76" spans="2:14">
      <c r="K76" s="2">
        <f>(SQRT(1.2))^(1/730)-1</f>
        <v>1.2488557618040019E-4</v>
      </c>
      <c r="L76" s="2">
        <f>100*K76</f>
        <v>1.2488557618040019E-2</v>
      </c>
      <c r="M76" s="2" t="s">
        <v>125</v>
      </c>
      <c r="N76" s="2">
        <f>30250*1.1^-5</f>
        <v>18782.870022539435</v>
      </c>
    </row>
    <row r="77" spans="2:14">
      <c r="K77" s="2">
        <f>51/365*2000*6.4/100</f>
        <v>17.884931506849316</v>
      </c>
      <c r="L77" s="2">
        <f>K77/2000*100</f>
        <v>0.89424657534246577</v>
      </c>
    </row>
    <row r="80" spans="2:14">
      <c r="M80" s="2">
        <f>4.5/100*1000000</f>
        <v>45000</v>
      </c>
    </row>
    <row r="82" spans="3:14">
      <c r="K82" s="2">
        <v>45</v>
      </c>
    </row>
    <row r="83" spans="3:14">
      <c r="K83" s="2" t="s">
        <v>176</v>
      </c>
      <c r="L83" s="2">
        <f>(309/365)</f>
        <v>0.84657534246575339</v>
      </c>
    </row>
    <row r="84" spans="3:14">
      <c r="C84" s="2" t="s">
        <v>148</v>
      </c>
      <c r="D84" s="2" t="s">
        <v>149</v>
      </c>
      <c r="E84" s="2" t="s">
        <v>150</v>
      </c>
      <c r="F84" s="2" t="s">
        <v>151</v>
      </c>
      <c r="G84" s="2" t="s">
        <v>152</v>
      </c>
      <c r="K84" s="2">
        <v>1.05</v>
      </c>
    </row>
    <row r="85" spans="3:14">
      <c r="C85" s="2">
        <v>500</v>
      </c>
      <c r="D85" s="2">
        <f>D86+C85</f>
        <v>3580</v>
      </c>
      <c r="E85" s="2">
        <v>196</v>
      </c>
      <c r="F85" s="2">
        <f>G85</f>
        <v>850</v>
      </c>
      <c r="G85" s="2">
        <v>850</v>
      </c>
      <c r="I85" s="2">
        <f t="shared" ref="I85:I86" si="0">MAX(MIN(D85,F85))</f>
        <v>850</v>
      </c>
      <c r="L85" s="2" t="s">
        <v>177</v>
      </c>
      <c r="M85" s="2" t="s">
        <v>178</v>
      </c>
      <c r="N85" s="2" t="s">
        <v>179</v>
      </c>
    </row>
    <row r="86" spans="3:14">
      <c r="C86" s="2">
        <v>500</v>
      </c>
      <c r="D86" s="2">
        <f t="shared" ref="D86:D90" si="1">D87+C86</f>
        <v>3080</v>
      </c>
      <c r="E86" s="2">
        <v>197</v>
      </c>
      <c r="F86" s="2">
        <f>+G86</f>
        <v>950</v>
      </c>
      <c r="G86" s="2">
        <v>950</v>
      </c>
      <c r="I86" s="2">
        <f t="shared" si="0"/>
        <v>950</v>
      </c>
      <c r="L86" s="2">
        <f>K82/K84^L83</f>
        <v>43.179158634798199</v>
      </c>
      <c r="M86" s="2">
        <f>K82/K84^(L83+1)</f>
        <v>41.123008223617326</v>
      </c>
      <c r="N86" s="2">
        <f>(1000+K82)/K84^(2+L83)</f>
        <v>909.49298610963183</v>
      </c>
    </row>
    <row r="87" spans="3:14">
      <c r="C87" s="2">
        <v>180</v>
      </c>
      <c r="D87" s="2">
        <f t="shared" si="1"/>
        <v>2580</v>
      </c>
      <c r="E87" s="5">
        <v>198</v>
      </c>
      <c r="F87" s="2">
        <f t="shared" ref="F87:F92" si="2">+G87</f>
        <v>900</v>
      </c>
      <c r="G87" s="2">
        <v>900</v>
      </c>
      <c r="I87" s="2">
        <f>MAX(MIN(D87,F87))</f>
        <v>900</v>
      </c>
      <c r="K87" s="2" t="s">
        <v>180</v>
      </c>
      <c r="L87" s="2">
        <f>SUM(L86:N86)</f>
        <v>993.79515296804732</v>
      </c>
    </row>
    <row r="88" spans="3:14">
      <c r="D88" s="2">
        <f t="shared" si="1"/>
        <v>2400</v>
      </c>
      <c r="E88" s="5">
        <v>199</v>
      </c>
      <c r="F88" s="2">
        <f t="shared" si="2"/>
        <v>1100</v>
      </c>
      <c r="G88" s="2">
        <v>1100</v>
      </c>
      <c r="I88" s="2">
        <f t="shared" ref="I88:I92" si="3">MAX(MIN(D88,F88))</f>
        <v>1100</v>
      </c>
      <c r="J88" s="2" t="s">
        <v>153</v>
      </c>
    </row>
    <row r="89" spans="3:14">
      <c r="C89" s="2">
        <v>1000</v>
      </c>
      <c r="D89" s="2">
        <f t="shared" si="1"/>
        <v>2400</v>
      </c>
      <c r="E89" s="2">
        <v>200</v>
      </c>
      <c r="F89" s="2">
        <f t="shared" si="2"/>
        <v>0</v>
      </c>
      <c r="I89" s="2">
        <f t="shared" si="3"/>
        <v>0</v>
      </c>
    </row>
    <row r="90" spans="3:14">
      <c r="C90" s="2">
        <v>600</v>
      </c>
      <c r="D90" s="2">
        <f t="shared" si="1"/>
        <v>1400</v>
      </c>
      <c r="E90" s="2">
        <v>201</v>
      </c>
      <c r="F90" s="2">
        <f t="shared" si="2"/>
        <v>200</v>
      </c>
      <c r="G90" s="2">
        <v>200</v>
      </c>
      <c r="I90" s="2">
        <f t="shared" si="3"/>
        <v>200</v>
      </c>
    </row>
    <row r="91" spans="3:14">
      <c r="D91" s="2">
        <f>D92+C91</f>
        <v>800</v>
      </c>
      <c r="E91" s="2">
        <v>203</v>
      </c>
      <c r="F91" s="2">
        <f t="shared" si="2"/>
        <v>850</v>
      </c>
      <c r="G91" s="2">
        <v>850</v>
      </c>
      <c r="I91" s="2">
        <f t="shared" si="3"/>
        <v>800</v>
      </c>
    </row>
    <row r="92" spans="3:14">
      <c r="C92" s="2">
        <v>800</v>
      </c>
      <c r="D92" s="2">
        <v>800</v>
      </c>
      <c r="E92" s="2">
        <v>204</v>
      </c>
      <c r="F92" s="2">
        <f t="shared" si="2"/>
        <v>0</v>
      </c>
      <c r="I92" s="2">
        <f t="shared" si="3"/>
        <v>0</v>
      </c>
    </row>
    <row r="94" spans="3:14">
      <c r="E94" s="2">
        <f>2*(339.4-337.35)/(339.4+337.35)*100</f>
        <v>0.60583671961579744</v>
      </c>
      <c r="G94" s="2" t="s">
        <v>61</v>
      </c>
      <c r="H94" s="2">
        <v>5000000</v>
      </c>
      <c r="J94" s="2" t="s">
        <v>202</v>
      </c>
    </row>
    <row r="95" spans="3:14">
      <c r="E95" s="2">
        <f>4.5/100*1000000</f>
        <v>45000</v>
      </c>
      <c r="G95" s="2" t="s">
        <v>204</v>
      </c>
      <c r="H95" s="2">
        <f>3.2/100</f>
        <v>3.2000000000000001E-2</v>
      </c>
      <c r="J95" s="2" t="s">
        <v>203</v>
      </c>
      <c r="L95" s="2">
        <f>3.9/100</f>
        <v>3.9E-2</v>
      </c>
      <c r="N95" s="2">
        <f>9*30</f>
        <v>270</v>
      </c>
    </row>
    <row r="96" spans="3:14">
      <c r="G96" s="2" t="s">
        <v>201</v>
      </c>
      <c r="H96" s="2">
        <v>9</v>
      </c>
      <c r="N96" s="2">
        <f>(270-45)/270</f>
        <v>0.83333333333333337</v>
      </c>
    </row>
    <row r="97" spans="1:15">
      <c r="L97" s="2" t="s">
        <v>205</v>
      </c>
    </row>
    <row r="98" spans="1:15">
      <c r="L98" s="2">
        <f>5000000*(1+H95*270/360)</f>
        <v>5120000</v>
      </c>
    </row>
    <row r="99" spans="1:15">
      <c r="G99" s="2" t="s">
        <v>209</v>
      </c>
      <c r="H99" s="7">
        <v>0.06</v>
      </c>
      <c r="J99" s="2" t="s">
        <v>206</v>
      </c>
    </row>
    <row r="100" spans="1:15">
      <c r="G100" s="2" t="s">
        <v>208</v>
      </c>
      <c r="H100" s="2">
        <f>(SQRT(1.06)-1)*100</f>
        <v>2.9563014098699991</v>
      </c>
      <c r="I100" s="2" t="s">
        <v>125</v>
      </c>
    </row>
    <row r="101" spans="1:15">
      <c r="B101" s="2" t="s">
        <v>265</v>
      </c>
      <c r="C101" s="2" t="s">
        <v>257</v>
      </c>
      <c r="D101" s="2" t="s">
        <v>260</v>
      </c>
      <c r="E101" s="2" t="s">
        <v>263</v>
      </c>
    </row>
    <row r="102" spans="1:15">
      <c r="G102" s="2" t="s">
        <v>210</v>
      </c>
      <c r="H102" s="2">
        <v>18700</v>
      </c>
      <c r="K102" s="2">
        <f>18700*(1.06)^4*(1+6/100*1/2)</f>
        <v>24316.56872656001</v>
      </c>
      <c r="M102" s="2">
        <f>2000*122.6/100</f>
        <v>2452</v>
      </c>
    </row>
    <row r="103" spans="1:15">
      <c r="A103" s="2" t="s">
        <v>254</v>
      </c>
      <c r="B103" s="2">
        <v>30</v>
      </c>
      <c r="C103" s="2">
        <v>7.5</v>
      </c>
      <c r="D103" s="2" t="s">
        <v>261</v>
      </c>
      <c r="E103" s="2" t="s">
        <v>264</v>
      </c>
      <c r="G103" s="2" t="s">
        <v>211</v>
      </c>
      <c r="H103" s="2">
        <f>H102*H100/100</f>
        <v>552.82836364568982</v>
      </c>
    </row>
    <row r="104" spans="1:15">
      <c r="A104" s="2" t="s">
        <v>255</v>
      </c>
      <c r="B104" s="2">
        <v>21</v>
      </c>
      <c r="C104" s="2">
        <v>7</v>
      </c>
      <c r="D104" s="2" t="s">
        <v>262</v>
      </c>
    </row>
    <row r="105" spans="1:15">
      <c r="A105" s="2" t="s">
        <v>256</v>
      </c>
      <c r="B105" s="2">
        <v>20</v>
      </c>
      <c r="G105" s="2" t="s">
        <v>212</v>
      </c>
      <c r="I105" s="2">
        <f>H103*((1+H100/100)^9-1)/(H100/100)</f>
        <v>5606.2522239371756</v>
      </c>
    </row>
    <row r="106" spans="1:15">
      <c r="G106" s="2" t="s">
        <v>213</v>
      </c>
      <c r="H106" s="2">
        <f>H102+I105</f>
        <v>24306.252223937176</v>
      </c>
      <c r="I106" s="2" t="s">
        <v>214</v>
      </c>
    </row>
    <row r="107" spans="1:15">
      <c r="A107" s="2" t="s">
        <v>258</v>
      </c>
      <c r="B107" s="2">
        <f>SUM(B103:B105)</f>
        <v>71</v>
      </c>
      <c r="C107" s="2">
        <f>SUM(C103:C105)</f>
        <v>14.5</v>
      </c>
      <c r="D107" s="2">
        <f>C107+4.5-1.3</f>
        <v>17.7</v>
      </c>
      <c r="E107" s="2">
        <f>D107+2.3</f>
        <v>20</v>
      </c>
    </row>
    <row r="108" spans="1:15">
      <c r="B108" s="2" t="s">
        <v>259</v>
      </c>
    </row>
    <row r="109" spans="1:15">
      <c r="E109" s="2">
        <v>-3.7</v>
      </c>
      <c r="G109" s="2" t="s">
        <v>215</v>
      </c>
      <c r="H109" s="2">
        <v>50</v>
      </c>
    </row>
    <row r="110" spans="1:15">
      <c r="G110" s="2" t="s">
        <v>216</v>
      </c>
      <c r="H110" s="2">
        <f>6.5/100</f>
        <v>6.5000000000000002E-2</v>
      </c>
      <c r="J110" s="2" t="s">
        <v>218</v>
      </c>
      <c r="K110" s="2" t="s">
        <v>219</v>
      </c>
      <c r="L110" s="2" t="s">
        <v>220</v>
      </c>
      <c r="M110" s="2" t="s">
        <v>221</v>
      </c>
      <c r="O110" s="2" t="s">
        <v>100</v>
      </c>
    </row>
    <row r="111" spans="1:15">
      <c r="E111" s="2">
        <f>E107+E109</f>
        <v>16.3</v>
      </c>
      <c r="G111" s="2" t="s">
        <v>217</v>
      </c>
      <c r="H111" s="2">
        <f>118/365</f>
        <v>0.32328767123287672</v>
      </c>
      <c r="J111" s="2">
        <f>H109/(1+H110)^H111</f>
        <v>48.992343424621225</v>
      </c>
      <c r="K111" s="2">
        <f>H109/(1+H110)^(1+H111)</f>
        <v>46.002200398705376</v>
      </c>
      <c r="L111" s="2">
        <f>H109/(1+H110)^(2+H111)</f>
        <v>43.194554364981578</v>
      </c>
      <c r="M111" s="2">
        <f>1000/1.065^(H111+2)</f>
        <v>863.89108729963152</v>
      </c>
      <c r="O111" s="2">
        <f>SUM(J111:M111)</f>
        <v>1002.0801854879397</v>
      </c>
    </row>
    <row r="112" spans="1:15">
      <c r="D112" s="2" t="s">
        <v>266</v>
      </c>
      <c r="E112" s="2">
        <f>E111-3</f>
        <v>13.3</v>
      </c>
    </row>
    <row r="113" spans="5:15">
      <c r="E113" s="2">
        <f>E112-1.5</f>
        <v>11.8</v>
      </c>
    </row>
    <row r="114" spans="5:15">
      <c r="G114" s="2" t="s">
        <v>61</v>
      </c>
      <c r="H114" s="2">
        <v>1200</v>
      </c>
    </row>
    <row r="115" spans="5:15">
      <c r="G115" s="2" t="s">
        <v>216</v>
      </c>
      <c r="H115" s="2">
        <v>0.7</v>
      </c>
      <c r="I115" s="2">
        <f>0</f>
        <v>0</v>
      </c>
      <c r="L115" s="2" t="s">
        <v>236</v>
      </c>
      <c r="M115" s="2">
        <f>250*6/100</f>
        <v>15</v>
      </c>
    </row>
    <row r="116" spans="5:15">
      <c r="G116" s="2" t="s">
        <v>222</v>
      </c>
      <c r="H116" s="2">
        <f>SQRT(1.07)-1</f>
        <v>3.4408043278860045E-2</v>
      </c>
    </row>
    <row r="117" spans="5:15">
      <c r="I117" s="2">
        <f>H115-H114</f>
        <v>-1199.3</v>
      </c>
    </row>
    <row r="118" spans="5:15">
      <c r="G118" s="2" t="s">
        <v>223</v>
      </c>
      <c r="K118" s="2" t="s">
        <v>225</v>
      </c>
      <c r="L118" s="2">
        <f>4/7</f>
        <v>0.5714285714285714</v>
      </c>
      <c r="N118" s="2">
        <f>64-1.75</f>
        <v>62.25</v>
      </c>
    </row>
    <row r="119" spans="5:15">
      <c r="G119" s="2" t="s">
        <v>127</v>
      </c>
      <c r="K119" s="2" t="s">
        <v>226</v>
      </c>
      <c r="L119" s="2">
        <f>64-L118</f>
        <v>63.428571428571431</v>
      </c>
      <c r="N119" s="2">
        <f>60+6*L118</f>
        <v>63.428571428571431</v>
      </c>
    </row>
    <row r="120" spans="5:15">
      <c r="G120" s="2" t="s">
        <v>129</v>
      </c>
      <c r="I120" s="2" t="s">
        <v>206</v>
      </c>
    </row>
    <row r="121" spans="5:15">
      <c r="G121" s="2" t="s">
        <v>224</v>
      </c>
      <c r="K121" s="2" t="s">
        <v>227</v>
      </c>
      <c r="L121" s="2">
        <f>31-24+15</f>
        <v>22</v>
      </c>
    </row>
    <row r="122" spans="5:15">
      <c r="K122" s="2" t="s">
        <v>228</v>
      </c>
      <c r="L122" s="2">
        <f>1+6/100</f>
        <v>1.06</v>
      </c>
    </row>
    <row r="123" spans="5:15">
      <c r="K123" s="2" t="s">
        <v>229</v>
      </c>
      <c r="L123" s="2">
        <f>22/365</f>
        <v>6.0273972602739728E-2</v>
      </c>
      <c r="O123" s="2" t="s">
        <v>234</v>
      </c>
    </row>
    <row r="124" spans="5:15">
      <c r="G124" s="2">
        <f>15*(1-(1.07)^(-4))/0.07+250/1.07^4</f>
        <v>241.53197185884017</v>
      </c>
      <c r="K124" s="2" t="s">
        <v>101</v>
      </c>
      <c r="L124" s="2">
        <v>50</v>
      </c>
      <c r="O124" s="2" t="s">
        <v>235</v>
      </c>
    </row>
    <row r="125" spans="5:15">
      <c r="G125" s="2">
        <f>5451/5400*360*100/4.3</f>
        <v>8451.1627906976755</v>
      </c>
      <c r="K125" s="2" t="s">
        <v>230</v>
      </c>
      <c r="M125" s="2">
        <f>L124/L122^L123</f>
        <v>49.824703081623731</v>
      </c>
    </row>
    <row r="126" spans="5:15">
      <c r="G126" s="2">
        <f>5451/5400</f>
        <v>1.0094444444444444</v>
      </c>
      <c r="K126" s="2" t="s">
        <v>231</v>
      </c>
      <c r="M126" s="2">
        <f>L124/L122^(1+L123)</f>
        <v>47.004436869456349</v>
      </c>
      <c r="O126" s="2">
        <f>SUM(M125:M128)</f>
        <v>1028.0491156667247</v>
      </c>
    </row>
    <row r="127" spans="5:15">
      <c r="G127" s="2">
        <f>G126-1</f>
        <v>9.4444444444443665E-3</v>
      </c>
      <c r="K127" s="2" t="s">
        <v>232</v>
      </c>
      <c r="M127" s="2">
        <f>L124/(L122^(2+L123))</f>
        <v>44.343808367411654</v>
      </c>
    </row>
    <row r="128" spans="5:15">
      <c r="G128" s="2">
        <f>G127*100*365/4.3</f>
        <v>80.1679586563301</v>
      </c>
      <c r="K128" s="2" t="s">
        <v>233</v>
      </c>
      <c r="M128" s="2">
        <f>1000/L122^(2+L123)</f>
        <v>886.87616734823303</v>
      </c>
    </row>
    <row r="131" spans="7:14">
      <c r="G131" s="2">
        <f>(((1.06)^6*(1.07)^7))^(1/13)</f>
        <v>1.0653729462766528</v>
      </c>
      <c r="H131" s="2">
        <f>G131-1</f>
        <v>6.5372946276652799E-2</v>
      </c>
      <c r="I131" s="2">
        <f>H131*100</f>
        <v>6.5372946276652799</v>
      </c>
      <c r="J131" s="2" t="s">
        <v>125</v>
      </c>
    </row>
    <row r="132" spans="7:14">
      <c r="G132" s="2">
        <f>500*(92+3.227)/100</f>
        <v>476.13499999999999</v>
      </c>
    </row>
    <row r="134" spans="7:14">
      <c r="H134" s="5">
        <v>2015</v>
      </c>
      <c r="I134" s="5">
        <v>2016</v>
      </c>
      <c r="J134" s="5">
        <v>2017</v>
      </c>
      <c r="K134" s="5">
        <v>2018</v>
      </c>
      <c r="L134" s="5">
        <v>2019</v>
      </c>
      <c r="M134" s="5">
        <v>2020</v>
      </c>
      <c r="N134" s="5">
        <v>2021</v>
      </c>
    </row>
    <row r="135" spans="7:14">
      <c r="G135" s="2">
        <v>20</v>
      </c>
    </row>
    <row r="136" spans="7:14">
      <c r="I136" s="2">
        <f>$G$135/G137</f>
        <v>18.867924528301884</v>
      </c>
      <c r="J136" s="2">
        <f>I136/1.06</f>
        <v>17.799928800284796</v>
      </c>
      <c r="K136" s="2">
        <f>J136/1.06</f>
        <v>16.792385660646033</v>
      </c>
      <c r="L136" s="2">
        <f>K136/1.08</f>
        <v>15.548505241338919</v>
      </c>
      <c r="M136" s="2">
        <f>L136/1.08</f>
        <v>14.39676411235085</v>
      </c>
      <c r="N136" s="2">
        <f>M136/1.08</f>
        <v>13.3303371410656</v>
      </c>
    </row>
    <row r="137" spans="7:14">
      <c r="G137" s="2">
        <v>1.06</v>
      </c>
    </row>
    <row r="138" spans="7:14">
      <c r="G138" s="2">
        <v>1.07</v>
      </c>
      <c r="N138" s="2">
        <f>500/(1.06^3*1.08^3)</f>
        <v>333.25842852663999</v>
      </c>
    </row>
    <row r="139" spans="7:14">
      <c r="G139" s="2">
        <v>3</v>
      </c>
      <c r="I139" s="5">
        <v>1.06</v>
      </c>
      <c r="J139" s="5">
        <v>1.06</v>
      </c>
      <c r="K139" s="5">
        <v>1.06</v>
      </c>
      <c r="L139" s="5">
        <v>1.07</v>
      </c>
      <c r="M139" s="5">
        <v>1.07</v>
      </c>
      <c r="N139" s="5">
        <v>1.07</v>
      </c>
    </row>
    <row r="141" spans="7:14">
      <c r="G141" s="2" t="s">
        <v>237</v>
      </c>
      <c r="H141" s="2">
        <f>SUM(I136:N136,N138)</f>
        <v>429.99427401062809</v>
      </c>
    </row>
    <row r="143" spans="7:14">
      <c r="G143" s="2" t="s">
        <v>238</v>
      </c>
      <c r="H143" s="2">
        <f>20*(1-1.06^-6)/0.06+500/1.06^6</f>
        <v>450.82675673994606</v>
      </c>
      <c r="K143" s="2">
        <f>SUM(I136:K136)</f>
        <v>53.460238989232714</v>
      </c>
      <c r="L143" s="2">
        <f>SUM(L136:N136)</f>
        <v>43.275606494755365</v>
      </c>
      <c r="N143" s="2">
        <f>500/(1.06^3*1.07^3)</f>
        <v>342.68971906794354</v>
      </c>
    </row>
    <row r="145" spans="7:12">
      <c r="G145" s="2" t="s">
        <v>143</v>
      </c>
      <c r="H145" s="2">
        <f>0.08/(57.28/2)</f>
        <v>2.7932960893854749E-3</v>
      </c>
      <c r="I145" s="2">
        <f>H145*100</f>
        <v>0.27932960893854747</v>
      </c>
      <c r="J145" s="2" t="s">
        <v>125</v>
      </c>
      <c r="K145" s="2">
        <f>SUM(K143:L143,N143)</f>
        <v>439.42556455193164</v>
      </c>
    </row>
    <row r="147" spans="7:12">
      <c r="G147" s="2" t="s">
        <v>143</v>
      </c>
    </row>
    <row r="149" spans="7:12">
      <c r="J149" s="2">
        <f>256000/24-100^2</f>
        <v>666.66666666666606</v>
      </c>
      <c r="K149" s="2">
        <f>1/24*256000-100^2*25/24</f>
        <v>250</v>
      </c>
    </row>
    <row r="152" spans="7:12">
      <c r="G152" s="2" t="s">
        <v>239</v>
      </c>
      <c r="H152" s="2">
        <f>8.3/100</f>
        <v>8.3000000000000004E-2</v>
      </c>
      <c r="J152" s="2" t="s">
        <v>248</v>
      </c>
      <c r="L152" s="2" t="s">
        <v>249</v>
      </c>
    </row>
    <row r="153" spans="7:12">
      <c r="G153" s="2" t="s">
        <v>240</v>
      </c>
      <c r="H153" s="2">
        <f>3.8/100</f>
        <v>3.7999999999999999E-2</v>
      </c>
      <c r="J153" s="2">
        <f>2.3/2</f>
        <v>1.1499999999999999</v>
      </c>
      <c r="L153" s="2">
        <f>1-J153</f>
        <v>-0.14999999999999991</v>
      </c>
    </row>
    <row r="154" spans="7:12">
      <c r="G154" s="2" t="s">
        <v>247</v>
      </c>
      <c r="H154" s="2">
        <f>H153^2</f>
        <v>1.444E-3</v>
      </c>
    </row>
    <row r="155" spans="7:12">
      <c r="G155" s="2" t="s">
        <v>241</v>
      </c>
      <c r="H155" s="2">
        <f>8/100</f>
        <v>0.08</v>
      </c>
      <c r="J155" s="2" t="s">
        <v>250</v>
      </c>
    </row>
    <row r="156" spans="7:12">
      <c r="G156" s="2" t="s">
        <v>242</v>
      </c>
      <c r="H156" s="2">
        <f>3.5/100</f>
        <v>3.5000000000000003E-2</v>
      </c>
      <c r="J156" s="2" t="s">
        <v>251</v>
      </c>
    </row>
    <row r="157" spans="7:12">
      <c r="G157" s="2" t="s">
        <v>246</v>
      </c>
      <c r="H157" s="2">
        <f>H156^2</f>
        <v>1.2250000000000002E-3</v>
      </c>
    </row>
    <row r="158" spans="7:12">
      <c r="G158" s="2" t="s">
        <v>243</v>
      </c>
      <c r="H158" s="2">
        <f>6/100</f>
        <v>0.06</v>
      </c>
    </row>
    <row r="159" spans="7:12">
      <c r="G159" s="2" t="s">
        <v>244</v>
      </c>
      <c r="H159" s="2">
        <f>2.5/100</f>
        <v>2.5000000000000001E-2</v>
      </c>
    </row>
    <row r="160" spans="7:12">
      <c r="G160" s="2" t="s">
        <v>245</v>
      </c>
      <c r="H160" s="2">
        <f>H159^2</f>
        <v>6.2500000000000012E-4</v>
      </c>
    </row>
    <row r="162" spans="1:11">
      <c r="G162" s="2">
        <f>H154</f>
        <v>1.444E-3</v>
      </c>
      <c r="H162" s="2" t="s">
        <v>252</v>
      </c>
      <c r="I162" s="2">
        <f>J153^2*H157</f>
        <v>1.6200625E-3</v>
      </c>
      <c r="J162" s="2">
        <f>L153^2*H160</f>
        <v>1.4062499999999988E-5</v>
      </c>
      <c r="K162" s="2">
        <f>2*J153*L153*H156*H159</f>
        <v>-3.0187499999999984E-4</v>
      </c>
    </row>
    <row r="164" spans="1:11">
      <c r="G164" s="2" t="s">
        <v>253</v>
      </c>
      <c r="K164" s="2">
        <f>K162</f>
        <v>-3.0187499999999984E-4</v>
      </c>
    </row>
    <row r="165" spans="1:11">
      <c r="I165" s="2">
        <f>G162-I162-J162</f>
        <v>-1.90125E-4</v>
      </c>
    </row>
    <row r="166" spans="1:11">
      <c r="I166" s="2">
        <f>I165/K164</f>
        <v>0.62981366459627364</v>
      </c>
    </row>
    <row r="167" spans="1:11">
      <c r="A167" s="2" t="s">
        <v>267</v>
      </c>
      <c r="B167" s="2">
        <f>3/5</f>
        <v>0.6</v>
      </c>
      <c r="D167" s="2">
        <f>5/3</f>
        <v>1.6666666666666667</v>
      </c>
    </row>
    <row r="168" spans="1:11">
      <c r="B168" s="2">
        <f>32+4*0.6</f>
        <v>34.4</v>
      </c>
    </row>
    <row r="170" spans="1:11">
      <c r="G170" s="2" t="s">
        <v>270</v>
      </c>
    </row>
    <row r="171" spans="1:11">
      <c r="B171" s="2">
        <v>352</v>
      </c>
      <c r="G171" s="2" t="s">
        <v>268</v>
      </c>
    </row>
    <row r="172" spans="1:11">
      <c r="B172" s="2">
        <v>354</v>
      </c>
      <c r="D172" s="2">
        <f>(B172-B171)/B172*100</f>
        <v>0.56497175141242939</v>
      </c>
      <c r="G172" s="2" t="s">
        <v>269</v>
      </c>
    </row>
    <row r="173" spans="1:11">
      <c r="B173" s="2">
        <v>358</v>
      </c>
      <c r="D173" s="2">
        <f t="shared" ref="D173:D176" si="4">(B173-B172)/B173*100</f>
        <v>1.1173184357541899</v>
      </c>
    </row>
    <row r="174" spans="1:11">
      <c r="B174" s="2">
        <v>348</v>
      </c>
      <c r="D174" s="2">
        <f t="shared" si="4"/>
        <v>-2.8735632183908044</v>
      </c>
      <c r="G174" s="2" t="s">
        <v>271</v>
      </c>
      <c r="H174" s="2">
        <f>220*0.08</f>
        <v>17.600000000000001</v>
      </c>
    </row>
    <row r="175" spans="1:11">
      <c r="B175" s="2">
        <v>346</v>
      </c>
      <c r="C175" s="2">
        <v>70</v>
      </c>
      <c r="D175" s="2">
        <f t="shared" si="4"/>
        <v>-0.57803468208092479</v>
      </c>
      <c r="E175" s="2">
        <f>0.195402299*100</f>
        <v>19.5402299</v>
      </c>
      <c r="G175" s="2" t="s">
        <v>272</v>
      </c>
      <c r="H175" s="2">
        <f>(1-1.07^-6)/0.07</f>
        <v>4.7665396597641063</v>
      </c>
    </row>
    <row r="176" spans="1:11">
      <c r="B176" s="2">
        <v>342</v>
      </c>
      <c r="D176" s="2">
        <f t="shared" si="4"/>
        <v>-1.1695906432748537</v>
      </c>
      <c r="G176" s="2" t="s">
        <v>273</v>
      </c>
      <c r="H176" s="2">
        <f>220/1.07^6</f>
        <v>146.59528923963276</v>
      </c>
      <c r="J176" s="2">
        <f>H174*H175+H176</f>
        <v>230.48638725148103</v>
      </c>
    </row>
    <row r="178" spans="2:5">
      <c r="C178" s="2">
        <f>(B175-B174+C175)/B174</f>
        <v>0.19540229885057472</v>
      </c>
    </row>
    <row r="181" spans="2:5">
      <c r="E181" s="2">
        <f>GEOMEAN(D172,D173,-D174,-D176,E175)</f>
        <v>2.1062872640778196</v>
      </c>
    </row>
    <row r="183" spans="2:5">
      <c r="E183" s="2">
        <f>VAR(D172,D173,D174,E175,D176)</f>
        <v>83.496840293143052</v>
      </c>
    </row>
    <row r="184" spans="2:5">
      <c r="E184" s="2">
        <f>SQRT(E183)</f>
        <v>9.1376605481459556</v>
      </c>
    </row>
    <row r="189" spans="2:5">
      <c r="B189" s="2" t="s">
        <v>324</v>
      </c>
      <c r="D189" s="2" t="s">
        <v>325</v>
      </c>
    </row>
    <row r="191" spans="2:5">
      <c r="B191" s="2" t="s">
        <v>326</v>
      </c>
      <c r="D191" s="2" t="s">
        <v>327</v>
      </c>
    </row>
    <row r="192" spans="2:5">
      <c r="B192" s="2" t="s">
        <v>328</v>
      </c>
      <c r="D192" s="2" t="s">
        <v>329</v>
      </c>
    </row>
    <row r="193" spans="4:4">
      <c r="D193" s="2" t="s">
        <v>106</v>
      </c>
    </row>
    <row r="194" spans="4:4">
      <c r="D194" s="2" t="s">
        <v>330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ugmentTaille">
                <anchor moveWithCells="1" sizeWithCells="1">
                  <from>
                    <xdr:col>14</xdr:col>
                    <xdr:colOff>276225</xdr:colOff>
                    <xdr:row>1</xdr:row>
                    <xdr:rowOff>161925</xdr:rowOff>
                  </from>
                  <to>
                    <xdr:col>17</xdr:col>
                    <xdr:colOff>304800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ailleText">
                <anchor moveWithCells="1" sizeWithCells="1">
                  <from>
                    <xdr:col>8</xdr:col>
                    <xdr:colOff>695325</xdr:colOff>
                    <xdr:row>3</xdr:row>
                    <xdr:rowOff>123825</xdr:rowOff>
                  </from>
                  <to>
                    <xdr:col>9</xdr:col>
                    <xdr:colOff>1571625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CalculValeurActuelle">
                <anchor moveWithCells="1" sizeWithCells="1">
                  <from>
                    <xdr:col>5</xdr:col>
                    <xdr:colOff>771525</xdr:colOff>
                    <xdr:row>10</xdr:row>
                    <xdr:rowOff>114300</xdr:rowOff>
                  </from>
                  <to>
                    <xdr:col>6</xdr:col>
                    <xdr:colOff>1219200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TestFormF">
                <anchor moveWithCells="1" sizeWithCells="1">
                  <from>
                    <xdr:col>9</xdr:col>
                    <xdr:colOff>828675</xdr:colOff>
                    <xdr:row>112</xdr:row>
                    <xdr:rowOff>228600</xdr:rowOff>
                  </from>
                  <to>
                    <xdr:col>10</xdr:col>
                    <xdr:colOff>1381125</xdr:colOff>
                    <xdr:row>114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18:W47"/>
  <sheetViews>
    <sheetView topLeftCell="A10" zoomScale="80" zoomScaleNormal="80" workbookViewId="0">
      <selection activeCell="B19" sqref="B19:H29"/>
    </sheetView>
  </sheetViews>
  <sheetFormatPr baseColWidth="10" defaultColWidth="10.85546875" defaultRowHeight="26.25"/>
  <cols>
    <col min="1" max="1" width="10.85546875" style="19"/>
    <col min="2" max="2" width="51" style="19" bestFit="1" customWidth="1"/>
    <col min="3" max="3" width="21.140625" style="19" customWidth="1"/>
    <col min="4" max="5" width="10.85546875" style="19"/>
    <col min="6" max="6" width="13.85546875" style="19" customWidth="1"/>
    <col min="7" max="7" width="16.140625" style="19" customWidth="1"/>
    <col min="8" max="16384" width="10.85546875" style="19"/>
  </cols>
  <sheetData>
    <row r="18" spans="2:23"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2:23">
      <c r="B19" s="20"/>
      <c r="C19" s="21" t="s">
        <v>304</v>
      </c>
      <c r="D19" s="21" t="s">
        <v>305</v>
      </c>
      <c r="E19" s="21" t="s">
        <v>306</v>
      </c>
      <c r="F19" s="21" t="s">
        <v>307</v>
      </c>
      <c r="G19" s="21" t="s">
        <v>308</v>
      </c>
      <c r="H19" s="21" t="s">
        <v>309</v>
      </c>
      <c r="I19" s="18"/>
      <c r="J19" s="18"/>
      <c r="K19" s="18"/>
    </row>
    <row r="20" spans="2:23">
      <c r="B20" s="22" t="s">
        <v>294</v>
      </c>
      <c r="C20" s="23">
        <v>0</v>
      </c>
      <c r="D20" s="23">
        <v>10</v>
      </c>
      <c r="E20" s="23">
        <v>11</v>
      </c>
      <c r="F20" s="23">
        <v>0</v>
      </c>
      <c r="G20" s="23">
        <v>0</v>
      </c>
      <c r="H20" s="23">
        <v>15</v>
      </c>
      <c r="I20" s="18"/>
      <c r="J20" s="18"/>
      <c r="K20" s="18"/>
    </row>
    <row r="21" spans="2:23">
      <c r="B21" s="22" t="s">
        <v>295</v>
      </c>
      <c r="C21" s="23">
        <v>0</v>
      </c>
      <c r="D21" s="23">
        <v>15</v>
      </c>
      <c r="E21" s="23">
        <v>16</v>
      </c>
      <c r="F21" s="23">
        <v>14</v>
      </c>
      <c r="G21" s="23">
        <v>0</v>
      </c>
      <c r="H21" s="23">
        <v>8</v>
      </c>
      <c r="I21" s="18"/>
      <c r="J21" s="18"/>
      <c r="K21" s="18"/>
    </row>
    <row r="22" spans="2:23">
      <c r="B22" s="22" t="s">
        <v>296</v>
      </c>
      <c r="C22" s="23">
        <v>0</v>
      </c>
      <c r="D22" s="23">
        <v>15</v>
      </c>
      <c r="E22" s="23">
        <v>7</v>
      </c>
      <c r="F22" s="23">
        <v>19</v>
      </c>
      <c r="G22" s="23">
        <v>17</v>
      </c>
      <c r="H22" s="23">
        <v>1</v>
      </c>
      <c r="I22" s="18"/>
      <c r="J22" s="18"/>
      <c r="K22" s="18"/>
    </row>
    <row r="23" spans="2:23">
      <c r="B23" s="22" t="s">
        <v>295</v>
      </c>
      <c r="C23" s="23">
        <v>0</v>
      </c>
      <c r="D23" s="23">
        <v>7</v>
      </c>
      <c r="E23" s="23">
        <v>10</v>
      </c>
      <c r="F23" s="23">
        <v>15</v>
      </c>
      <c r="G23" s="23">
        <v>1</v>
      </c>
      <c r="H23" s="23">
        <v>11</v>
      </c>
      <c r="I23" s="18"/>
      <c r="J23" s="18"/>
      <c r="K23" s="18"/>
    </row>
    <row r="24" spans="2:23">
      <c r="B24" s="22" t="s">
        <v>297</v>
      </c>
      <c r="C24" s="23">
        <v>0</v>
      </c>
      <c r="D24" s="23">
        <v>0</v>
      </c>
      <c r="E24" s="23">
        <v>12</v>
      </c>
      <c r="F24" s="23">
        <v>15</v>
      </c>
      <c r="G24" s="23">
        <v>5</v>
      </c>
      <c r="H24" s="23">
        <v>5</v>
      </c>
      <c r="I24" s="18"/>
      <c r="J24" s="18"/>
      <c r="K24" s="18"/>
    </row>
    <row r="25" spans="2:23">
      <c r="B25" s="22" t="s">
        <v>298</v>
      </c>
      <c r="C25" s="23">
        <v>16</v>
      </c>
      <c r="D25" s="23">
        <v>16</v>
      </c>
      <c r="E25" s="23">
        <v>11</v>
      </c>
      <c r="F25" s="23">
        <v>19</v>
      </c>
      <c r="G25" s="23">
        <v>18</v>
      </c>
      <c r="H25" s="23">
        <v>4</v>
      </c>
      <c r="I25" s="18"/>
      <c r="J25" s="18"/>
      <c r="K25" s="18"/>
    </row>
    <row r="26" spans="2:23">
      <c r="B26" s="22" t="s">
        <v>299</v>
      </c>
      <c r="C26" s="23">
        <v>13</v>
      </c>
      <c r="D26" s="23">
        <v>19</v>
      </c>
      <c r="E26" s="23">
        <v>4</v>
      </c>
      <c r="F26" s="23">
        <v>10</v>
      </c>
      <c r="G26" s="23">
        <v>2</v>
      </c>
      <c r="H26" s="23">
        <v>19</v>
      </c>
      <c r="I26" s="18"/>
      <c r="J26" s="18"/>
      <c r="K26" s="18"/>
    </row>
    <row r="27" spans="2:23"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2:23">
      <c r="B28" s="24" t="s">
        <v>300</v>
      </c>
      <c r="C28" s="25" t="s">
        <v>302</v>
      </c>
      <c r="D28" s="25" t="s">
        <v>301</v>
      </c>
      <c r="E28" s="18"/>
      <c r="F28" s="18"/>
      <c r="G28" s="18"/>
      <c r="H28" s="18"/>
      <c r="I28" s="18"/>
      <c r="J28" s="18"/>
      <c r="K28" s="18"/>
    </row>
    <row r="29" spans="2:23">
      <c r="B29" s="26" t="s">
        <v>297</v>
      </c>
      <c r="C29" s="27" t="s">
        <v>307</v>
      </c>
      <c r="D29" s="27">
        <v>15</v>
      </c>
      <c r="E29" s="18"/>
      <c r="F29" s="18"/>
      <c r="G29" s="18"/>
      <c r="H29" s="18"/>
      <c r="I29" s="18"/>
      <c r="J29" s="18"/>
      <c r="K29" s="18"/>
    </row>
    <row r="30" spans="2:23"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2:23">
      <c r="I31" s="18"/>
      <c r="J31" s="18"/>
      <c r="K31" s="18"/>
      <c r="Q31" s="18"/>
      <c r="U31" s="18"/>
      <c r="V31" s="18"/>
      <c r="W31" s="18"/>
    </row>
    <row r="32" spans="2:23">
      <c r="B32" s="18"/>
      <c r="C32" s="18"/>
      <c r="D32" s="18"/>
      <c r="Q32" s="18"/>
      <c r="U32" s="18"/>
      <c r="V32" s="18"/>
      <c r="W32" s="18"/>
    </row>
    <row r="33" spans="2:23">
      <c r="B33" s="18" t="s">
        <v>331</v>
      </c>
      <c r="C33" s="18"/>
      <c r="D33" s="18" t="s">
        <v>306</v>
      </c>
      <c r="Q33" s="18"/>
      <c r="U33" s="18" t="s">
        <v>318</v>
      </c>
      <c r="V33" s="18">
        <v>7</v>
      </c>
      <c r="W33" s="18"/>
    </row>
    <row r="34" spans="2:23">
      <c r="B34" s="18" t="s">
        <v>322</v>
      </c>
      <c r="C34" s="18"/>
      <c r="D34" s="18"/>
      <c r="F34" s="19">
        <f>MATCH(D33,B19:H19)</f>
        <v>4</v>
      </c>
      <c r="G34" s="30" t="s">
        <v>334</v>
      </c>
      <c r="H34" s="29" t="s">
        <v>332</v>
      </c>
      <c r="Q34" s="18"/>
      <c r="U34" s="18" t="s">
        <v>319</v>
      </c>
      <c r="V34" s="18">
        <v>7</v>
      </c>
      <c r="W34" s="18"/>
    </row>
    <row r="35" spans="2:23" ht="39" customHeight="1">
      <c r="B35" s="18" t="s">
        <v>321</v>
      </c>
      <c r="C35" s="18"/>
      <c r="D35" s="18"/>
      <c r="F35" s="19" t="s">
        <v>335</v>
      </c>
      <c r="G35" s="28"/>
      <c r="Q35" s="18"/>
      <c r="U35" s="18"/>
      <c r="V35" s="18"/>
      <c r="W35" s="18"/>
    </row>
    <row r="36" spans="2:23">
      <c r="B36" s="18" t="s">
        <v>323</v>
      </c>
      <c r="C36" s="18"/>
      <c r="D36" s="18"/>
      <c r="F36" s="19" t="e">
        <f>INDEX(B19:H26,F35,F34,)</f>
        <v>#VALUE!</v>
      </c>
      <c r="G36" s="30" t="s">
        <v>334</v>
      </c>
      <c r="H36" s="29" t="s">
        <v>333</v>
      </c>
      <c r="Q36" s="18"/>
      <c r="U36" s="18"/>
      <c r="V36" s="18"/>
      <c r="W36" s="18"/>
    </row>
    <row r="37" spans="2:23">
      <c r="B37" s="18"/>
      <c r="C37" s="18"/>
      <c r="D37" s="18"/>
      <c r="Q37" s="18"/>
      <c r="R37" s="18"/>
      <c r="S37" s="18"/>
      <c r="T37" s="18"/>
      <c r="U37" s="18"/>
      <c r="V37" s="18"/>
      <c r="W37" s="18"/>
    </row>
    <row r="38" spans="2:23">
      <c r="B38" s="18"/>
      <c r="C38" s="18"/>
      <c r="D38" s="18"/>
      <c r="Q38" s="18"/>
      <c r="R38" s="18"/>
      <c r="S38" s="18"/>
      <c r="T38" s="18"/>
      <c r="U38" s="18"/>
      <c r="V38" s="18"/>
      <c r="W38" s="18"/>
    </row>
    <row r="39" spans="2:23">
      <c r="T39" s="3"/>
    </row>
    <row r="42" spans="2:23">
      <c r="C42" s="18"/>
      <c r="D42" s="18"/>
      <c r="E42" s="18"/>
    </row>
    <row r="43" spans="2:23">
      <c r="C43" s="18" t="s">
        <v>314</v>
      </c>
      <c r="D43" s="18"/>
      <c r="E43" s="18"/>
    </row>
    <row r="44" spans="2:23">
      <c r="C44" s="18" t="s">
        <v>315</v>
      </c>
      <c r="D44" s="18">
        <v>18</v>
      </c>
      <c r="E44" s="18"/>
    </row>
    <row r="45" spans="2:23">
      <c r="C45" s="18"/>
      <c r="D45" s="18"/>
      <c r="E45" s="18"/>
    </row>
    <row r="46" spans="2:23">
      <c r="C46" s="18"/>
      <c r="D46" s="18" t="s">
        <v>298</v>
      </c>
      <c r="E46" s="18"/>
    </row>
    <row r="47" spans="2:23">
      <c r="C47" s="18"/>
      <c r="D47" s="18"/>
      <c r="E47" s="18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ailleText">
                <anchor moveWithCells="1" sizeWithCells="1">
                  <from>
                    <xdr:col>4</xdr:col>
                    <xdr:colOff>257175</xdr:colOff>
                    <xdr:row>3</xdr:row>
                    <xdr:rowOff>0</xdr:rowOff>
                  </from>
                  <to>
                    <xdr:col>7</xdr:col>
                    <xdr:colOff>238125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27"/>
  <sheetViews>
    <sheetView workbookViewId="0">
      <selection activeCell="E28" sqref="E28"/>
    </sheetView>
  </sheetViews>
  <sheetFormatPr baseColWidth="10" defaultRowHeight="15"/>
  <sheetData>
    <row r="2" spans="1:13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M2" t="s">
        <v>341</v>
      </c>
    </row>
    <row r="3" spans="1:13">
      <c r="A3" t="s">
        <v>342</v>
      </c>
      <c r="B3" s="34">
        <v>2</v>
      </c>
      <c r="C3" s="34">
        <v>19</v>
      </c>
      <c r="D3" s="34">
        <v>2</v>
      </c>
      <c r="E3" s="34">
        <v>11</v>
      </c>
      <c r="F3" s="34">
        <v>4</v>
      </c>
      <c r="I3" t="s">
        <v>343</v>
      </c>
      <c r="K3" s="35" t="s">
        <v>339</v>
      </c>
      <c r="M3" s="36">
        <f t="array" ref="M3">MIN(IF(B2:F2=K3,IF(B3:F14&lt;&gt;"",B3:F14,"")))</f>
        <v>3</v>
      </c>
    </row>
    <row r="4" spans="1:13">
      <c r="A4" t="s">
        <v>344</v>
      </c>
      <c r="B4" s="34">
        <v>4</v>
      </c>
      <c r="C4" s="34">
        <v>20</v>
      </c>
      <c r="D4" s="34">
        <v>2</v>
      </c>
      <c r="E4" s="34">
        <v>11</v>
      </c>
      <c r="F4" s="34">
        <v>13</v>
      </c>
    </row>
    <row r="5" spans="1:13">
      <c r="A5" t="s">
        <v>345</v>
      </c>
      <c r="B5" s="34">
        <v>3</v>
      </c>
      <c r="C5" s="34">
        <v>65</v>
      </c>
      <c r="D5" s="34">
        <v>2</v>
      </c>
      <c r="E5" s="34">
        <v>22</v>
      </c>
      <c r="F5" s="34">
        <v>7</v>
      </c>
      <c r="I5" t="s">
        <v>346</v>
      </c>
      <c r="M5" s="34" t="str">
        <f ca="1">IFERROR(INDEX(A$3:A$14,SMALL(IF(OFFSET(B$3:B$14,,MATCH(K$3,B$2:F$2,0)-1,)=M$3,ROW(A$3:A$14)-2,""),ROW($A1))),"")</f>
        <v/>
      </c>
    </row>
    <row r="6" spans="1:13">
      <c r="A6" t="s">
        <v>347</v>
      </c>
      <c r="B6" s="34">
        <v>6</v>
      </c>
      <c r="C6" s="34">
        <v>85</v>
      </c>
      <c r="D6" s="34">
        <v>2</v>
      </c>
      <c r="E6" s="34">
        <v>12</v>
      </c>
      <c r="F6" s="34">
        <v>2</v>
      </c>
      <c r="M6" s="34" t="str">
        <f ca="1">IFERROR(INDEX(A$3:A$14,SMALL(IF(OFFSET(B$3:B$14,,MATCH(K$3,B$2:F$2,0)-1,)=M$3,ROW(A$3:A$14)-2,""),ROW($A2))),"")</f>
        <v/>
      </c>
    </row>
    <row r="7" spans="1:13">
      <c r="A7" t="s">
        <v>348</v>
      </c>
      <c r="B7" s="34">
        <v>9</v>
      </c>
      <c r="C7" s="34">
        <v>47</v>
      </c>
      <c r="D7" s="34"/>
      <c r="E7" s="34">
        <v>14</v>
      </c>
      <c r="F7" s="34">
        <v>7</v>
      </c>
      <c r="M7" s="34" t="str">
        <f t="array" aca="1" ref="M7" ca="1">IFERROR(INDEX(A$3:A$14,SMALL(IF(OFFSET(B$3:B$14,,MATCH(K$3,B$2:F$2,0)-1,)=M$3,ROW(A$3:A$14)-2,""),ROW($A3))),"")</f>
        <v/>
      </c>
    </row>
    <row r="8" spans="1:13">
      <c r="A8" t="s">
        <v>349</v>
      </c>
      <c r="B8" s="34">
        <v>7</v>
      </c>
      <c r="C8" s="34">
        <v>41</v>
      </c>
      <c r="D8" s="34">
        <v>2</v>
      </c>
      <c r="E8" s="34">
        <v>3</v>
      </c>
      <c r="F8" s="34">
        <v>5</v>
      </c>
      <c r="M8" s="34" t="str">
        <f t="array" aca="1" ref="M8" ca="1">IFERROR(INDEX(A$3:A$14,SMALL(IF(OFFSET(B$3:B$14,,MATCH(K$3,B$2:F$2,0)-1,)=M$3,ROW(A$3:A$14)-2,""),ROW($A4))),"")</f>
        <v/>
      </c>
    </row>
    <row r="9" spans="1:13">
      <c r="A9" t="s">
        <v>350</v>
      </c>
      <c r="B9" s="34">
        <v>87</v>
      </c>
      <c r="C9" s="34">
        <v>25</v>
      </c>
      <c r="D9" s="34">
        <v>3</v>
      </c>
      <c r="E9" s="34">
        <v>7</v>
      </c>
      <c r="F9" s="34">
        <v>8</v>
      </c>
      <c r="M9" s="34" t="str">
        <f t="array" aca="1" ref="M9" ca="1">IFERROR(INDEX(A$3:A$14,SMALL(IF(OFFSET(B$3:B$14,,MATCH(K$3,B$2:F$2,0)-1,)=M$3,ROW(A$3:A$14)-2,""),ROW($A5))),"")</f>
        <v/>
      </c>
    </row>
    <row r="10" spans="1:13">
      <c r="A10" t="s">
        <v>351</v>
      </c>
      <c r="B10" s="34">
        <v>56</v>
      </c>
      <c r="C10" s="34">
        <v>30</v>
      </c>
      <c r="D10" s="34">
        <v>3</v>
      </c>
      <c r="E10" s="34">
        <v>8</v>
      </c>
      <c r="F10" s="34">
        <v>6</v>
      </c>
      <c r="M10" s="34" t="str">
        <f t="array" aca="1" ref="M10" ca="1">IFERROR(INDEX(A$3:A$14,SMALL(IF(OFFSET(B$3:B$14,,MATCH(K$3,B$2:F$2,0)-1,)=M$3,ROW(A$3:A$14)-2,""),ROW($A6))),"")</f>
        <v/>
      </c>
    </row>
    <row r="11" spans="1:13">
      <c r="A11" t="s">
        <v>352</v>
      </c>
      <c r="B11" s="34">
        <v>3</v>
      </c>
      <c r="C11" s="34">
        <v>14</v>
      </c>
      <c r="D11" s="34">
        <v>6</v>
      </c>
      <c r="E11" s="34">
        <v>9</v>
      </c>
      <c r="F11" s="34">
        <v>5</v>
      </c>
      <c r="M11" s="34" t="str">
        <f t="array" aca="1" ref="M11" ca="1">IFERROR(INDEX(A$3:A$14,SMALL(IF(OFFSET(B$3:B$14,,MATCH(K$3,B$2:F$2,0)-1,)=M$3,ROW(A$3:A$14)-2,""),ROW($A7))),"")</f>
        <v/>
      </c>
    </row>
    <row r="12" spans="1:13">
      <c r="A12" t="s">
        <v>353</v>
      </c>
      <c r="B12" s="34">
        <v>15</v>
      </c>
      <c r="C12" s="34"/>
      <c r="D12" s="34">
        <v>12</v>
      </c>
      <c r="E12" s="34">
        <v>25</v>
      </c>
      <c r="F12" s="34">
        <v>2</v>
      </c>
      <c r="M12" s="34" t="str">
        <f t="array" aca="1" ref="M12" ca="1">IFERROR(INDEX(A$3:A$14,SMALL(IF(OFFSET(B$3:B$14,,MATCH(K$3,B$2:F$2,0)-1,)=M$3,ROW(A$3:A$14)-2,""),ROW($A8))),"")</f>
        <v/>
      </c>
    </row>
    <row r="13" spans="1:13">
      <c r="A13" t="s">
        <v>354</v>
      </c>
      <c r="B13" s="34">
        <v>23</v>
      </c>
      <c r="C13" s="34">
        <v>26</v>
      </c>
      <c r="D13" s="34">
        <v>9</v>
      </c>
      <c r="E13" s="34">
        <v>36</v>
      </c>
      <c r="F13" s="34">
        <v>3</v>
      </c>
      <c r="M13" s="34" t="str">
        <f t="array" aca="1" ref="M13" ca="1">IFERROR(INDEX(A$3:A$14,SMALL(IF(OFFSET(B$3:B$14,,MATCH(K$3,B$2:F$2,0)-1,)=M$3,ROW(A$3:A$14)-2,""),ROW($A9))),"")</f>
        <v/>
      </c>
    </row>
    <row r="14" spans="1:13">
      <c r="A14" t="s">
        <v>355</v>
      </c>
      <c r="B14" s="34">
        <v>17</v>
      </c>
      <c r="C14" s="34">
        <v>68</v>
      </c>
      <c r="D14" s="34">
        <v>10</v>
      </c>
      <c r="E14" s="34">
        <v>25</v>
      </c>
      <c r="F14" s="34">
        <v>15</v>
      </c>
    </row>
    <row r="20" spans="2:19">
      <c r="B20">
        <f>MIN(B3:B14)</f>
        <v>2</v>
      </c>
      <c r="C20">
        <f t="shared" ref="C20:F20" si="0">MIN(C3:C14)</f>
        <v>14</v>
      </c>
      <c r="D20">
        <f t="shared" si="0"/>
        <v>2</v>
      </c>
      <c r="E20">
        <f t="shared" si="0"/>
        <v>3</v>
      </c>
      <c r="F20">
        <f t="shared" si="0"/>
        <v>2</v>
      </c>
    </row>
    <row r="24" spans="2:19">
      <c r="C24">
        <f t="array" ref="C24:G24">{1;2;3;4;5}</f>
        <v>1</v>
      </c>
      <c r="D24">
        <v>1</v>
      </c>
      <c r="E24">
        <v>1</v>
      </c>
      <c r="F24">
        <v>1</v>
      </c>
      <c r="G24">
        <v>1</v>
      </c>
    </row>
    <row r="26" spans="2:19">
      <c r="I26">
        <v>1</v>
      </c>
      <c r="J26">
        <v>2</v>
      </c>
      <c r="S26">
        <v>1</v>
      </c>
    </row>
    <row r="27" spans="2:19">
      <c r="I27" s="39" t="s">
        <v>376</v>
      </c>
    </row>
  </sheetData>
  <dataValidations count="1">
    <dataValidation type="list" allowBlank="1" showInputMessage="1" showErrorMessage="1" sqref="K3">
      <formula1>$B$2:$F$2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20"/>
  <sheetViews>
    <sheetView workbookViewId="0">
      <selection activeCell="B21" sqref="B21"/>
    </sheetView>
  </sheetViews>
  <sheetFormatPr baseColWidth="10" defaultRowHeight="15"/>
  <sheetData>
    <row r="2" spans="1:1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M2" t="s">
        <v>341</v>
      </c>
    </row>
    <row r="3" spans="1:15">
      <c r="A3" t="s">
        <v>342</v>
      </c>
      <c r="B3" s="34">
        <v>2</v>
      </c>
      <c r="C3" s="34">
        <v>19</v>
      </c>
      <c r="D3" s="34">
        <v>2</v>
      </c>
      <c r="E3" s="34">
        <v>11</v>
      </c>
      <c r="F3" s="34">
        <v>4</v>
      </c>
      <c r="I3" t="s">
        <v>343</v>
      </c>
      <c r="K3" s="35" t="s">
        <v>339</v>
      </c>
      <c r="M3" s="36">
        <f t="array" ref="M3">MIN(IF(B2:F2=K3,IF(B3:F14&lt;&gt;"",B3:F14,"")))</f>
        <v>3</v>
      </c>
      <c r="O3" t="s">
        <v>375</v>
      </c>
    </row>
    <row r="4" spans="1:15">
      <c r="A4" t="s">
        <v>344</v>
      </c>
      <c r="B4" s="34">
        <v>4</v>
      </c>
      <c r="C4" s="34">
        <v>20</v>
      </c>
      <c r="D4" s="34">
        <v>2</v>
      </c>
      <c r="E4" s="34">
        <v>11</v>
      </c>
      <c r="F4" s="34">
        <v>0</v>
      </c>
    </row>
    <row r="5" spans="1:15">
      <c r="A5" t="s">
        <v>345</v>
      </c>
      <c r="B5" s="34">
        <v>1</v>
      </c>
      <c r="C5" s="34">
        <v>65</v>
      </c>
      <c r="D5" s="34">
        <v>2</v>
      </c>
      <c r="E5" s="34">
        <v>22</v>
      </c>
      <c r="F5" s="34">
        <v>7</v>
      </c>
      <c r="I5" t="s">
        <v>346</v>
      </c>
      <c r="M5" s="34"/>
    </row>
    <row r="6" spans="1:15">
      <c r="A6" t="s">
        <v>347</v>
      </c>
      <c r="B6" s="34">
        <v>6</v>
      </c>
      <c r="C6" s="34">
        <v>85</v>
      </c>
      <c r="D6" s="34">
        <v>2</v>
      </c>
      <c r="E6" s="34">
        <v>12</v>
      </c>
      <c r="F6" s="34">
        <v>0</v>
      </c>
      <c r="M6" s="34"/>
    </row>
    <row r="7" spans="1:15">
      <c r="A7" t="s">
        <v>348</v>
      </c>
      <c r="B7" s="34">
        <v>9</v>
      </c>
      <c r="C7" s="34">
        <v>47</v>
      </c>
      <c r="D7" s="34"/>
      <c r="E7" s="34">
        <v>14</v>
      </c>
      <c r="F7" s="34">
        <v>7</v>
      </c>
      <c r="M7" s="34"/>
    </row>
    <row r="8" spans="1:15">
      <c r="A8" t="s">
        <v>349</v>
      </c>
      <c r="B8" s="34">
        <v>7</v>
      </c>
      <c r="C8" s="34">
        <v>41</v>
      </c>
      <c r="D8" s="34">
        <v>2</v>
      </c>
      <c r="E8" s="34">
        <v>3</v>
      </c>
      <c r="F8" s="34">
        <v>5</v>
      </c>
      <c r="M8" s="34"/>
    </row>
    <row r="9" spans="1:15">
      <c r="A9" t="s">
        <v>350</v>
      </c>
      <c r="B9" s="34">
        <v>87</v>
      </c>
      <c r="C9" s="34">
        <v>25</v>
      </c>
      <c r="D9" s="34">
        <v>3</v>
      </c>
      <c r="E9" s="34">
        <v>7</v>
      </c>
      <c r="F9" s="34">
        <v>8</v>
      </c>
      <c r="I9" t="s">
        <v>356</v>
      </c>
      <c r="M9" s="34" t="str">
        <f t="array" aca="1" ref="M9" ca="1">IFERROR(INDEX(A$3:A$14,SMALL(IF(OFFSET(B$3:B$14,,MATCH(K$3,B$2:F$2,0)-1,)=M$3,ROW(A$3:A$14)-2,""),ROW($A5))),"")</f>
        <v/>
      </c>
    </row>
    <row r="10" spans="1:15">
      <c r="A10" t="s">
        <v>351</v>
      </c>
      <c r="B10" s="34">
        <v>56</v>
      </c>
      <c r="C10" s="34">
        <v>30</v>
      </c>
      <c r="D10" s="34">
        <v>3</v>
      </c>
      <c r="E10" s="34">
        <v>8</v>
      </c>
      <c r="F10" s="34">
        <v>6</v>
      </c>
      <c r="I10" s="37" t="str">
        <f>IFERROR(INDEX(A$3:A$14,SUMPRODUCT(SMALL((B$2:F$2=K$3)*(B$3:F$14=M$3)*ROW(A$3:A$14)-2,COUNTIF(B$3:F$14,"&lt;&gt;tulipe&gt;")-SUMPRODUCT(--(B$2:F$2=K$3)*(B$3:F$14=M$3))+ROW($A1)))),"")</f>
        <v>tulipe6</v>
      </c>
      <c r="M10" s="34" t="str">
        <f t="array" aca="1" ref="M10" ca="1">IFERROR(INDEX(A$3:A$14,SMALL(IF(OFFSET(B$3:B$14,,MATCH(K$3,B$2:F$2,0)-1,)=M$3,ROW(A$3:A$14)-2,""),ROW($A6))),"")</f>
        <v/>
      </c>
    </row>
    <row r="11" spans="1:15">
      <c r="A11" t="s">
        <v>352</v>
      </c>
      <c r="B11" s="34">
        <v>1</v>
      </c>
      <c r="C11" s="34">
        <v>14</v>
      </c>
      <c r="D11" s="34">
        <v>6</v>
      </c>
      <c r="E11" s="34">
        <v>9</v>
      </c>
      <c r="F11" s="34">
        <v>5</v>
      </c>
      <c r="I11" s="37" t="str">
        <f t="shared" ref="I11:I15" si="0">IFERROR(INDEX(A$3:A$14,SUMPRODUCT(SMALL((B$2:F$2=K$3)*(B$3:F$14=M$3)*ROW(A$3:A$14)-2,COUNTIF(B$3:F$14,"&lt;&gt;tulipe&gt;")-SUMPRODUCT(--(B$2:F$2=K$3)*(B$3:F$14=M$3))+ROW($A2)))),"")</f>
        <v/>
      </c>
      <c r="M11" s="34" t="str">
        <f t="array" aca="1" ref="M11" ca="1">IFERROR(INDEX(A$3:A$14,SMALL(IF(OFFSET(B$3:B$14,,MATCH(K$3,B$2:F$2,0)-1,)=M$3,ROW(A$3:A$14)-2,""),ROW($A7))),"")</f>
        <v/>
      </c>
    </row>
    <row r="12" spans="1:15">
      <c r="A12" t="s">
        <v>353</v>
      </c>
      <c r="B12" s="34">
        <v>15</v>
      </c>
      <c r="C12" s="34"/>
      <c r="D12" s="34">
        <v>12</v>
      </c>
      <c r="E12" s="34">
        <v>25</v>
      </c>
      <c r="F12" s="34">
        <v>2</v>
      </c>
      <c r="I12" s="37" t="str">
        <f t="shared" si="0"/>
        <v/>
      </c>
      <c r="M12" s="34" t="str">
        <f t="array" aca="1" ref="M12" ca="1">IFERROR(INDEX(A$3:A$14,SMALL(IF(OFFSET(B$3:B$14,,MATCH(K$3,B$2:F$2,0)-1,)=M$3,ROW(A$3:A$14)-2,""),ROW($A8))),"")</f>
        <v/>
      </c>
    </row>
    <row r="13" spans="1:15">
      <c r="A13" t="s">
        <v>354</v>
      </c>
      <c r="B13" s="34">
        <v>23</v>
      </c>
      <c r="C13" s="34">
        <v>26</v>
      </c>
      <c r="D13" s="34">
        <v>9</v>
      </c>
      <c r="E13" s="34">
        <v>36</v>
      </c>
      <c r="F13" s="34">
        <v>3</v>
      </c>
      <c r="I13" s="37" t="str">
        <f t="array" ref="I13">IFERROR(INDEX(A$3:A$14,SUMPRODUCT(SMALL((B$2:F$2=K$3)*(B$3:F$14=M$3)*ROW(A$3:A$14)-2,COUNTIF(B$3:F$14,"&lt;&gt;tulipe&gt;")-SUMPRODUCT(--(B$2:F$2=K$3)*(B$3:F$14=M$3))+ROW($A4)))),"")</f>
        <v/>
      </c>
      <c r="M13" s="34" t="str">
        <f t="array" aca="1" ref="M13" ca="1">IFERROR(INDEX(A$3:A$14,SMALL(IF(OFFSET(B$3:B$14,,MATCH(K$3,B$2:F$2,0)-1,)=M$3,ROW(A$3:A$14)-2,""),ROW($A9))),"")</f>
        <v/>
      </c>
    </row>
    <row r="14" spans="1:15">
      <c r="A14" t="s">
        <v>355</v>
      </c>
      <c r="B14" s="34">
        <v>17</v>
      </c>
      <c r="C14" s="34">
        <v>68</v>
      </c>
      <c r="D14" s="34">
        <v>10</v>
      </c>
      <c r="E14" s="34">
        <v>25</v>
      </c>
      <c r="F14" s="34">
        <v>15</v>
      </c>
      <c r="I14" s="37" t="str">
        <f t="array" ref="I14">IFERROR(INDEX(A$3:A$14,SUMPRODUCT(SMALL((B$2:F$2=K$3)*(B$3:F$14=M$3)*ROW(A$3:A$14)-2,COUNTIF(B$3:F$14,"&lt;&gt;tulipe&gt;")-SUMPRODUCT(--(B$2:F$2=K$3)*(B$3:F$14=M$3))+ROW($A5)))),"")</f>
        <v/>
      </c>
    </row>
    <row r="15" spans="1:15">
      <c r="I15" s="37" t="str">
        <f t="shared" si="0"/>
        <v/>
      </c>
    </row>
    <row r="20" spans="2:6">
      <c r="B20">
        <f>MIN(B3:B14)</f>
        <v>1</v>
      </c>
      <c r="C20">
        <f t="shared" ref="C20:F20" si="1">MIN(C3:C14)</f>
        <v>14</v>
      </c>
      <c r="D20">
        <f t="shared" si="1"/>
        <v>2</v>
      </c>
      <c r="E20">
        <f t="shared" si="1"/>
        <v>3</v>
      </c>
      <c r="F20">
        <f t="shared" si="1"/>
        <v>0</v>
      </c>
    </row>
  </sheetData>
  <dataValidations count="1">
    <dataValidation type="list" allowBlank="1" showInputMessage="1" showErrorMessage="1" sqref="K3">
      <formula1>$B$2:$F$2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3"/>
  <sheetViews>
    <sheetView workbookViewId="0">
      <selection activeCell="C12" sqref="C12"/>
    </sheetView>
  </sheetViews>
  <sheetFormatPr baseColWidth="10" defaultRowHeight="15"/>
  <sheetData>
    <row r="1" spans="1:18" ht="23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23.25">
      <c r="A2" s="15" t="s">
        <v>303</v>
      </c>
      <c r="B2" s="15" t="s">
        <v>304</v>
      </c>
      <c r="C2" s="15" t="s">
        <v>305</v>
      </c>
      <c r="D2" s="15" t="s">
        <v>306</v>
      </c>
      <c r="E2" s="15" t="s">
        <v>307</v>
      </c>
      <c r="F2" s="15" t="s">
        <v>308</v>
      </c>
      <c r="G2" s="15" t="s">
        <v>309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3.25">
      <c r="A3" s="16" t="s">
        <v>294</v>
      </c>
      <c r="B3" s="17">
        <v>0</v>
      </c>
      <c r="C3" s="17">
        <v>10</v>
      </c>
      <c r="D3" s="17">
        <v>11</v>
      </c>
      <c r="E3" s="17">
        <v>0</v>
      </c>
      <c r="F3" s="17">
        <f>{0;0;0;0;0;0}</f>
        <v>0</v>
      </c>
      <c r="G3" s="17">
        <v>15</v>
      </c>
      <c r="H3" s="2"/>
      <c r="I3" s="2"/>
      <c r="J3" s="2"/>
      <c r="K3" s="2" t="s">
        <v>310</v>
      </c>
      <c r="L3" s="2"/>
      <c r="M3" s="2"/>
      <c r="N3" s="2"/>
      <c r="O3" s="2"/>
      <c r="P3" s="2"/>
      <c r="Q3" s="2"/>
      <c r="R3" s="2"/>
    </row>
    <row r="4" spans="1:18" ht="23.25">
      <c r="A4" s="16" t="s">
        <v>295</v>
      </c>
      <c r="B4" s="17">
        <v>0</v>
      </c>
      <c r="C4" s="17">
        <v>15</v>
      </c>
      <c r="D4" s="17">
        <v>16</v>
      </c>
      <c r="E4" s="17">
        <v>14</v>
      </c>
      <c r="F4" s="17">
        <v>0</v>
      </c>
      <c r="G4" s="17">
        <v>8</v>
      </c>
      <c r="H4" s="2"/>
      <c r="I4" s="2"/>
      <c r="J4" s="2"/>
      <c r="K4" s="2" t="s">
        <v>311</v>
      </c>
      <c r="L4" s="2"/>
      <c r="M4" s="2"/>
      <c r="N4" s="2"/>
      <c r="O4" s="2"/>
      <c r="P4" s="2"/>
      <c r="Q4" s="2"/>
      <c r="R4" s="2"/>
    </row>
    <row r="5" spans="1:18" ht="23.25">
      <c r="A5" s="16" t="s">
        <v>296</v>
      </c>
      <c r="B5" s="17">
        <v>0</v>
      </c>
      <c r="C5" s="17">
        <v>15</v>
      </c>
      <c r="D5" s="17">
        <v>7</v>
      </c>
      <c r="E5" s="17">
        <v>19</v>
      </c>
      <c r="F5" s="17">
        <v>17</v>
      </c>
      <c r="G5" s="17">
        <v>1</v>
      </c>
      <c r="H5" s="2"/>
      <c r="I5" s="2"/>
      <c r="J5" s="2"/>
      <c r="K5" s="2" t="s">
        <v>312</v>
      </c>
      <c r="L5" s="2"/>
      <c r="M5" s="2"/>
      <c r="N5" s="2"/>
      <c r="O5" s="2"/>
      <c r="P5" s="2"/>
      <c r="Q5" s="2"/>
      <c r="R5" s="2"/>
    </row>
    <row r="6" spans="1:18" ht="23.25">
      <c r="A6" s="16" t="s">
        <v>295</v>
      </c>
      <c r="B6" s="17">
        <v>0</v>
      </c>
      <c r="C6" s="17">
        <v>7</v>
      </c>
      <c r="D6" s="17">
        <v>10</v>
      </c>
      <c r="E6" s="17">
        <v>15</v>
      </c>
      <c r="F6" s="17">
        <v>1</v>
      </c>
      <c r="G6" s="17">
        <v>11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23.25">
      <c r="A7" s="16" t="s">
        <v>297</v>
      </c>
      <c r="B7" s="17">
        <v>0</v>
      </c>
      <c r="C7" s="17">
        <v>0</v>
      </c>
      <c r="D7" s="17">
        <v>12</v>
      </c>
      <c r="E7" s="17">
        <v>15</v>
      </c>
      <c r="F7" s="17">
        <v>5</v>
      </c>
      <c r="G7" s="17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23.25">
      <c r="A8" s="16" t="s">
        <v>298</v>
      </c>
      <c r="B8" s="17">
        <v>16</v>
      </c>
      <c r="C8" s="17">
        <v>16</v>
      </c>
      <c r="D8" s="17">
        <v>11</v>
      </c>
      <c r="E8" s="17">
        <v>19</v>
      </c>
      <c r="F8" s="17">
        <v>18</v>
      </c>
      <c r="G8" s="17">
        <v>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23.25">
      <c r="A9" s="16" t="s">
        <v>299</v>
      </c>
      <c r="B9" s="17">
        <v>13</v>
      </c>
      <c r="C9" s="17">
        <v>19</v>
      </c>
      <c r="D9" s="17">
        <v>4</v>
      </c>
      <c r="E9" s="17">
        <v>10</v>
      </c>
      <c r="F9" s="17">
        <v>2</v>
      </c>
      <c r="G9" s="17">
        <v>19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23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23.25">
      <c r="A11" s="14" t="s">
        <v>300</v>
      </c>
      <c r="B11" s="14" t="s">
        <v>302</v>
      </c>
      <c r="C11" s="14" t="s">
        <v>301</v>
      </c>
      <c r="D11" s="2"/>
      <c r="E11" s="2"/>
      <c r="F11" s="2"/>
      <c r="G11" s="2"/>
      <c r="H11" s="2" t="s">
        <v>313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23.25">
      <c r="A12" s="38" t="s">
        <v>292</v>
      </c>
      <c r="B12" s="38" t="s">
        <v>308</v>
      </c>
      <c r="C12" s="32">
        <f>VLOOKUP(A12,A2:G9,MATCH(B12,A2:G2,0),0)</f>
        <v>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23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23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23.25">
      <c r="A15" s="2"/>
      <c r="B15" s="2" t="s">
        <v>314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ht="23.25">
      <c r="A16" s="2"/>
      <c r="B16" s="31" t="s">
        <v>308</v>
      </c>
      <c r="C16" s="33" t="str">
        <f ca="1">INDEX(A3:A9,MATCH(MAX(OFFSET(A3:A9,,MATCH(B16,B2:G2,0))),OFFSET(A3:A9,,MATCH(B16,B2:G2,0)),0))</f>
        <v>CELINE</v>
      </c>
      <c r="D16" s="2"/>
      <c r="E16" s="2"/>
      <c r="F16" s="2"/>
      <c r="G16" s="2"/>
      <c r="H16" s="2" t="s">
        <v>320</v>
      </c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ht="23.25">
      <c r="A17" s="2"/>
      <c r="B17" s="2"/>
      <c r="C17" s="2"/>
      <c r="D17" s="2"/>
      <c r="E17" s="2"/>
      <c r="F17" s="2"/>
      <c r="G17" s="2"/>
      <c r="H17" s="2" t="s">
        <v>322</v>
      </c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t="23.25">
      <c r="A18" s="2"/>
      <c r="B18" s="2"/>
      <c r="C18" s="2"/>
      <c r="D18" s="2"/>
      <c r="E18" s="2"/>
      <c r="F18" s="2"/>
      <c r="G18" s="2"/>
      <c r="H18" s="2" t="s">
        <v>321</v>
      </c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ht="23.25">
      <c r="A19" s="2"/>
      <c r="B19" s="2"/>
      <c r="C19" s="2"/>
      <c r="D19" s="2"/>
      <c r="E19" s="2"/>
      <c r="F19" s="2"/>
      <c r="G19" s="2"/>
      <c r="H19" s="2" t="s">
        <v>323</v>
      </c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23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23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23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23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topLeftCell="A56" zoomScale="70" zoomScaleNormal="70" workbookViewId="0">
      <selection activeCell="H73" sqref="H73"/>
    </sheetView>
  </sheetViews>
  <sheetFormatPr baseColWidth="10" defaultRowHeight="23.25"/>
  <cols>
    <col min="1" max="1" width="22" style="31" customWidth="1"/>
    <col min="2" max="3" width="11.5703125" style="31" bestFit="1" customWidth="1"/>
    <col min="4" max="4" width="20.42578125" style="31" customWidth="1"/>
    <col min="5" max="5" width="11.5703125" style="31" bestFit="1" customWidth="1"/>
    <col min="6" max="6" width="13.28515625" style="31" bestFit="1" customWidth="1"/>
    <col min="7" max="7" width="11.5703125" style="31" bestFit="1" customWidth="1"/>
    <col min="8" max="8" width="15.85546875" style="31" bestFit="1" customWidth="1"/>
    <col min="9" max="9" width="11.5703125" style="31" bestFit="1" customWidth="1"/>
    <col min="10" max="10" width="15.28515625" style="31" bestFit="1" customWidth="1"/>
    <col min="11" max="11" width="11.5703125" style="31" bestFit="1" customWidth="1"/>
    <col min="12" max="12" width="13.28515625" style="31" bestFit="1" customWidth="1"/>
    <col min="13" max="13" width="11.5703125" style="31" bestFit="1" customWidth="1"/>
    <col min="14" max="16384" width="11.42578125" style="31"/>
  </cols>
  <sheetData>
    <row r="1" spans="1:12" ht="28.5" customHeight="1">
      <c r="A1" s="40" t="s">
        <v>357</v>
      </c>
      <c r="B1" s="40" t="s">
        <v>379</v>
      </c>
      <c r="C1" s="40" t="s">
        <v>380</v>
      </c>
      <c r="D1" s="41" t="s">
        <v>358</v>
      </c>
      <c r="E1" s="40" t="s">
        <v>369</v>
      </c>
      <c r="H1" s="40" t="s">
        <v>357</v>
      </c>
      <c r="I1" s="40" t="s">
        <v>379</v>
      </c>
      <c r="J1" s="40" t="s">
        <v>380</v>
      </c>
      <c r="K1" s="41" t="s">
        <v>358</v>
      </c>
      <c r="L1" s="40" t="s">
        <v>369</v>
      </c>
    </row>
    <row r="2" spans="1:12" ht="46.5">
      <c r="A2" s="41" t="s">
        <v>359</v>
      </c>
      <c r="B2" s="41" t="s">
        <v>360</v>
      </c>
      <c r="C2" s="41">
        <v>5</v>
      </c>
      <c r="D2" s="41">
        <v>33000</v>
      </c>
      <c r="E2" s="41">
        <f t="array" ref="E2:E11">C2:C11*D2:D11</f>
        <v>165000</v>
      </c>
      <c r="H2" s="41" t="s">
        <v>359</v>
      </c>
      <c r="I2" s="41" t="s">
        <v>360</v>
      </c>
      <c r="J2" s="41">
        <v>5</v>
      </c>
      <c r="K2" s="41">
        <v>33000</v>
      </c>
      <c r="L2" s="41">
        <v>165000</v>
      </c>
    </row>
    <row r="3" spans="1:12">
      <c r="A3" s="41"/>
      <c r="B3" s="41" t="s">
        <v>361</v>
      </c>
      <c r="C3" s="41">
        <v>4</v>
      </c>
      <c r="D3" s="41">
        <v>37000</v>
      </c>
      <c r="E3" s="41">
        <v>148000</v>
      </c>
      <c r="H3" s="41"/>
      <c r="I3" s="41" t="s">
        <v>361</v>
      </c>
      <c r="J3" s="41">
        <v>4</v>
      </c>
      <c r="K3" s="41">
        <v>37000</v>
      </c>
      <c r="L3" s="41">
        <v>148000</v>
      </c>
    </row>
    <row r="4" spans="1:12">
      <c r="A4" s="41" t="s">
        <v>362</v>
      </c>
      <c r="B4" s="41" t="s">
        <v>360</v>
      </c>
      <c r="C4" s="41">
        <v>6</v>
      </c>
      <c r="D4" s="41">
        <v>24000</v>
      </c>
      <c r="E4" s="41">
        <v>144000</v>
      </c>
      <c r="H4" s="41" t="s">
        <v>362</v>
      </c>
      <c r="I4" s="41" t="s">
        <v>360</v>
      </c>
      <c r="J4" s="41">
        <v>6</v>
      </c>
      <c r="K4" s="41">
        <v>24000</v>
      </c>
      <c r="L4" s="41">
        <v>144000</v>
      </c>
    </row>
    <row r="5" spans="1:12">
      <c r="A5" s="41"/>
      <c r="B5" s="41" t="s">
        <v>361</v>
      </c>
      <c r="C5" s="41">
        <v>8</v>
      </c>
      <c r="D5" s="42">
        <v>21000</v>
      </c>
      <c r="E5" s="41">
        <v>168000</v>
      </c>
      <c r="H5" s="41"/>
      <c r="I5" s="41" t="s">
        <v>361</v>
      </c>
      <c r="J5" s="41">
        <v>8</v>
      </c>
      <c r="K5" s="41">
        <v>21000</v>
      </c>
      <c r="L5" s="41">
        <v>168000</v>
      </c>
    </row>
    <row r="6" spans="1:12">
      <c r="A6" s="41" t="s">
        <v>363</v>
      </c>
      <c r="B6" s="41" t="s">
        <v>360</v>
      </c>
      <c r="C6" s="41">
        <v>3</v>
      </c>
      <c r="D6" s="41">
        <v>29000</v>
      </c>
      <c r="E6" s="41">
        <v>87000</v>
      </c>
      <c r="H6" s="41" t="s">
        <v>363</v>
      </c>
      <c r="I6" s="41" t="s">
        <v>360</v>
      </c>
      <c r="J6" s="41">
        <v>3</v>
      </c>
      <c r="K6" s="41">
        <v>29000</v>
      </c>
      <c r="L6" s="41">
        <v>87000</v>
      </c>
    </row>
    <row r="7" spans="1:12">
      <c r="A7" s="41"/>
      <c r="B7" s="41" t="s">
        <v>361</v>
      </c>
      <c r="C7" s="41">
        <v>1</v>
      </c>
      <c r="D7" s="41">
        <v>31000</v>
      </c>
      <c r="E7" s="41">
        <v>31000</v>
      </c>
      <c r="H7" s="41"/>
      <c r="I7" s="41" t="s">
        <v>361</v>
      </c>
      <c r="J7" s="41">
        <v>1</v>
      </c>
      <c r="K7" s="41">
        <v>31000</v>
      </c>
      <c r="L7" s="41">
        <v>31000</v>
      </c>
    </row>
    <row r="8" spans="1:12" ht="46.5">
      <c r="A8" s="41" t="s">
        <v>364</v>
      </c>
      <c r="B8" s="41" t="s">
        <v>360</v>
      </c>
      <c r="C8" s="41">
        <v>9</v>
      </c>
      <c r="D8" s="41">
        <v>24000</v>
      </c>
      <c r="E8" s="41">
        <v>216000</v>
      </c>
      <c r="H8" s="41" t="s">
        <v>364</v>
      </c>
      <c r="I8" s="41" t="s">
        <v>360</v>
      </c>
      <c r="J8" s="41">
        <v>9</v>
      </c>
      <c r="K8" s="41">
        <v>24000</v>
      </c>
      <c r="L8" s="41">
        <v>216000</v>
      </c>
    </row>
    <row r="9" spans="1:12">
      <c r="A9" s="41"/>
      <c r="B9" s="41" t="s">
        <v>361</v>
      </c>
      <c r="C9" s="41">
        <v>5</v>
      </c>
      <c r="D9" s="41">
        <v>37000</v>
      </c>
      <c r="E9" s="41">
        <v>185000</v>
      </c>
      <c r="H9" s="41"/>
      <c r="I9" s="41" t="s">
        <v>361</v>
      </c>
      <c r="J9" s="41">
        <v>5</v>
      </c>
      <c r="K9" s="41">
        <v>37000</v>
      </c>
      <c r="L9" s="41">
        <v>185000</v>
      </c>
    </row>
    <row r="10" spans="1:12">
      <c r="A10" s="41" t="s">
        <v>365</v>
      </c>
      <c r="B10" s="41" t="s">
        <v>360</v>
      </c>
      <c r="C10" s="41">
        <v>6</v>
      </c>
      <c r="D10" s="41">
        <v>33000</v>
      </c>
      <c r="E10" s="41">
        <v>198000</v>
      </c>
      <c r="H10" s="41" t="s">
        <v>365</v>
      </c>
      <c r="I10" s="41" t="s">
        <v>360</v>
      </c>
      <c r="J10" s="41">
        <v>6</v>
      </c>
      <c r="K10" s="41">
        <v>33000</v>
      </c>
      <c r="L10" s="41">
        <v>198000</v>
      </c>
    </row>
    <row r="11" spans="1:12">
      <c r="A11" s="41"/>
      <c r="B11" s="41" t="s">
        <v>361</v>
      </c>
      <c r="C11" s="41">
        <v>8</v>
      </c>
      <c r="D11" s="41">
        <v>31000</v>
      </c>
      <c r="E11" s="41">
        <v>248000</v>
      </c>
      <c r="F11" s="43">
        <f t="array" ref="F11">SUM(C2:C11*D2:D11)</f>
        <v>1590000</v>
      </c>
      <c r="H11" s="41"/>
      <c r="I11" s="41" t="s">
        <v>361</v>
      </c>
      <c r="J11" s="41">
        <v>8</v>
      </c>
      <c r="K11" s="41">
        <v>31000</v>
      </c>
      <c r="L11" s="41">
        <v>248000</v>
      </c>
    </row>
    <row r="12" spans="1:12" ht="20.25" customHeight="1">
      <c r="A12" s="40" t="s">
        <v>366</v>
      </c>
      <c r="B12" s="41"/>
      <c r="C12" s="41"/>
      <c r="D12" s="40" t="s">
        <v>367</v>
      </c>
      <c r="E12" s="41"/>
      <c r="H12" s="41" t="s">
        <v>370</v>
      </c>
      <c r="I12" s="41" t="s">
        <v>360</v>
      </c>
      <c r="J12" s="41">
        <v>2</v>
      </c>
      <c r="K12" s="41">
        <v>27000</v>
      </c>
      <c r="L12" s="41"/>
    </row>
    <row r="13" spans="1:12" ht="21.75" customHeight="1">
      <c r="A13" s="41" t="s">
        <v>368</v>
      </c>
      <c r="B13" s="41"/>
      <c r="C13" s="41"/>
      <c r="D13" s="41" t="e">
        <f>SUM(C2:C10*D2:D10)</f>
        <v>#VALUE!</v>
      </c>
      <c r="E13" s="41"/>
      <c r="H13" s="41"/>
      <c r="I13" s="41" t="s">
        <v>361</v>
      </c>
      <c r="J13" s="41">
        <v>3</v>
      </c>
      <c r="K13" s="41">
        <v>30000</v>
      </c>
      <c r="L13" s="41"/>
    </row>
    <row r="14" spans="1:12">
      <c r="H14" s="41" t="s">
        <v>371</v>
      </c>
      <c r="I14" s="41" t="s">
        <v>360</v>
      </c>
      <c r="J14" s="41">
        <v>4</v>
      </c>
      <c r="K14" s="41">
        <v>22000</v>
      </c>
      <c r="L14" s="41"/>
    </row>
    <row r="15" spans="1:12">
      <c r="H15" s="41"/>
      <c r="I15" s="41" t="s">
        <v>361</v>
      </c>
      <c r="J15" s="41">
        <v>1</v>
      </c>
      <c r="K15" s="41">
        <v>41000</v>
      </c>
      <c r="L15" s="41"/>
    </row>
    <row r="16" spans="1:12">
      <c r="H16" s="41" t="s">
        <v>372</v>
      </c>
      <c r="I16" s="41" t="s">
        <v>360</v>
      </c>
      <c r="J16" s="41">
        <v>5</v>
      </c>
      <c r="K16" s="41">
        <v>32000</v>
      </c>
      <c r="L16" s="41"/>
    </row>
    <row r="17" spans="8:12" ht="46.5">
      <c r="H17" s="41"/>
      <c r="I17" s="41" t="s">
        <v>361</v>
      </c>
      <c r="J17" s="41">
        <v>3</v>
      </c>
      <c r="K17" s="41">
        <v>36000</v>
      </c>
      <c r="L17" s="40" t="s">
        <v>367</v>
      </c>
    </row>
    <row r="18" spans="8:12">
      <c r="H18" s="41"/>
      <c r="I18" s="41"/>
      <c r="J18" s="41"/>
      <c r="K18" s="41"/>
      <c r="L18" s="40">
        <f t="array" ref="L18">SUM(J2:J17*K2:K17)</f>
        <v>2131000</v>
      </c>
    </row>
    <row r="32" spans="8:12">
      <c r="H32" s="31" t="s">
        <v>115</v>
      </c>
      <c r="I32" s="31" t="s">
        <v>116</v>
      </c>
      <c r="J32" s="31" t="s">
        <v>117</v>
      </c>
      <c r="K32" s="31" t="s">
        <v>373</v>
      </c>
      <c r="L32" s="31" t="s">
        <v>274</v>
      </c>
    </row>
    <row r="41" spans="2:9">
      <c r="F41" s="31">
        <f t="array" ref="F41:I41">{1;2;3;4}</f>
        <v>1</v>
      </c>
      <c r="G41" s="31">
        <v>1</v>
      </c>
      <c r="H41" s="31">
        <v>1</v>
      </c>
      <c r="I41" s="31">
        <v>1</v>
      </c>
    </row>
    <row r="43" spans="2:9">
      <c r="B43" s="31">
        <f t="array" ref="B43:E45">{1.234;5.678;9.101112}</f>
        <v>1.234</v>
      </c>
      <c r="C43" s="31">
        <v>1.234</v>
      </c>
      <c r="D43" s="31">
        <v>1.234</v>
      </c>
      <c r="E43" s="31">
        <v>1.234</v>
      </c>
      <c r="G43" s="31">
        <f t="array" ref="G43:G46">{1;2;3;4}</f>
        <v>1</v>
      </c>
    </row>
    <row r="44" spans="2:9">
      <c r="B44" s="31">
        <v>5.6779999999999999</v>
      </c>
      <c r="C44" s="31">
        <v>5.6779999999999999</v>
      </c>
      <c r="D44" s="31">
        <v>5.6779999999999999</v>
      </c>
      <c r="E44" s="31">
        <v>5.6779999999999999</v>
      </c>
      <c r="G44" s="31">
        <v>2</v>
      </c>
    </row>
    <row r="45" spans="2:9">
      <c r="B45" s="31">
        <v>9.1011120000000005</v>
      </c>
      <c r="C45" s="31">
        <v>9.1011120000000005</v>
      </c>
      <c r="D45" s="31">
        <v>9.1011120000000005</v>
      </c>
      <c r="E45" s="31">
        <v>9.1011120000000005</v>
      </c>
      <c r="G45" s="31">
        <v>3</v>
      </c>
    </row>
    <row r="46" spans="2:9">
      <c r="G46" s="31">
        <v>4</v>
      </c>
    </row>
    <row r="49" spans="1:13">
      <c r="D49" s="31">
        <f t="array" ref="D49:F49">{1.29}</f>
        <v>1.29</v>
      </c>
      <c r="E49" s="31">
        <v>1.29</v>
      </c>
      <c r="F49" s="31">
        <v>1.29</v>
      </c>
      <c r="I49" s="31">
        <f t="array" ref="I49:M49">{1.2345}</f>
        <v>1.2344999999999999</v>
      </c>
      <c r="J49" s="31">
        <v>1.2344999999999999</v>
      </c>
      <c r="K49" s="31">
        <v>1.2344999999999999</v>
      </c>
      <c r="L49" s="31">
        <v>1.2344999999999999</v>
      </c>
      <c r="M49" s="31">
        <v>1.2344999999999999</v>
      </c>
    </row>
    <row r="50" spans="1:13">
      <c r="B50" s="31">
        <f t="array" ref="B50:B53">{5;1;12;9898}</f>
        <v>5</v>
      </c>
    </row>
    <row r="51" spans="1:13">
      <c r="B51" s="31">
        <v>1</v>
      </c>
      <c r="H51" s="31">
        <f t="array" ref="H51:H55">{1;5;3;4;2}</f>
        <v>1</v>
      </c>
    </row>
    <row r="52" spans="1:13">
      <c r="B52" s="31">
        <v>12</v>
      </c>
      <c r="H52" s="31">
        <v>5</v>
      </c>
    </row>
    <row r="53" spans="1:13">
      <c r="B53" s="31">
        <v>9898</v>
      </c>
      <c r="H53" s="31">
        <v>3</v>
      </c>
    </row>
    <row r="54" spans="1:13">
      <c r="H54" s="31">
        <v>4</v>
      </c>
    </row>
    <row r="55" spans="1:13">
      <c r="H55" s="31">
        <v>2</v>
      </c>
    </row>
    <row r="57" spans="1:13">
      <c r="A57" s="44" t="s">
        <v>303</v>
      </c>
      <c r="B57" s="44" t="s">
        <v>304</v>
      </c>
      <c r="C57" s="44" t="s">
        <v>305</v>
      </c>
      <c r="D57" s="44" t="s">
        <v>306</v>
      </c>
      <c r="E57" s="44" t="s">
        <v>307</v>
      </c>
      <c r="F57" s="44" t="s">
        <v>308</v>
      </c>
      <c r="G57" s="44" t="s">
        <v>309</v>
      </c>
    </row>
    <row r="58" spans="1:13">
      <c r="A58" s="45" t="s">
        <v>294</v>
      </c>
      <c r="B58" s="46">
        <v>0</v>
      </c>
      <c r="C58" s="46">
        <v>10</v>
      </c>
      <c r="D58" s="46">
        <v>11</v>
      </c>
      <c r="E58" s="46">
        <v>3</v>
      </c>
      <c r="F58" s="46">
        <f>{0;0;0;0;0;0}</f>
        <v>0</v>
      </c>
      <c r="G58" s="46">
        <v>15</v>
      </c>
    </row>
    <row r="59" spans="1:13">
      <c r="A59" s="45" t="s">
        <v>295</v>
      </c>
      <c r="B59" s="46">
        <v>0</v>
      </c>
      <c r="C59" s="46">
        <v>15</v>
      </c>
      <c r="D59" s="46">
        <v>13</v>
      </c>
      <c r="E59" s="46">
        <v>14</v>
      </c>
      <c r="F59" s="46">
        <v>0</v>
      </c>
      <c r="G59" s="46">
        <v>8</v>
      </c>
    </row>
    <row r="60" spans="1:13">
      <c r="A60" s="45" t="s">
        <v>296</v>
      </c>
      <c r="B60" s="46">
        <v>0</v>
      </c>
      <c r="C60" s="46">
        <v>15</v>
      </c>
      <c r="D60" s="46">
        <v>15</v>
      </c>
      <c r="E60" s="46">
        <v>14</v>
      </c>
      <c r="F60" s="46">
        <v>17</v>
      </c>
      <c r="G60" s="46">
        <v>1</v>
      </c>
    </row>
    <row r="61" spans="1:13">
      <c r="A61" s="45" t="s">
        <v>295</v>
      </c>
      <c r="B61" s="46">
        <v>0</v>
      </c>
      <c r="C61" s="46">
        <v>7</v>
      </c>
      <c r="D61" s="46">
        <v>10</v>
      </c>
      <c r="E61" s="46">
        <v>15</v>
      </c>
      <c r="F61" s="46">
        <v>1</v>
      </c>
      <c r="G61" s="46">
        <v>11</v>
      </c>
    </row>
    <row r="62" spans="1:13">
      <c r="A62" s="45" t="s">
        <v>297</v>
      </c>
      <c r="B62" s="46">
        <v>0</v>
      </c>
      <c r="C62" s="46">
        <v>0</v>
      </c>
      <c r="D62" s="46">
        <v>12</v>
      </c>
      <c r="E62" s="46">
        <v>15</v>
      </c>
      <c r="F62" s="46">
        <v>5</v>
      </c>
      <c r="G62" s="46">
        <v>5</v>
      </c>
    </row>
    <row r="63" spans="1:13">
      <c r="A63" s="45" t="s">
        <v>298</v>
      </c>
      <c r="B63" s="46">
        <v>16</v>
      </c>
      <c r="C63" s="46">
        <v>16</v>
      </c>
      <c r="D63" s="46">
        <v>11</v>
      </c>
      <c r="E63" s="46">
        <v>2</v>
      </c>
      <c r="F63" s="46">
        <v>18</v>
      </c>
      <c r="G63" s="46">
        <v>4</v>
      </c>
    </row>
    <row r="64" spans="1:13">
      <c r="A64" s="45" t="s">
        <v>299</v>
      </c>
      <c r="B64" s="46">
        <v>13</v>
      </c>
      <c r="C64" s="46">
        <v>2</v>
      </c>
      <c r="D64" s="46">
        <v>19</v>
      </c>
      <c r="E64" s="46">
        <v>10</v>
      </c>
      <c r="F64" s="46">
        <v>2</v>
      </c>
      <c r="G64" s="46">
        <v>8</v>
      </c>
    </row>
    <row r="69" spans="1:10">
      <c r="A69" s="31" t="s">
        <v>377</v>
      </c>
      <c r="B69" s="31" t="s">
        <v>331</v>
      </c>
      <c r="E69" s="31" t="s">
        <v>306</v>
      </c>
    </row>
    <row r="70" spans="1:10">
      <c r="B70" s="31" t="s">
        <v>378</v>
      </c>
    </row>
    <row r="72" spans="1:10">
      <c r="B72" s="31" t="s">
        <v>381</v>
      </c>
      <c r="H72" s="31">
        <f ca="1">MATCH(E69,OFFSET(Données,0,0,1,COLUMNS(Données)))</f>
        <v>4</v>
      </c>
      <c r="J72" s="47" t="s">
        <v>382</v>
      </c>
    </row>
    <row r="74" spans="1:10">
      <c r="B74" s="31" t="s">
        <v>386</v>
      </c>
      <c r="H74" s="50">
        <f ca="1">MAX(OFFSET(Données,0,H72-1,ROWS(Données),1))</f>
        <v>19</v>
      </c>
      <c r="J74" s="31" t="s">
        <v>389</v>
      </c>
    </row>
    <row r="76" spans="1:10">
      <c r="B76" s="31" t="s">
        <v>383</v>
      </c>
      <c r="H76" s="31">
        <f ca="1">MATCH(H74,OFFSET(Données,0,H72-1,ROWS(Données),1),0)</f>
        <v>8</v>
      </c>
      <c r="J76" s="31" t="s">
        <v>390</v>
      </c>
    </row>
    <row r="78" spans="1:10">
      <c r="B78" s="31" t="s">
        <v>387</v>
      </c>
      <c r="H78" s="51" t="str">
        <f ca="1">INDEX(Données,H76,1)</f>
        <v>CELIA</v>
      </c>
      <c r="J78" s="31" t="s">
        <v>388</v>
      </c>
    </row>
    <row r="90" spans="1:1">
      <c r="A90" s="31" t="s">
        <v>384</v>
      </c>
    </row>
    <row r="91" spans="1:1">
      <c r="A91" s="31" t="s"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COMPTA</vt:lpstr>
      <vt:lpstr>PMF</vt:lpstr>
      <vt:lpstr>STATS</vt:lpstr>
      <vt:lpstr>TULIPE_4 1</vt:lpstr>
      <vt:lpstr>TULIPE_4 2</vt:lpstr>
      <vt:lpstr>R@CHID</vt:lpstr>
      <vt:lpstr>MES RECHERCHES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Gillet</dc:creator>
  <cp:lastModifiedBy>Multimedia</cp:lastModifiedBy>
  <dcterms:created xsi:type="dcterms:W3CDTF">2012-09-24T10:43:24Z</dcterms:created>
  <dcterms:modified xsi:type="dcterms:W3CDTF">2015-12-04T16:24:20Z</dcterms:modified>
</cp:coreProperties>
</file>